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Olympic 2112\Dump Fee\DF Clallam 1-1-2024\Interim\"/>
    </mc:Choice>
  </mc:AlternateContent>
  <xr:revisionPtr revIDLastSave="0" documentId="13_ncr:1_{3CF56DEA-0BA3-41BC-A2E7-CF85821CD5A9}" xr6:coauthVersionLast="47" xr6:coauthVersionMax="47" xr10:uidLastSave="{00000000-0000-0000-0000-000000000000}"/>
  <bookViews>
    <workbookView xWindow="-120" yWindow="-120" windowWidth="29040" windowHeight="15840" activeTab="6" xr2:uid="{B1A9EB2A-775C-43B3-A077-349AC4D36849}"/>
  </bookViews>
  <sheets>
    <sheet name="References" sheetId="4" r:id="rId1"/>
    <sheet name="Proposed Rates" sheetId="12" r:id="rId2"/>
    <sheet name="Company Calc" sheetId="13" r:id="rId3"/>
    <sheet name="Proposed Rates #2" sheetId="21" r:id="rId4"/>
    <sheet name="Clallam Reg Price Out" sheetId="18" r:id="rId5"/>
    <sheet name="CityPA-M Price Out" sheetId="19" r:id="rId6"/>
    <sheet name="DF Schedule" sheetId="2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A" localSheetId="6">#REF!</definedName>
    <definedName name="\A">#REF!</definedName>
    <definedName name="\c" localSheetId="6">'[1]10200'!$IU$8196</definedName>
    <definedName name="\c">#REF!</definedName>
    <definedName name="\D" localSheetId="6">#REF!</definedName>
    <definedName name="\D">#REF!</definedName>
    <definedName name="\E" localSheetId="6">'[2]#REF'!$AD$4</definedName>
    <definedName name="\E">#REF!</definedName>
    <definedName name="\R" localSheetId="6">'[2]#REF'!$AD$8</definedName>
    <definedName name="\R">#REF!</definedName>
    <definedName name="\S" localSheetId="6">#REF!</definedName>
    <definedName name="\S">#REF!</definedName>
    <definedName name="\Y" localSheetId="6">#REF!</definedName>
    <definedName name="\Y">#REF!</definedName>
    <definedName name="\z" localSheetId="6">#REF!</definedName>
    <definedName name="\z">#REF!</definedName>
    <definedName name="______________CYA1">[3]Hidden!$N$11</definedName>
    <definedName name="______________CYA10">[3]Hidden!$E$11</definedName>
    <definedName name="______________CYA11">[3]Hidden!$P$11</definedName>
    <definedName name="______________CYA2">[3]Hidden!$M$11</definedName>
    <definedName name="______________CYA3">[3]Hidden!$L$11</definedName>
    <definedName name="______________CYA4">[3]Hidden!$K$11</definedName>
    <definedName name="______________CYA5">[3]Hidden!$J$11</definedName>
    <definedName name="______________CYA6">[3]Hidden!$I$11</definedName>
    <definedName name="______________CYA7">[3]Hidden!$H$11</definedName>
    <definedName name="______________CYA8">[3]Hidden!$G$11</definedName>
    <definedName name="______________CYA9">[3]Hidden!$F$11</definedName>
    <definedName name="______________LYA12">[3]Hidden!$O$11</definedName>
    <definedName name="_____________CYA1">[3]Hidden!$N$11</definedName>
    <definedName name="_____________CYA10">[3]Hidden!$E$11</definedName>
    <definedName name="_____________CYA11">[3]Hidden!$P$11</definedName>
    <definedName name="_____________CYA2">[3]Hidden!$M$11</definedName>
    <definedName name="_____________CYA3">[3]Hidden!$L$11</definedName>
    <definedName name="_____________CYA4">[3]Hidden!$K$11</definedName>
    <definedName name="_____________CYA5">[3]Hidden!$J$11</definedName>
    <definedName name="_____________CYA6">[3]Hidden!$I$11</definedName>
    <definedName name="_____________CYA7">[3]Hidden!$H$11</definedName>
    <definedName name="_____________CYA8">[3]Hidden!$G$11</definedName>
    <definedName name="_____________CYA9">[3]Hidden!$F$11</definedName>
    <definedName name="_____________LYA12">[3]Hidden!$O$11</definedName>
    <definedName name="____________CYA1">[3]Hidden!$N$11</definedName>
    <definedName name="____________CYA10">[3]Hidden!$E$11</definedName>
    <definedName name="____________CYA11">[3]Hidden!$P$11</definedName>
    <definedName name="____________CYA2">[3]Hidden!$M$11</definedName>
    <definedName name="____________CYA3">[3]Hidden!$L$11</definedName>
    <definedName name="____________CYA4">[3]Hidden!$K$11</definedName>
    <definedName name="____________CYA5">[3]Hidden!$J$11</definedName>
    <definedName name="____________CYA6">[3]Hidden!$I$11</definedName>
    <definedName name="____________CYA7">[3]Hidden!$H$11</definedName>
    <definedName name="____________CYA8">[3]Hidden!$G$11</definedName>
    <definedName name="____________CYA9">[3]Hidden!$F$11</definedName>
    <definedName name="____________LYA12">[3]Hidden!$O$11</definedName>
    <definedName name="___________CYA1">[3]Hidden!$N$11</definedName>
    <definedName name="___________CYA10">[3]Hidden!$E$11</definedName>
    <definedName name="___________CYA11">[3]Hidden!$P$11</definedName>
    <definedName name="___________CYA2">[3]Hidden!$M$11</definedName>
    <definedName name="___________CYA3">[3]Hidden!$L$11</definedName>
    <definedName name="___________CYA4">[3]Hidden!$K$11</definedName>
    <definedName name="___________CYA5">[3]Hidden!$J$11</definedName>
    <definedName name="___________CYA6">[3]Hidden!$I$11</definedName>
    <definedName name="___________CYA7">[3]Hidden!$H$11</definedName>
    <definedName name="___________CYA8">[3]Hidden!$G$11</definedName>
    <definedName name="___________CYA9">[3]Hidden!$F$11</definedName>
    <definedName name="___________LYA12">[3]Hidden!$O$11</definedName>
    <definedName name="__________CYA1">[3]Hidden!$N$11</definedName>
    <definedName name="__________CYA10">[3]Hidden!$E$11</definedName>
    <definedName name="__________CYA11">[3]Hidden!$P$11</definedName>
    <definedName name="__________CYA2">[3]Hidden!$M$11</definedName>
    <definedName name="__________CYA3">[3]Hidden!$L$11</definedName>
    <definedName name="__________CYA4">[3]Hidden!$K$11</definedName>
    <definedName name="__________CYA5">[3]Hidden!$J$11</definedName>
    <definedName name="__________CYA6">[3]Hidden!$I$11</definedName>
    <definedName name="__________CYA7">[3]Hidden!$H$11</definedName>
    <definedName name="__________CYA8">[3]Hidden!$G$11</definedName>
    <definedName name="__________CYA9">[3]Hidden!$F$11</definedName>
    <definedName name="__________LYA12">[3]Hidden!$O$11</definedName>
    <definedName name="_________CYA1">[3]Hidden!$N$11</definedName>
    <definedName name="_________CYA10">[3]Hidden!$E$11</definedName>
    <definedName name="_________CYA11">[3]Hidden!$P$11</definedName>
    <definedName name="_________CYA2">[3]Hidden!$M$11</definedName>
    <definedName name="_________CYA3">[3]Hidden!$L$11</definedName>
    <definedName name="_________CYA4">[3]Hidden!$K$11</definedName>
    <definedName name="_________CYA5">[3]Hidden!$J$11</definedName>
    <definedName name="_________CYA6">[3]Hidden!$I$11</definedName>
    <definedName name="_________CYA7">[3]Hidden!$H$11</definedName>
    <definedName name="_________CYA8">[3]Hidden!$G$11</definedName>
    <definedName name="_________CYA9">[3]Hidden!$F$11</definedName>
    <definedName name="_________LYA12">[3]Hidden!$O$11</definedName>
    <definedName name="________CYA1">[3]Hidden!$N$11</definedName>
    <definedName name="________CYA10">[3]Hidden!$E$11</definedName>
    <definedName name="________CYA11">[3]Hidden!$P$11</definedName>
    <definedName name="________CYA2">[3]Hidden!$M$11</definedName>
    <definedName name="________CYA3">[3]Hidden!$L$11</definedName>
    <definedName name="________CYA4">[3]Hidden!$K$11</definedName>
    <definedName name="________CYA5">[3]Hidden!$J$11</definedName>
    <definedName name="________CYA6">[3]Hidden!$I$11</definedName>
    <definedName name="________CYA7">[3]Hidden!$H$11</definedName>
    <definedName name="________CYA8">[3]Hidden!$G$11</definedName>
    <definedName name="________CYA9">[3]Hidden!$F$11</definedName>
    <definedName name="________LYA12">[3]Hidden!$O$11</definedName>
    <definedName name="_______CYA1">[3]Hidden!$N$11</definedName>
    <definedName name="_______CYA10">[3]Hidden!$E$11</definedName>
    <definedName name="_______CYA11">[3]Hidden!$P$11</definedName>
    <definedName name="_______CYA2">[3]Hidden!$M$11</definedName>
    <definedName name="_______CYA3">[3]Hidden!$L$11</definedName>
    <definedName name="_______CYA4">[3]Hidden!$K$11</definedName>
    <definedName name="_______CYA5">[3]Hidden!$J$11</definedName>
    <definedName name="_______CYA6">[3]Hidden!$I$11</definedName>
    <definedName name="_______CYA7">[3]Hidden!$H$11</definedName>
    <definedName name="_______CYA8">[3]Hidden!$G$11</definedName>
    <definedName name="_______CYA9">[3]Hidden!$F$11</definedName>
    <definedName name="_______LYA12">[3]Hidden!$O$11</definedName>
    <definedName name="______ACT1" localSheetId="6">[4]Hidden!#REF!</definedName>
    <definedName name="______ACT1">#REF!</definedName>
    <definedName name="______ACT2" localSheetId="6">[4]Hidden!#REF!</definedName>
    <definedName name="______ACT2">#REF!</definedName>
    <definedName name="______ACT3" localSheetId="6">[4]Hidden!#REF!</definedName>
    <definedName name="______ACT3">#REF!</definedName>
    <definedName name="______CYA1">[3]Hidden!$N$11</definedName>
    <definedName name="______CYA10">[3]Hidden!$E$11</definedName>
    <definedName name="______CYA11">[3]Hidden!$P$11</definedName>
    <definedName name="______CYA2">[3]Hidden!$M$11</definedName>
    <definedName name="______CYA3">[3]Hidden!$L$11</definedName>
    <definedName name="______CYA4">[3]Hidden!$K$11</definedName>
    <definedName name="______CYA5">[3]Hidden!$J$11</definedName>
    <definedName name="______CYA6">[3]Hidden!$I$11</definedName>
    <definedName name="______CYA7">[3]Hidden!$H$11</definedName>
    <definedName name="______CYA8">[3]Hidden!$G$11</definedName>
    <definedName name="______CYA9">[3]Hidden!$F$11</definedName>
    <definedName name="______LYA12">[3]Hidden!$O$11</definedName>
    <definedName name="_____ACT1" localSheetId="6">[4]Hidden!#REF!</definedName>
    <definedName name="_____ACT1">#REF!</definedName>
    <definedName name="_____ACT2" localSheetId="6">[4]Hidden!#REF!</definedName>
    <definedName name="_____ACT2">#REF!</definedName>
    <definedName name="_____ACT3" localSheetId="6">[4]Hidden!#REF!</definedName>
    <definedName name="_____ACT3">#REF!</definedName>
    <definedName name="_____CYA1">[3]Hidden!$N$11</definedName>
    <definedName name="_____CYA10">[3]Hidden!$E$11</definedName>
    <definedName name="_____CYA11">[3]Hidden!$P$11</definedName>
    <definedName name="_____CYA2">[3]Hidden!$M$11</definedName>
    <definedName name="_____CYA3">[3]Hidden!$L$11</definedName>
    <definedName name="_____CYA4">[3]Hidden!$K$11</definedName>
    <definedName name="_____CYA5">[3]Hidden!$J$11</definedName>
    <definedName name="_____CYA6">[3]Hidden!$I$11</definedName>
    <definedName name="_____CYA7">[3]Hidden!$H$11</definedName>
    <definedName name="_____CYA8">[3]Hidden!$G$11</definedName>
    <definedName name="_____CYA9">[3]Hidden!$F$11</definedName>
    <definedName name="_____LYA12">[3]Hidden!$O$11</definedName>
    <definedName name="____ACT1" localSheetId="6">[4]Hidden!#REF!</definedName>
    <definedName name="____ACT1">#REF!</definedName>
    <definedName name="____ACT2" localSheetId="6">[4]Hidden!#REF!</definedName>
    <definedName name="____ACT2">#REF!</definedName>
    <definedName name="____ACT3" localSheetId="6">[4]Hidden!#REF!</definedName>
    <definedName name="____ACT3">#REF!</definedName>
    <definedName name="____CYA1">[3]Hidden!$N$11</definedName>
    <definedName name="____CYA10">[3]Hidden!$E$11</definedName>
    <definedName name="____CYA11">[3]Hidden!$P$11</definedName>
    <definedName name="____CYA2">[3]Hidden!$M$11</definedName>
    <definedName name="____CYA3">[3]Hidden!$L$11</definedName>
    <definedName name="____CYA4">[3]Hidden!$K$11</definedName>
    <definedName name="____CYA5">[3]Hidden!$J$11</definedName>
    <definedName name="____CYA6">[3]Hidden!$I$11</definedName>
    <definedName name="____CYA7">[3]Hidden!$H$11</definedName>
    <definedName name="____CYA8">[3]Hidden!$G$11</definedName>
    <definedName name="____CYA9">[3]Hidden!$F$11</definedName>
    <definedName name="____LYA12">[3]Hidden!$O$11</definedName>
    <definedName name="___ACT1" localSheetId="6">[4]Hidden!#REF!</definedName>
    <definedName name="___ACT1">#REF!</definedName>
    <definedName name="___ACT2" localSheetId="6">[4]Hidden!#REF!</definedName>
    <definedName name="___ACT2">#REF!</definedName>
    <definedName name="___ACT3" localSheetId="6">[4]Hidden!#REF!</definedName>
    <definedName name="___ACT3">#REF!</definedName>
    <definedName name="___CYA1">[3]Hidden!$N$11</definedName>
    <definedName name="___CYA10">[3]Hidden!$E$11</definedName>
    <definedName name="___CYA11">[3]Hidden!$P$11</definedName>
    <definedName name="___CYA2">[3]Hidden!$M$11</definedName>
    <definedName name="___CYA3">[3]Hidden!$L$11</definedName>
    <definedName name="___CYA4">[3]Hidden!$K$11</definedName>
    <definedName name="___CYA5">[3]Hidden!$J$11</definedName>
    <definedName name="___CYA6">[3]Hidden!$I$11</definedName>
    <definedName name="___CYA7">[3]Hidden!$H$11</definedName>
    <definedName name="___CYA8">[3]Hidden!$G$11</definedName>
    <definedName name="___CYA9">[3]Hidden!$F$11</definedName>
    <definedName name="___LYA12">[3]Hidden!$O$11</definedName>
    <definedName name="__ACT1" localSheetId="6">[5]Hidden!#REF!</definedName>
    <definedName name="__ACT1">#REF!</definedName>
    <definedName name="__ACT2" localSheetId="6">[5]Hidden!#REF!</definedName>
    <definedName name="__ACT2">#REF!</definedName>
    <definedName name="__ACT3" localSheetId="6">[5]Hidden!#REF!</definedName>
    <definedName name="__ACT3">#REF!</definedName>
    <definedName name="__CYA1">[3]Hidden!$N$11</definedName>
    <definedName name="__CYA10">[3]Hidden!$E$11</definedName>
    <definedName name="__CYA11">[3]Hidden!$P$11</definedName>
    <definedName name="__CYA2">[3]Hidden!$M$11</definedName>
    <definedName name="__CYA3">[3]Hidden!$L$11</definedName>
    <definedName name="__CYA4">[3]Hidden!$K$11</definedName>
    <definedName name="__CYA5">[3]Hidden!$J$11</definedName>
    <definedName name="__CYA6">[3]Hidden!$I$11</definedName>
    <definedName name="__CYA7">[3]Hidden!$H$11</definedName>
    <definedName name="__CYA8">[3]Hidden!$G$11</definedName>
    <definedName name="__CYA9">[3]Hidden!$F$11</definedName>
    <definedName name="__LYA1">[6]Hidden!$P$11</definedName>
    <definedName name="__LYA10">[6]Hidden!$G$11</definedName>
    <definedName name="__LYA11">[6]Hidden!$F$11</definedName>
    <definedName name="__LYA12">[3]Hidden!$O$11</definedName>
    <definedName name="__LYA2">[6]Hidden!$O$11</definedName>
    <definedName name="__LYA3">[6]Hidden!$N$11</definedName>
    <definedName name="__LYA4">[6]Hidden!$M$11</definedName>
    <definedName name="__LYA5">[6]Hidden!$L$11</definedName>
    <definedName name="__LYA6">[6]Hidden!$K$11</definedName>
    <definedName name="__LYA7">[6]Hidden!$J$11</definedName>
    <definedName name="__LYA8">[6]Hidden!$I$11</definedName>
    <definedName name="__LYA9">[6]Hidden!$H$11</definedName>
    <definedName name="_123Graph_g" hidden="1">'[2]#REF'!$F$9:$F$83</definedName>
    <definedName name="_13054" localSheetId="6">'[7]10800-10899'!#REF!</definedName>
    <definedName name="_13054">#REF!</definedName>
    <definedName name="_132" hidden="1">[1]XXXXXX!$B$10:$B$10</definedName>
    <definedName name="_132Graph_h" localSheetId="6" hidden="1">#REF!</definedName>
    <definedName name="_132Graph_h" hidden="1">#REF!</definedName>
    <definedName name="_ACT1" localSheetId="5">#REF!</definedName>
    <definedName name="_ACT1" localSheetId="6">[8]Hidden!#REF!</definedName>
    <definedName name="_ACT1">[9]Hidden!#REF!</definedName>
    <definedName name="_ACT2" localSheetId="5">#REF!</definedName>
    <definedName name="_ACT2" localSheetId="6">[8]Hidden!#REF!</definedName>
    <definedName name="_ACT2">[9]Hidden!#REF!</definedName>
    <definedName name="_ACT3" localSheetId="5">#REF!</definedName>
    <definedName name="_ACT3" localSheetId="6">[8]Hidden!#REF!</definedName>
    <definedName name="_ACT3">[9]Hidden!#REF!</definedName>
    <definedName name="_ACT4" localSheetId="6">[4]Hidden!#REF!</definedName>
    <definedName name="_ACT4">#REF!</definedName>
    <definedName name="_BUN1" localSheetId="6">'[10]2008 West Group IS'!$AJ$5</definedName>
    <definedName name="_BUN1">#REF!</definedName>
    <definedName name="_BUN3" localSheetId="6">'[10]2008 Group Office IS'!$AJ$5</definedName>
    <definedName name="_BUN3">#REF!</definedName>
    <definedName name="_COS1" localSheetId="6">#REF!</definedName>
    <definedName name="_COS1">#REF!</definedName>
    <definedName name="_COS2" localSheetId="6">#REF!</definedName>
    <definedName name="_COS2">#REF!</definedName>
    <definedName name="_CYA1">[3]Hidden!$N$11</definedName>
    <definedName name="_CYA10">[3]Hidden!$E$11</definedName>
    <definedName name="_CYA11">[3]Hidden!$P$11</definedName>
    <definedName name="_CYA2">[3]Hidden!$M$11</definedName>
    <definedName name="_CYA3">[3]Hidden!$L$11</definedName>
    <definedName name="_CYA4">[3]Hidden!$K$11</definedName>
    <definedName name="_CYA5">[3]Hidden!$J$11</definedName>
    <definedName name="_CYA6">[3]Hidden!$I$11</definedName>
    <definedName name="_CYA7">[3]Hidden!$H$11</definedName>
    <definedName name="_CYA8">[3]Hidden!$G$11</definedName>
    <definedName name="_CYA9">[3]Hidden!$F$11</definedName>
    <definedName name="_Fill" localSheetId="6" hidden="1">#REF!</definedName>
    <definedName name="_Fill" hidden="1">#REF!</definedName>
    <definedName name="_xlnm._FilterDatabase" localSheetId="5" hidden="1">'CityPA-M Price Out'!$B$6:$AI$89</definedName>
    <definedName name="_xlnm._FilterDatabase" localSheetId="4" hidden="1">'Clallam Reg Price Out'!$B$6:$AH$185</definedName>
    <definedName name="_Key1" localSheetId="6" hidden="1">#REF!</definedName>
    <definedName name="_Key1" hidden="1">#REF!</definedName>
    <definedName name="_Key2" hidden="1">'[2]#REF'!$D$12</definedName>
    <definedName name="_key5" hidden="1">[1]XXXXXX!$H$10</definedName>
    <definedName name="_LYA1">[6]Hidden!$P$11</definedName>
    <definedName name="_LYA10">[6]Hidden!$G$11</definedName>
    <definedName name="_LYA11">[6]Hidden!$F$11</definedName>
    <definedName name="_LYA12">[3]Hidden!$O$11</definedName>
    <definedName name="_LYA2">[6]Hidden!$O$11</definedName>
    <definedName name="_LYA3">[6]Hidden!$N$11</definedName>
    <definedName name="_LYA4">[6]Hidden!$M$11</definedName>
    <definedName name="_LYA5">[6]Hidden!$L$11</definedName>
    <definedName name="_LYA6">[6]Hidden!$K$11</definedName>
    <definedName name="_LYA7">[6]Hidden!$J$11</definedName>
    <definedName name="_LYA8">[6]Hidden!$I$11</definedName>
    <definedName name="_LYA9">[6]Hidden!$H$11</definedName>
    <definedName name="_max" localSheetId="6" hidden="1">#REF!</definedName>
    <definedName name="_max" hidden="1">#REF!</definedName>
    <definedName name="_Mon" localSheetId="6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 localSheetId="6">[10]WTB!$DC$8</definedName>
    <definedName name="_PER1">#REF!</definedName>
    <definedName name="_PER2" localSheetId="6">'[10]2008 West Group IS'!$AH$8</definedName>
    <definedName name="_PER2">#REF!</definedName>
    <definedName name="_PER3" localSheetId="6">'[10]2008 West Group IS'!$AI$5</definedName>
    <definedName name="_PER3">#REF!</definedName>
    <definedName name="_PER4" localSheetId="6">'[10]2008 Group Office IS'!$AH$8</definedName>
    <definedName name="_PER4">#REF!</definedName>
    <definedName name="_PER5" localSheetId="6">'[10]2008 Group Office IS'!$AI$5</definedName>
    <definedName name="_PER5">#REF!</definedName>
    <definedName name="_Regression_Int">0</definedName>
    <definedName name="_SFD1" localSheetId="6">'[10]2008 West Group IS'!$AK$5</definedName>
    <definedName name="_SFD1">#REF!</definedName>
    <definedName name="_SFD3" localSheetId="6">'[10]2008 Group Office IS'!$AK$5</definedName>
    <definedName name="_SFD3">#REF!</definedName>
    <definedName name="_SFV1" localSheetId="6">'[10]2008 West Group IS'!$AK$4</definedName>
    <definedName name="_SFV1">#REF!</definedName>
    <definedName name="_SFV4" localSheetId="6">'[10]2008 Group Office IS'!$AK$4</definedName>
    <definedName name="_SFV4">#REF!</definedName>
    <definedName name="_Sort" localSheetId="6" hidden="1">#REF!</definedName>
    <definedName name="_Sort" hidden="1">#REF!</definedName>
    <definedName name="_Sort1" hidden="1">'[2]#REF'!$A$10:$Z$281</definedName>
    <definedName name="_sort3" hidden="1">[1]XXXXXX!$G$10:$J$11</definedName>
    <definedName name="a" localSheetId="6">#REF!</definedName>
    <definedName name="a">#REF!</definedName>
    <definedName name="aaaaaaa" localSheetId="6">rank</definedName>
    <definedName name="aaaaaaa">rank</definedName>
    <definedName name="Accounts" localSheetId="6">#REF!</definedName>
    <definedName name="Accounts">#REF!</definedName>
    <definedName name="ACCT" localSheetId="5">#REF!</definedName>
    <definedName name="ACCT" localSheetId="6">[3]Hidden!$D$11</definedName>
    <definedName name="ACCT">[9]Hidden!#REF!</definedName>
    <definedName name="ACCT.ConsolSum">[3]Hidden!$Q$11</definedName>
    <definedName name="AcctName" localSheetId="6">'[11]2012 Act-Fcast P&amp;L'!#REF!</definedName>
    <definedName name="AcctName">#REF!</definedName>
    <definedName name="ACT_CUR" localSheetId="5">#REF!</definedName>
    <definedName name="ACT_CUR" localSheetId="6">[8]Hidden!#REF!</definedName>
    <definedName name="ACT_CUR">[9]Hidden!#REF!</definedName>
    <definedName name="ACT_YTD" localSheetId="5">#REF!</definedName>
    <definedName name="ACT_YTD" localSheetId="6">[8]Hidden!#REF!</definedName>
    <definedName name="ACT_YTD">[9]Hidden!#REF!</definedName>
    <definedName name="AD" localSheetId="6">'[1]ACC DEP 12XXX'!$A$4:$L$22</definedName>
    <definedName name="AD">#REF!</definedName>
    <definedName name="adfd" localSheetId="6">rank</definedName>
    <definedName name="adfd">rank</definedName>
    <definedName name="ADK" localSheetId="6">'[1]10250_Recy Chkg'!$D$27</definedName>
    <definedName name="ADK">#REF!</definedName>
    <definedName name="afsdfsdfsd" localSheetId="6">#REF!</definedName>
    <definedName name="afsdfsdfsd">#REF!</definedName>
    <definedName name="AmountCount" localSheetId="5">#REF!</definedName>
    <definedName name="AmountCount" localSheetId="6">#REF!</definedName>
    <definedName name="AmountCount">#REF!</definedName>
    <definedName name="AmountCount1" localSheetId="6">#REF!</definedName>
    <definedName name="AmountCount1">#REF!</definedName>
    <definedName name="AmountFrom" localSheetId="6">#REF!</definedName>
    <definedName name="AmountFrom">#REF!</definedName>
    <definedName name="AmountTo" localSheetId="6">#REF!</definedName>
    <definedName name="AmountTo">#REF!</definedName>
    <definedName name="AmountTotal" localSheetId="5">#REF!</definedName>
    <definedName name="AmountTotal" localSheetId="6">#REF!</definedName>
    <definedName name="AmountTotal">#REF!</definedName>
    <definedName name="AmountTotal1" localSheetId="6">#REF!</definedName>
    <definedName name="AmountTotal1">#REF!</definedName>
    <definedName name="AOK" localSheetId="6">#REF!</definedName>
    <definedName name="AOK">#REF!</definedName>
    <definedName name="APA" localSheetId="6">'[12]Income Statement (WMofWA)'!#REF!</definedName>
    <definedName name="APA">#REF!</definedName>
    <definedName name="APN" localSheetId="6">'[12]Income Statement (WMofWA)'!#REF!</definedName>
    <definedName name="APN">#REF!</definedName>
    <definedName name="ASD" localSheetId="6">'[12]Income Statement (WMofWA)'!#REF!</definedName>
    <definedName name="ASD">#REF!</definedName>
    <definedName name="AST" localSheetId="6">'[12]Income Statement (WMofWA)'!#REF!</definedName>
    <definedName name="AST">#REF!</definedName>
    <definedName name="averaging">#REF!</definedName>
    <definedName name="BaseMonthDate" localSheetId="6">[13]Settings!$I$15</definedName>
    <definedName name="BaseMonthDate">#REF!</definedName>
    <definedName name="BaseMonthDate2" localSheetId="6">[13]Settings!$I$16</definedName>
    <definedName name="BaseMonthDate2">#REF!</definedName>
    <definedName name="BaseMonthDate3" localSheetId="6">[13]Settings!$I$17</definedName>
    <definedName name="BaseMonthDate3">#REF!</definedName>
    <definedName name="BaseYear" localSheetId="6">#REF!</definedName>
    <definedName name="BaseYear">#REF!</definedName>
    <definedName name="BEGCELL" localSheetId="6">#REF!</definedName>
    <definedName name="BEGCELL">#REF!</definedName>
    <definedName name="begin" localSheetId="6">#REF!</definedName>
    <definedName name="begin">#REF!</definedName>
    <definedName name="BookRev" localSheetId="6">'[14]Pacific Regulated - Price Out'!$F$50</definedName>
    <definedName name="BookRev">'[15]Pacific Regulated - Price Out'!$F$50</definedName>
    <definedName name="BookRev_com" localSheetId="6">'[14]Pacific Regulated - Price Out'!$F$214</definedName>
    <definedName name="BookRev_com">'[15]Pacific Regulated - Price Out'!$F$214</definedName>
    <definedName name="BookRev_mfr" localSheetId="6">'[14]Pacific Regulated - Price Out'!$F$222</definedName>
    <definedName name="BookRev_mfr">'[15]Pacific Regulated - Price Out'!$F$222</definedName>
    <definedName name="BookRev_ro" localSheetId="6">'[14]Pacific Regulated - Price Out'!$F$282</definedName>
    <definedName name="BookRev_ro">'[15]Pacific Regulated - Price Out'!$F$282</definedName>
    <definedName name="BookRev_rr" localSheetId="6">'[14]Pacific Regulated - Price Out'!$F$59</definedName>
    <definedName name="BookRev_rr">'[15]Pacific Regulated - Price Out'!$F$59</definedName>
    <definedName name="BookRev_yw" localSheetId="6">'[14]Pacific Regulated - Price Out'!$F$70</definedName>
    <definedName name="BookRev_yw">'[15]Pacific Regulated - Price Out'!$F$70</definedName>
    <definedName name="BREMAIR_COST_of_SERVICE_STUDY" localSheetId="5">#REF!</definedName>
    <definedName name="BREMAIR_COST_of_SERVICE_STUDY" localSheetId="6">#REF!</definedName>
    <definedName name="BREMAIR_COST_of_SERVICE_STUDY">#REF!</definedName>
    <definedName name="Brokerage" localSheetId="6">'[16]Finance Charges'!$H$8</definedName>
    <definedName name="Brokerage">#REF!</definedName>
    <definedName name="BUD_CUR" localSheetId="5">#REF!</definedName>
    <definedName name="BUD_CUR" localSheetId="6">[8]Hidden!#REF!</definedName>
    <definedName name="BUD_CUR">[9]Hidden!#REF!</definedName>
    <definedName name="BUD_YTD" localSheetId="5">#REF!</definedName>
    <definedName name="BUD_YTD" localSheetId="6">[8]Hidden!#REF!</definedName>
    <definedName name="BUD_YTD">[9]Hidden!#REF!</definedName>
    <definedName name="BUN" localSheetId="6">[10]WTB!$DD$5</definedName>
    <definedName name="BUN">#REF!</definedName>
    <definedName name="BusUnitCode" localSheetId="6">[13]Settings!$I$3</definedName>
    <definedName name="BusUnitCode">#REF!</definedName>
    <definedName name="BusUnitName" localSheetId="6">[13]Settings!$I$4</definedName>
    <definedName name="BusUnitName">#REF!</definedName>
    <definedName name="BUV" localSheetId="6">'[12]Income Statement (WMofWA)'!#REF!</definedName>
    <definedName name="BUV">#REF!</definedName>
    <definedName name="Calc" localSheetId="6">[10]WTB!#REF!</definedName>
    <definedName name="Calc">#REF!</definedName>
    <definedName name="Calc0" localSheetId="6">[10]WTB!#REF!</definedName>
    <definedName name="Calc0">#REF!</definedName>
    <definedName name="Calc1" localSheetId="6">[10]WTB!#REF!</definedName>
    <definedName name="Calc1">#REF!</definedName>
    <definedName name="Calc10" localSheetId="6">[10]WTB!#REF!</definedName>
    <definedName name="Calc10">#REF!</definedName>
    <definedName name="Calc11" localSheetId="6">[10]WTB!#REF!</definedName>
    <definedName name="Calc11">#REF!</definedName>
    <definedName name="Calc12" localSheetId="6">[10]WTB!#REF!</definedName>
    <definedName name="Calc12">#REF!</definedName>
    <definedName name="Calc13" localSheetId="6">[10]WTB!#REF!</definedName>
    <definedName name="Calc13">#REF!</definedName>
    <definedName name="Calc14" localSheetId="6">[10]WTB!#REF!</definedName>
    <definedName name="Calc14">#REF!</definedName>
    <definedName name="Calc15" localSheetId="6">[10]WTB!#REF!</definedName>
    <definedName name="Calc15">#REF!</definedName>
    <definedName name="Calc16" localSheetId="6">[10]WTB!#REF!</definedName>
    <definedName name="Calc16">#REF!</definedName>
    <definedName name="Calc17" localSheetId="6">[10]WTB!#REF!</definedName>
    <definedName name="Calc17">#REF!</definedName>
    <definedName name="Calc18" localSheetId="6">[10]WTB!#REF!</definedName>
    <definedName name="Calc18">#REF!</definedName>
    <definedName name="Calc2" localSheetId="6">[10]WTB!#REF!</definedName>
    <definedName name="Calc2">#REF!</definedName>
    <definedName name="Calc3" localSheetId="6">[10]WTB!#REF!</definedName>
    <definedName name="Calc3">#REF!</definedName>
    <definedName name="Calc4" localSheetId="6">[10]WTB!#REF!</definedName>
    <definedName name="Calc4">#REF!</definedName>
    <definedName name="Calc5" localSheetId="6">[10]WTB!#REF!</definedName>
    <definedName name="Calc5">#REF!</definedName>
    <definedName name="Calc6" localSheetId="6">[10]WTB!#REF!</definedName>
    <definedName name="Calc6">#REF!</definedName>
    <definedName name="Calc7" localSheetId="6">[10]WTB!#REF!</definedName>
    <definedName name="Calc7">#REF!</definedName>
    <definedName name="Calc8" localSheetId="6">[10]WTB!#REF!</definedName>
    <definedName name="Calc8">#REF!</definedName>
    <definedName name="Calc9" localSheetId="6">[10]WTB!#REF!</definedName>
    <definedName name="Calc9">#REF!</definedName>
    <definedName name="CalRecyTons" localSheetId="6">'[17]Recycl Tons, Commodity Value'!$L$23</definedName>
    <definedName name="CalRecyTons">'[18]Recycl Tons, Commodity Value'!$L$23</definedName>
    <definedName name="CanCartTons">[19]CanCartTonsAllocate!$E$3</definedName>
    <definedName name="CheckTotals" localSheetId="5">#REF!</definedName>
    <definedName name="CheckTotals" localSheetId="6">#REF!</definedName>
    <definedName name="CheckTotals">#REF!</definedName>
    <definedName name="clear" localSheetId="6">#REF!</definedName>
    <definedName name="clear">#REF!</definedName>
    <definedName name="CoCanTons">[20]Cust_Count1!$M$28</definedName>
    <definedName name="CoComYd">'[20]Gross Yardage Worksheet'!$L$16</definedName>
    <definedName name="CoCustCnt" localSheetId="6">#REF!</definedName>
    <definedName name="CoCustCnt">#REF!</definedName>
    <definedName name="colgroup">[3]Orientation!$G$6</definedName>
    <definedName name="colsegment">[3]Orientation!$F$6</definedName>
    <definedName name="Comments" localSheetId="6">[21]Main!$K$57:INDEX([21]Main!$K$57:$K$59,SUMPRODUCT(--([21]Main!$K$57:$K$59&lt;&gt;"")))</definedName>
    <definedName name="Comments">#REF!:INDEX(#REF!,SUMPRODUCT(--(#REF!&lt;&gt;"")))</definedName>
    <definedName name="CommlStaffPriceOut" localSheetId="6">'[22]Price Out-Reg EASTSIDE-Resi'!#REF!</definedName>
    <definedName name="CommlStaffPriceOut">#REF!</definedName>
    <definedName name="CoMultiYd">'[20]Gross Yardage Worksheet'!$L$31</definedName>
    <definedName name="ContainerTons">[19]ContainerTonsAllocation!$E$2</definedName>
    <definedName name="ControlNumber">[23]Summary!$J$8</definedName>
    <definedName name="COST_OF_SERVICE_STUDY" localSheetId="6">#REF!</definedName>
    <definedName name="COST_OF_SERVICE_STUDY">#REF!</definedName>
    <definedName name="Coststudy" localSheetId="6">#REF!</definedName>
    <definedName name="Coststudy">#REF!</definedName>
    <definedName name="CoXtraYds" localSheetId="6">#REF!</definedName>
    <definedName name="CoXtraYds">#REF!</definedName>
    <definedName name="CR" localSheetId="6">#REF!</definedName>
    <definedName name="CR">#REF!</definedName>
    <definedName name="CRCTable" localSheetId="5">#REF!</definedName>
    <definedName name="CRCTable" localSheetId="6">#REF!</definedName>
    <definedName name="CRCTable">#REF!</definedName>
    <definedName name="CRCTableOLD" localSheetId="5">#REF!</definedName>
    <definedName name="CRCTableOLD" localSheetId="6">#REF!</definedName>
    <definedName name="CRCTableOLD">#REF!</definedName>
    <definedName name="CriteriaType">[24]ControlPanel!$Z$2:$Z$5</definedName>
    <definedName name="CtyCanTons">[20]Cust_Count1!$N$28</definedName>
    <definedName name="CtyComYd">'[20]Gross Yardage Worksheet'!$L$49</definedName>
    <definedName name="CtyCustCnt" localSheetId="6">#REF!</definedName>
    <definedName name="CtyCustCnt">#REF!</definedName>
    <definedName name="CtyMultiYd">'[20]Gross Yardage Worksheet'!$L$64</definedName>
    <definedName name="CtyXtraYds" localSheetId="6">#REF!</definedName>
    <definedName name="CtyXtraYds">#REF!</definedName>
    <definedName name="CUR" localSheetId="6">'[25]O-9'!#REF!</definedName>
    <definedName name="CUR">#REF!</definedName>
    <definedName name="Currency" localSheetId="6">[21]Main!$I$82</definedName>
    <definedName name="Currency">#REF!</definedName>
    <definedName name="CurrentMonth" localSheetId="6">#REF!</definedName>
    <definedName name="CurrentMonth">#REF!</definedName>
    <definedName name="Cutomers" localSheetId="5">#REF!</definedName>
    <definedName name="Cutomers" localSheetId="6">#REF!</definedName>
    <definedName name="Cutomers">#REF!</definedName>
    <definedName name="CWR" localSheetId="6">'[1]SALES TAX RETURN_20140'!$A$1:$E$49</definedName>
    <definedName name="CWR">#REF!</definedName>
    <definedName name="CWRS" localSheetId="6">#REF!</definedName>
    <definedName name="CWRS">#REF!</definedName>
    <definedName name="CYear" localSheetId="6">'[25]O-9'!#REF!</definedName>
    <definedName name="CYear">#REF!</definedName>
    <definedName name="dasd" localSheetId="6">rank</definedName>
    <definedName name="dasd">rank</definedName>
    <definedName name="Data_End_Test" localSheetId="6">#REF!</definedName>
    <definedName name="Data_End_Test">#REF!</definedName>
    <definedName name="Data_Start_Test" localSheetId="6">#REF!</definedName>
    <definedName name="Data_Start_Test">#REF!</definedName>
    <definedName name="_xlnm.Database" localSheetId="5">#REF!</definedName>
    <definedName name="_xlnm.Database" localSheetId="6">#REF!</definedName>
    <definedName name="_xlnm.Database">#REF!</definedName>
    <definedName name="Database_MI" localSheetId="6">#REF!</definedName>
    <definedName name="Database_MI">#REF!</definedName>
    <definedName name="Database1" localSheetId="5">#REF!</definedName>
    <definedName name="Database1" localSheetId="6">#REF!</definedName>
    <definedName name="Database1">#REF!</definedName>
    <definedName name="Database2">#REF!</definedName>
    <definedName name="DateFrom" localSheetId="6">#REF!</definedName>
    <definedName name="DateFrom">'[26]41201 JE Query'!$I$12</definedName>
    <definedName name="DateRange" localSheetId="6">#REF!</definedName>
    <definedName name="DateRange">#REF!</definedName>
    <definedName name="DateTo" localSheetId="6">#REF!</definedName>
    <definedName name="DateTo">'[26]41201 JE Query'!$I$13</definedName>
    <definedName name="DAY" localSheetId="6">'[12]Income Statement (WMofWA)'!#REF!</definedName>
    <definedName name="DAY">#REF!</definedName>
    <definedName name="DBxStaffPriceOut" localSheetId="6">'[22]Price Out-Reg EASTSIDE-Resi'!#REF!</definedName>
    <definedName name="DBxStaffPriceOut">#REF!</definedName>
    <definedName name="DEBITS" localSheetId="6">'[1]ASSETS 11XXX'!$A$1:$L$19</definedName>
    <definedName name="DEBITS">#REF!</definedName>
    <definedName name="debtP" localSheetId="6">#REF!</definedName>
    <definedName name="debtP">#REF!</definedName>
    <definedName name="DeleteCMReconBook">[23]Summary!$J$10</definedName>
    <definedName name="deletion" localSheetId="6">#REF!</definedName>
    <definedName name="deletion">#REF!</definedName>
    <definedName name="DEPT" localSheetId="5">#REF!</definedName>
    <definedName name="DEPT" localSheetId="6">[8]Hidden!#REF!</definedName>
    <definedName name="DEPT">[9]Hidden!#REF!</definedName>
    <definedName name="Detail" localSheetId="6">#REF!</definedName>
    <definedName name="Detail">#REF!</definedName>
    <definedName name="DetailBudYear" localSheetId="6">#REF!</definedName>
    <definedName name="DetailBudYear">#REF!</definedName>
    <definedName name="DetailDistrict" localSheetId="6">#REF!</definedName>
    <definedName name="DetailDistrict">#REF!</definedName>
    <definedName name="DispRates" localSheetId="6">#REF!</definedName>
    <definedName name="DispRates">#REF!</definedName>
    <definedName name="Dist" localSheetId="6">[27]Data!$E$3</definedName>
    <definedName name="Dist">#REF!</definedName>
    <definedName name="District" localSheetId="6">#REF!</definedName>
    <definedName name="District">'[28]Vashon BS'!#REF!</definedName>
    <definedName name="District_1" localSheetId="6">'[28]Vashon BS'!#REF!</definedName>
    <definedName name="District_1">#REF!</definedName>
    <definedName name="DistrictName">[23]Summary!$M$8</definedName>
    <definedName name="DistrictNum" localSheetId="5">#REF!</definedName>
    <definedName name="DistrictNum" localSheetId="6">#REF!</definedName>
    <definedName name="DistrictNum">#REF!</definedName>
    <definedName name="Districts" localSheetId="6">#REF!</definedName>
    <definedName name="Districts">#REF!</definedName>
    <definedName name="DistrictSelection" localSheetId="6">[29]Summary!$C$6</definedName>
    <definedName name="DistrictSelection">#REF!</definedName>
    <definedName name="DistStaffSignOffStatus">[23]Summary!$N$19</definedName>
    <definedName name="DivisionSignOffReq">[23]Summary!$M$11</definedName>
    <definedName name="DivSignOffStatus">[23]Summary!$N$18</definedName>
    <definedName name="dOG" localSheetId="6">#REF!</definedName>
    <definedName name="dOG">#REF!</definedName>
    <definedName name="drlFilter" localSheetId="6">[3]Settings!$D$27</definedName>
    <definedName name="drlFilter">[3]Settings!$D$27</definedName>
    <definedName name="End" localSheetId="5">#REF!</definedName>
    <definedName name="End" localSheetId="6">#REF!</definedName>
    <definedName name="End">#REF!</definedName>
    <definedName name="EndTime" localSheetId="6">'[25]O-9'!#REF!</definedName>
    <definedName name="EndTime">#REF!</definedName>
    <definedName name="EntrieShownLimit" localSheetId="6">#REF!</definedName>
    <definedName name="EntrieShownLimit">'[26]41201 JE Query'!$D$6</definedName>
    <definedName name="ewfw32a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xcludeIC" localSheetId="6">#REF!</definedName>
    <definedName name="ExcludeIC">'[28]Vashon BS'!#REF!</definedName>
    <definedName name="ExcludeIC_1" localSheetId="6">'[28]Vashon BS'!#REF!</definedName>
    <definedName name="ExcludeIC_1">#REF!</definedName>
    <definedName name="expenses" localSheetId="6">#REF!</definedName>
    <definedName name="expenses">#REF!</definedName>
    <definedName name="ExpensesPF1" localSheetId="6">'[30]LG County Area'!$K$8</definedName>
    <definedName name="ExpensesPF1">#REF!</definedName>
    <definedName name="EXT" localSheetId="6">#REF!</definedName>
    <definedName name="EXT">#REF!</definedName>
    <definedName name="FBTable" localSheetId="5">#REF!</definedName>
    <definedName name="FBTable" localSheetId="6">#REF!</definedName>
    <definedName name="FBTable">#REF!</definedName>
    <definedName name="FBTableOld" localSheetId="5">#REF!</definedName>
    <definedName name="FBTableOld" localSheetId="6">#REF!</definedName>
    <definedName name="FBTableOld">#REF!</definedName>
    <definedName name="fences">#REF!</definedName>
    <definedName name="FICA">#REF!</definedName>
    <definedName name="filter" localSheetId="6">[3]Settings!$B$14:$H$25</definedName>
    <definedName name="filter">[3]Settings!$B$14:$H$25</definedName>
    <definedName name="Financial" localSheetId="6">[10]WTB!#REF!</definedName>
    <definedName name="Financial">#REF!</definedName>
    <definedName name="FirstColCriteria" localSheetId="6">[10]WTB!#REF!</definedName>
    <definedName name="FirstColCriteria">#REF!</definedName>
    <definedName name="FirstHeaderCriteria" localSheetId="6">[10]WTB!#REF!</definedName>
    <definedName name="FirstHeaderCriteria">#REF!</definedName>
    <definedName name="flag" localSheetId="6">[10]WTB!#REF!</definedName>
    <definedName name="flag">#REF!</definedName>
    <definedName name="Format_Column" localSheetId="6">#REF!</definedName>
    <definedName name="Format_Column">#REF!</definedName>
    <definedName name="formata" localSheetId="6">#REF!</definedName>
    <definedName name="formata">#REF!</definedName>
    <definedName name="formatb" localSheetId="6">#REF!</definedName>
    <definedName name="formatb">#REF!</definedName>
    <definedName name="FromMonth" localSheetId="6">#REF!</definedName>
    <definedName name="FromMonth">#REF!</definedName>
    <definedName name="FundsApprPend" localSheetId="6">[27]Data!#REF!</definedName>
    <definedName name="FundsApprPend">#REF!</definedName>
    <definedName name="FundsBudUnbud" localSheetId="6">[27]Data!#REF!</definedName>
    <definedName name="FundsBudUnbud">#REF!</definedName>
    <definedName name="FY" localSheetId="6">'[12]Income Statement (WMofWA)'!#REF!</definedName>
    <definedName name="FY">#REF!</definedName>
    <definedName name="GLMappingStart" localSheetId="5">#REF!</definedName>
    <definedName name="GLMappingStart" localSheetId="6">#REF!</definedName>
    <definedName name="GLMappingStart">#REF!</definedName>
    <definedName name="GLMappingStart1" localSheetId="6">#REF!</definedName>
    <definedName name="GLMappingStart1">#REF!</definedName>
    <definedName name="GRETABLE">[31]Gresham!$E$12:$AI$261</definedName>
    <definedName name="HeaderReturnMessage">[23]Summary!$Q$16</definedName>
    <definedName name="Heading1" localSheetId="6">'[12]Income Statement (WMofWA)'!#REF!</definedName>
    <definedName name="Heading1">#REF!</definedName>
    <definedName name="IDN" localSheetId="6">'[12]Income Statement (WMofWA)'!#REF!</definedName>
    <definedName name="IDN">#REF!</definedName>
    <definedName name="IFN" localSheetId="6">'[12]Income Statement (WMofWA)'!#REF!</definedName>
    <definedName name="IFN">#REF!</definedName>
    <definedName name="Import_Range" localSheetId="6">[27]Data!#REF!</definedName>
    <definedName name="Import_Range">#REF!</definedName>
    <definedName name="IncomeStmnt" localSheetId="5">#REF!</definedName>
    <definedName name="IncomeStmnt" localSheetId="6">#REF!</definedName>
    <definedName name="IncomeStmnt">#REF!</definedName>
    <definedName name="INPUT" localSheetId="5">#REF!</definedName>
    <definedName name="INPUT" localSheetId="6">#REF!</definedName>
    <definedName name="INPUT">#REF!</definedName>
    <definedName name="INPUT1">#REF!</definedName>
    <definedName name="INPUTc" localSheetId="6">#REF!</definedName>
    <definedName name="INPUTc">#REF!</definedName>
    <definedName name="InsertColRange" localSheetId="6">[10]WTB!#REF!</definedName>
    <definedName name="InsertColRange">#REF!</definedName>
    <definedName name="Insurance" localSheetId="5">#REF!</definedName>
    <definedName name="Insurance" localSheetId="6">#REF!</definedName>
    <definedName name="Insurance">#REF!</definedName>
    <definedName name="inter2">#REF!</definedName>
    <definedName name="intercept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6">[27]Invoice_Drill!#REF!</definedName>
    <definedName name="Invoice_Star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5">#REF!</definedName>
    <definedName name="JEDetail" localSheetId="6">#REF!</definedName>
    <definedName name="JEDetail">#REF!</definedName>
    <definedName name="JEDetail1" localSheetId="6">#REF!</definedName>
    <definedName name="JEDetail1">#REF!</definedName>
    <definedName name="JEType" localSheetId="5">#REF!</definedName>
    <definedName name="JEType" localSheetId="6">#REF!</definedName>
    <definedName name="JEType">#REF!</definedName>
    <definedName name="JEType1" localSheetId="6">#REF!</definedName>
    <definedName name="JEType1">#REF!</definedName>
    <definedName name="Juris1CanCount">[19]Cust_Count1!$C$60</definedName>
    <definedName name="Juris1CanTons">[19]Cust_Count1!$C$30</definedName>
    <definedName name="Juris1ComYd">'[19]Gross Yardage Worksheet'!$L$16</definedName>
    <definedName name="Juris1CustCnt">[19]Cust_Count2!$E$39</definedName>
    <definedName name="Juris1MultiYd">'[19]Gross Yardage Worksheet'!$X$16</definedName>
    <definedName name="Juris1SeasonalYds">'[19]Gross Yardage Worksheet'!$R$18</definedName>
    <definedName name="Juris1XtraYds">[19]Cust_Count2!$E$28</definedName>
    <definedName name="Juris2CanCount">[19]Cust_Count1!$D$60</definedName>
    <definedName name="Juris2CanTons">[19]Cust_Count1!$D$30</definedName>
    <definedName name="Juris2ComYd">'[19]Gross Yardage Worksheet'!$L$33</definedName>
    <definedName name="Juris2CustCnt">[19]Cust_Count2!$F$39</definedName>
    <definedName name="Juris2MultiYd">'[19]Gross Yardage Worksheet'!$X$33</definedName>
    <definedName name="Juris2SeasonalYds">'[19]Gross Yardage Worksheet'!$R$35</definedName>
    <definedName name="Juris2XtraYds">[19]Cust_Count2!$F$28</definedName>
    <definedName name="Juris3CanCount">[19]Cust_Count1!$E$60</definedName>
    <definedName name="Juris3CanTons">[19]Cust_Count1!$E$30</definedName>
    <definedName name="Juris3ComYd">'[19]Gross Yardage Worksheet'!$L$51</definedName>
    <definedName name="Juris3CustCnt">[19]Cust_Count2!$G$39</definedName>
    <definedName name="Juris3MultiYd">'[19]Gross Yardage Worksheet'!$X$51</definedName>
    <definedName name="Juris3SeasonalYds">'[19]Gross Yardage Worksheet'!$R$53</definedName>
    <definedName name="Juris3XtraYds">[19]Cust_Count2!$G$28</definedName>
    <definedName name="Juris4CanCount">[19]Cust_Count1!$F$60</definedName>
    <definedName name="Juris4CanTons">[19]Cust_Count1!$F$30</definedName>
    <definedName name="Juris4ComYd">'[19]Gross Yardage Worksheet'!$L$68</definedName>
    <definedName name="Juris4CustCnt">[19]Cust_Count2!$H$39</definedName>
    <definedName name="Juris4MultiYd">'[19]Gross Yardage Worksheet'!$X$68</definedName>
    <definedName name="Juris4SeasonalYds">'[19]Gross Yardage Worksheet'!$R$70</definedName>
    <definedName name="Juris4XtraYds">[19]Cust_Count2!$H$28</definedName>
    <definedName name="Juris5CanCount">[19]Cust_Count1!$G$60</definedName>
    <definedName name="Juris5CanTons">[19]Cust_Count1!$G$30</definedName>
    <definedName name="Juris5ComYD">'[19]Gross Yardage Worksheet'!$L$85</definedName>
    <definedName name="Juris5CustCnt">[19]Cust_Count2!$I$39</definedName>
    <definedName name="Juris5MultiYd">'[19]Gross Yardage Worksheet'!$X$85</definedName>
    <definedName name="Juris5SeasonalYds">'[19]Gross Yardage Worksheet'!$R$87</definedName>
    <definedName name="Juris5XtraYds">[19]Cust_Count2!$I$28</definedName>
    <definedName name="Jurisdiction_1">'[19]Title Inputs'!$C$5</definedName>
    <definedName name="Jurisdiction_2">'[19]Title Inputs'!$C$6</definedName>
    <definedName name="Jurisdiction_3">'[19]Title Inputs'!$C$7</definedName>
    <definedName name="Jurisdiction_4">'[19]Title Inputs'!$C$8</definedName>
    <definedName name="Jurisdiction_5">'[19]Title Inputs'!$C$9</definedName>
    <definedName name="LAST_ROW" localSheetId="6">'[32]Income Statement (Tonnage)'!#REF!</definedName>
    <definedName name="LAST_ROW">#REF!</definedName>
    <definedName name="LastExecutedFor">[23]Summary!$Q$17</definedName>
    <definedName name="LastSavedOn">[23]Summary!$Q$19</definedName>
    <definedName name="lblBillAreaStatus" localSheetId="5">#REF!</definedName>
    <definedName name="lblBillAreaStatus" localSheetId="6">#REF!</definedName>
    <definedName name="lblBillAreaStatus">#REF!</definedName>
    <definedName name="lblBillCycleStatus" localSheetId="5">#REF!</definedName>
    <definedName name="lblBillCycleStatus" localSheetId="6">#REF!</definedName>
    <definedName name="lblBillCycleStatus">#REF!</definedName>
    <definedName name="lblCategoryStatus" localSheetId="5">#REF!</definedName>
    <definedName name="lblCategoryStatus" localSheetId="6">#REF!</definedName>
    <definedName name="lblCategoryStatus">#REF!</definedName>
    <definedName name="lblCompanyStatus" localSheetId="5">#REF!</definedName>
    <definedName name="lblCompanyStatus" localSheetId="6">#REF!</definedName>
    <definedName name="lblCompanyStatus">#REF!</definedName>
    <definedName name="lblDatabaseStatus" localSheetId="5">#REF!</definedName>
    <definedName name="lblDatabaseStatus" localSheetId="6">#REF!</definedName>
    <definedName name="lblDatabaseStatus">#REF!</definedName>
    <definedName name="lblPullStatus" localSheetId="5">#REF!</definedName>
    <definedName name="lblPullStatus" localSheetId="6">#REF!</definedName>
    <definedName name="lblPullStatus">#REF!</definedName>
    <definedName name="level">#REF!</definedName>
    <definedName name="lllllllllllllllllllll" localSheetId="5">#REF!</definedName>
    <definedName name="lllllllllllllllllllll" localSheetId="6">#REF!</definedName>
    <definedName name="lllllllllllllllllllll">#REF!</definedName>
    <definedName name="LOB" localSheetId="6">[33]DropDownRanges!$B$4:$B$37</definedName>
    <definedName name="LOB">[34]DropDownRanges!$B$4:$B$37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 localSheetId="6">#REF!</definedName>
    <definedName name="LU_Line">#REF!</definedName>
    <definedName name="Lurito" localSheetId="6">#REF!</definedName>
    <definedName name="Lurito">#REF!</definedName>
    <definedName name="LYN" localSheetId="6">'[12]Income Statement (WMofWA)'!#REF!</definedName>
    <definedName name="LYN">#REF!</definedName>
    <definedName name="MainDataEnd" localSheetId="5">#REF!</definedName>
    <definedName name="MainDataEnd" localSheetId="6">#REF!</definedName>
    <definedName name="MainDataEnd">#REF!</definedName>
    <definedName name="MainDataStart" localSheetId="5">#REF!</definedName>
    <definedName name="MainDataStart" localSheetId="6">#REF!</definedName>
    <definedName name="MainDataStart">#REF!</definedName>
    <definedName name="MapKeyStart" localSheetId="5">#REF!</definedName>
    <definedName name="MapKeyStart" localSheetId="6">#REF!</definedName>
    <definedName name="MapKeyStart">#REF!</definedName>
    <definedName name="master_def" localSheetId="5">#REF!</definedName>
    <definedName name="master_def" localSheetId="6">#REF!</definedName>
    <definedName name="master_def">#REF!</definedName>
    <definedName name="MATRIX" localSheetId="6">#REF!</definedName>
    <definedName name="MATRIX">#REF!</definedName>
    <definedName name="MemoAttachment" localSheetId="6">#REF!</definedName>
    <definedName name="MemoAttachment">#REF!</definedName>
    <definedName name="MetaSet" localSheetId="6">[3]Orientation!$C$22</definedName>
    <definedName name="MetaSet">[3]Orientation!$C$22</definedName>
    <definedName name="MFStaffPriceOut" localSheetId="6">'[22]Price Out-Reg EASTSIDE-Resi'!#REF!</definedName>
    <definedName name="MFStaffPriceOut">#REF!</definedName>
    <definedName name="MILTON" localSheetId="6">#REF!</definedName>
    <definedName name="MILTON">#REF!</definedName>
    <definedName name="MissingAccountList">[23]Summary!$Q$18</definedName>
    <definedName name="Month" localSheetId="6">#REF!</definedName>
    <definedName name="Month">#REF!</definedName>
    <definedName name="MonthList" localSheetId="6">'[27]Lookup Tables'!$A$1:$A$13</definedName>
    <definedName name="MonthList">#REF!</definedName>
    <definedName name="MthValue" localSheetId="6">'[25]O-9'!#REF!</definedName>
    <definedName name="MthValue">#REF!</definedName>
    <definedName name="NarrThreshold_Doll" localSheetId="6">[13]Settings!$I$27</definedName>
    <definedName name="NarrThreshold_Doll">#REF!</definedName>
    <definedName name="NarrThreshold_Perc" localSheetId="6">[13]Settings!$I$26</definedName>
    <definedName name="NarrThreshold_Perc">#REF!</definedName>
    <definedName name="New" localSheetId="6">#REF!</definedName>
    <definedName name="New">#REF!</definedName>
    <definedName name="NewAccountCheck">[23]Summary!$L$18</definedName>
    <definedName name="NewLob" localSheetId="6">[33]DropDownRanges!$B$4:$B$37</definedName>
    <definedName name="NewLob">[34]DropDownRanges!$B$4:$B$37</definedName>
    <definedName name="NewOnlyOrg">#N/A</definedName>
    <definedName name="NewSource" localSheetId="6">[33]DropDownRanges!$D$4:$D$7</definedName>
    <definedName name="NewSource">[34]DropDownRanges!$D$4:$D$7</definedName>
    <definedName name="nn" localSheetId="6">#REF!</definedName>
    <definedName name="nn">#REF!</definedName>
    <definedName name="NONRECAP" localSheetId="6">#REF!</definedName>
    <definedName name="NONRECAP">#REF!</definedName>
    <definedName name="NOTES" localSheetId="5">#REF!</definedName>
    <definedName name="NOTES" localSheetId="6">#REF!</definedName>
    <definedName name="NOTES">#REF!</definedName>
    <definedName name="NR" localSheetId="6">#REF!</definedName>
    <definedName name="NR">#REF!</definedName>
    <definedName name="numbe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6">rank</definedName>
    <definedName name="NvsInstanceHook">rank</definedName>
    <definedName name="NvsInstanceHook1" localSheetId="6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bservations">#REF!</definedName>
    <definedName name="OfficerSalary">#N/A</definedName>
    <definedName name="OffsetAcctBil">[35]JEexport!$L$10</definedName>
    <definedName name="OffsetAcctPmt">[35]JEexport!$L$9</definedName>
    <definedName name="Operations" localSheetId="6">'[12]Income Statement (WMofWA)'!#REF!</definedName>
    <definedName name="Operations">#REF!</definedName>
    <definedName name="OPR" localSheetId="6">'[12]Income Statement (WMofWA)'!#REF!</definedName>
    <definedName name="OPR">#REF!</definedName>
    <definedName name="Org11_13">#N/A</definedName>
    <definedName name="Org7_10">#N/A</definedName>
    <definedName name="ORIG2GALWT_" localSheetId="6">#REF!</definedName>
    <definedName name="ORIG2GALWT_">#REF!</definedName>
    <definedName name="ORIG2OH" localSheetId="6">#REF!</definedName>
    <definedName name="ORIG2OH">#REF!</definedName>
    <definedName name="OthCanTons">[20]Cust_Count1!$O$28</definedName>
    <definedName name="OthComYd">'[20]Gross Yardage Worksheet'!$L$82</definedName>
    <definedName name="OthCustCnt" localSheetId="6">#REF!</definedName>
    <definedName name="OthCustCnt">#REF!</definedName>
    <definedName name="OthMultiYd">'[20]Gross Yardage Worksheet'!$L$98</definedName>
    <definedName name="OthXtraYds" localSheetId="6">#REF!</definedName>
    <definedName name="OthXtraYds">#REF!</definedName>
    <definedName name="outliercut">#REF!</definedName>
    <definedName name="p" localSheetId="5">#REF!</definedName>
    <definedName name="p" localSheetId="6">#REF!</definedName>
    <definedName name="p">#REF!</definedName>
    <definedName name="PAGE_1" localSheetId="5">#REF!</definedName>
    <definedName name="PAGE_1" localSheetId="6">#REF!</definedName>
    <definedName name="PAGE_1">#REF!</definedName>
    <definedName name="Page10" localSheetId="6">#REF!</definedName>
    <definedName name="Page10">#REF!</definedName>
    <definedName name="Page10a" localSheetId="6">#REF!</definedName>
    <definedName name="Page10a">#REF!</definedName>
    <definedName name="page11" localSheetId="6">#REF!</definedName>
    <definedName name="page11">#REF!</definedName>
    <definedName name="page12" localSheetId="6">#REF!</definedName>
    <definedName name="page12">#REF!</definedName>
    <definedName name="Page16" localSheetId="6">#REF!</definedName>
    <definedName name="Page16">#REF!</definedName>
    <definedName name="Page17" localSheetId="6">#REF!</definedName>
    <definedName name="Page17">#REF!</definedName>
    <definedName name="Page18" localSheetId="6">#REF!</definedName>
    <definedName name="Page18">#REF!</definedName>
    <definedName name="Page20" localSheetId="6">#REF!</definedName>
    <definedName name="Page20">#REF!</definedName>
    <definedName name="page7" localSheetId="6">#REF!</definedName>
    <definedName name="page7">#REF!</definedName>
    <definedName name="Page7a" localSheetId="6">#REF!</definedName>
    <definedName name="Page7a">#REF!</definedName>
    <definedName name="pBatchID" localSheetId="5">#REF!</definedName>
    <definedName name="pBatchID" localSheetId="6">#REF!</definedName>
    <definedName name="pBatchID">#REF!</definedName>
    <definedName name="pBillArea" localSheetId="5">#REF!</definedName>
    <definedName name="pBillArea" localSheetId="6">#REF!</definedName>
    <definedName name="pBillArea">#REF!</definedName>
    <definedName name="pBillCycle" localSheetId="5">#REF!</definedName>
    <definedName name="pBillCycle" localSheetId="6">#REF!</definedName>
    <definedName name="pBillCycle">#REF!</definedName>
    <definedName name="pCategory" localSheetId="5">#REF!</definedName>
    <definedName name="pCategory" localSheetId="6">#REF!</definedName>
    <definedName name="pCategory">#REF!</definedName>
    <definedName name="pCompany" localSheetId="5">#REF!</definedName>
    <definedName name="pCompany" localSheetId="6">#REF!</definedName>
    <definedName name="pCompany">#REF!</definedName>
    <definedName name="pCustomerNumber" localSheetId="5">#REF!</definedName>
    <definedName name="pCustomerNumber" localSheetId="6">#REF!</definedName>
    <definedName name="pCustomerNumber">#REF!</definedName>
    <definedName name="pDatabase" localSheetId="5">#REF!</definedName>
    <definedName name="pDatabase" localSheetId="6">#REF!</definedName>
    <definedName name="pDatabase">#REF!</definedName>
    <definedName name="PED" localSheetId="6">'[12]Income Statement (WMofWA)'!#REF!</definedName>
    <definedName name="PED">#REF!</definedName>
    <definedName name="pEndPostDate" localSheetId="5">#REF!</definedName>
    <definedName name="pEndPostDate" localSheetId="6">#REF!</definedName>
    <definedName name="pEndPostDate">#REF!</definedName>
    <definedName name="PER" localSheetId="6">[10]WTB!$DC$5</definedName>
    <definedName name="PER">#REF!</definedName>
    <definedName name="Period" localSheetId="5">#REF!</definedName>
    <definedName name="Period" localSheetId="6">#REF!</definedName>
    <definedName name="Period">#REF!</definedName>
    <definedName name="PFREVB4" localSheetId="6">#REF!</definedName>
    <definedName name="PFREVB4">#REF!</definedName>
    <definedName name="pMonth" localSheetId="5">#REF!</definedName>
    <definedName name="pMonth" localSheetId="6">#REF!</definedName>
    <definedName name="pMonth">#REF!</definedName>
    <definedName name="pOnlyShowLastTranx" localSheetId="5">#REF!</definedName>
    <definedName name="pOnlyShowLastTranx" localSheetId="6">#REF!</definedName>
    <definedName name="pOnlyShowLastTranx">#REF!</definedName>
    <definedName name="Posting" localSheetId="6">#REF!</definedName>
    <definedName name="Posting">#REF!</definedName>
    <definedName name="POTruckSubTypeLookup" localSheetId="6">[36]TruckCenterReference!$B$26:$D$74</definedName>
    <definedName name="POTruckSubTypeLookup">#REF!</definedName>
    <definedName name="ppemeasurement">#REF!</definedName>
    <definedName name="primtbl">[3]Orientation!$C$23</definedName>
    <definedName name="_xlnm.Print_Area" localSheetId="5">#REF!</definedName>
    <definedName name="_xlnm.Print_Area" localSheetId="2">'Company Calc'!$A$1:$X$89,'Company Calc'!$A$90:$P$129</definedName>
    <definedName name="_xlnm.Print_Area" localSheetId="6">'DF Schedule'!$A$1:$O$116</definedName>
    <definedName name="_xlnm.Print_Area" localSheetId="1">'Proposed Rates'!$A$1:$E$120</definedName>
    <definedName name="_xlnm.Print_Area" localSheetId="3">'Proposed Rates #2'!$A$1:$F$111</definedName>
    <definedName name="_xlnm.Print_Area" localSheetId="0">References!$A$1:$H$75</definedName>
    <definedName name="_xlnm.Print_Area">#REF!</definedName>
    <definedName name="Print_Area_MI" localSheetId="5">#REF!</definedName>
    <definedName name="Print_Area_MI" localSheetId="6">#REF!</definedName>
    <definedName name="Print_Area_MI">#REF!</definedName>
    <definedName name="Print_Area_MIc" localSheetId="6">#REF!</definedName>
    <definedName name="Print_Area_MIc">#REF!</definedName>
    <definedName name="Print_Area1" localSheetId="5">#REF!</definedName>
    <definedName name="Print_Area1" localSheetId="6">#REF!</definedName>
    <definedName name="Print_Area1">#REF!</definedName>
    <definedName name="Print_Area11" localSheetId="6">#REF!</definedName>
    <definedName name="Print_Area11">#REF!</definedName>
    <definedName name="Print_Area2" localSheetId="5">#REF!</definedName>
    <definedName name="Print_Area2" localSheetId="6">#REF!</definedName>
    <definedName name="Print_Area2">#REF!</definedName>
    <definedName name="Print_Area3" localSheetId="5">#REF!</definedName>
    <definedName name="Print_Area3" localSheetId="6">#REF!</definedName>
    <definedName name="Print_Area3">#REF!</definedName>
    <definedName name="Print_Area5" localSheetId="5">#REF!</definedName>
    <definedName name="Print_Area5" localSheetId="6">#REF!</definedName>
    <definedName name="Print_Area5">#REF!</definedName>
    <definedName name="_xlnm.Print_Titles" localSheetId="2">'Company Calc'!$A:$D,'Company Calc'!$1:$6</definedName>
    <definedName name="_xlnm.Print_Titles" localSheetId="1">'Proposed Rates'!$1:$6</definedName>
    <definedName name="_xlnm.Print_Titles" localSheetId="3">'Proposed Rates #2'!$1:$6</definedName>
    <definedName name="Print_Titles_MI" localSheetId="6">#REF!</definedName>
    <definedName name="Print_Titles_MI">#REF!</definedName>
    <definedName name="Print1" localSheetId="5">#REF!</definedName>
    <definedName name="Print1" localSheetId="6">#REF!</definedName>
    <definedName name="Print1">#REF!</definedName>
    <definedName name="Print2" localSheetId="5">#REF!</definedName>
    <definedName name="Print2" localSheetId="6">#REF!</definedName>
    <definedName name="Print2">#REF!</definedName>
    <definedName name="Print5" localSheetId="5">#REF!</definedName>
    <definedName name="Print5" localSheetId="6">#REF!</definedName>
    <definedName name="Print5">#REF!</definedName>
    <definedName name="Prnit_Range" localSheetId="6">#REF!</definedName>
    <definedName name="Prnit_Range">#REF!</definedName>
    <definedName name="ProRev" localSheetId="6">'[14]Pacific Regulated - Price Out'!$M$49</definedName>
    <definedName name="ProRev">'[15]Pacific Regulated - Price Out'!$M$49</definedName>
    <definedName name="ProRev_com" localSheetId="6">'[14]Pacific Regulated - Price Out'!$M$213</definedName>
    <definedName name="ProRev_com">'[15]Pacific Regulated - Price Out'!$M$213</definedName>
    <definedName name="ProRev_mfr" localSheetId="6">'[14]Pacific Regulated - Price Out'!$M$221</definedName>
    <definedName name="ProRev_mfr">'[15]Pacific Regulated - Price Out'!$M$221</definedName>
    <definedName name="ProRev_ro" localSheetId="6">'[14]Pacific Regulated - Price Out'!$M$281</definedName>
    <definedName name="ProRev_ro">'[15]Pacific Regulated - Price Out'!$M$281</definedName>
    <definedName name="ProRev_rr" localSheetId="6">'[14]Pacific Regulated - Price Out'!$M$58</definedName>
    <definedName name="ProRev_rr">'[15]Pacific Regulated - Price Out'!$M$58</definedName>
    <definedName name="ProRev_yw" localSheetId="6">'[14]Pacific Regulated - Price Out'!$M$69</definedName>
    <definedName name="ProRev_yw">'[15]Pacific Regulated - Price Out'!$M$69</definedName>
    <definedName name="pServer" localSheetId="5">#REF!</definedName>
    <definedName name="pServer" localSheetId="6">#REF!</definedName>
    <definedName name="pServer">#REF!</definedName>
    <definedName name="pServiceCode" localSheetId="5">#REF!</definedName>
    <definedName name="pServiceCode" localSheetId="6">#REF!</definedName>
    <definedName name="pServiceCode">#REF!</definedName>
    <definedName name="pShowAllUnposted" localSheetId="5">#REF!</definedName>
    <definedName name="pShowAllUnposted" localSheetId="6">#REF!</definedName>
    <definedName name="pShowAllUnposted">#REF!</definedName>
    <definedName name="pShowCustomerDetail" localSheetId="5">#REF!</definedName>
    <definedName name="pShowCustomerDetail" localSheetId="6">#REF!</definedName>
    <definedName name="pShowCustomerDetail">#REF!</definedName>
    <definedName name="pSortOption" localSheetId="5">#REF!</definedName>
    <definedName name="pSortOption" localSheetId="6">#REF!</definedName>
    <definedName name="pSortOption">#REF!</definedName>
    <definedName name="pStartPostDate" localSheetId="5">#REF!</definedName>
    <definedName name="pStartPostDate" localSheetId="6">#REF!</definedName>
    <definedName name="pStartPostDate">#REF!</definedName>
    <definedName name="pTransType" localSheetId="5">#REF!</definedName>
    <definedName name="pTransType" localSheetId="6">#REF!</definedName>
    <definedName name="pTransType">#REF!</definedName>
    <definedName name="PYear" localSheetId="6">'[25]O-9'!#REF!</definedName>
    <definedName name="PYear">#REF!</definedName>
    <definedName name="QtrValue" localSheetId="6">#REF!</definedName>
    <definedName name="QtrValue">#REF!</definedName>
    <definedName name="Quarter_Budget" localSheetId="6">#REF!</definedName>
    <definedName name="Quarter_Budget">#REF!</definedName>
    <definedName name="Quarter_Month" localSheetId="6">#REF!</definedName>
    <definedName name="Quarter_Month">#REF!</definedName>
    <definedName name="range">#REF!</definedName>
    <definedName name="RBU" localSheetId="6">'[12]Income Statement (WMofWA)'!#REF!</definedName>
    <definedName name="RBU">#REF!</definedName>
    <definedName name="RCW_81.04.080">#N/A</definedName>
    <definedName name="RECAP" localSheetId="6">#REF!</definedName>
    <definedName name="RECAP">#REF!</definedName>
    <definedName name="RECAP2" localSheetId="6">#REF!</definedName>
    <definedName name="RECAP2">#REF!</definedName>
    <definedName name="ReconMonth">[23]Summary!$J$18</definedName>
    <definedName name="_xlnm.Recorder" localSheetId="6">#REF!</definedName>
    <definedName name="_xlnm.Recorder">#REF!</definedName>
    <definedName name="RecyDisposal">#N/A</definedName>
    <definedName name="Reg_Cust_Billed_Percent" localSheetId="6">'[37]Consolidated IS 2009 2010'!$AK$20</definedName>
    <definedName name="Reg_Cust_Billed_Percent">#REF!</definedName>
    <definedName name="Reg_Cust_Percent" localSheetId="6">'[37]Consolidated IS 2009 2010'!$AC$20</definedName>
    <definedName name="Reg_Cust_Percent">#REF!</definedName>
    <definedName name="Reg_Drive_Percent" localSheetId="6">'[37]Consolidated IS 2009 2010'!$AC$40</definedName>
    <definedName name="Reg_Drive_Percent">#REF!</definedName>
    <definedName name="Reg_Haul_Rev_Percent" localSheetId="6">'[37]Consolidated IS 2009 2010'!$Z$18</definedName>
    <definedName name="Reg_Haul_Rev_Percent">#REF!</definedName>
    <definedName name="Reg_Lab_Percent" localSheetId="6">'[37]Consolidated IS 2009 2010'!$AC$39</definedName>
    <definedName name="Reg_Lab_Percent">#REF!</definedName>
    <definedName name="Reg_Steel_Cont_Percent" localSheetId="6">'[37]Consolidated IS 2009 2010'!$AE$120</definedName>
    <definedName name="Reg_Steel_Cont_Percent">#REF!</definedName>
    <definedName name="RegionSignOffReq">[23]Summary!$M$10</definedName>
    <definedName name="RegionSignOffStatus">[23]Summary!$N$17</definedName>
    <definedName name="RegulatedIS" localSheetId="6">'[37]2009 IS'!$A$12:$Q$655</definedName>
    <definedName name="RegulatedIS">#REF!</definedName>
    <definedName name="RelatedSalary">#N/A</definedName>
    <definedName name="report_type" localSheetId="6">[3]Orientation!$C$24</definedName>
    <definedName name="report_type">[3]Orientation!$C$24</definedName>
    <definedName name="Reporting_Jurisdiction">'[19]Title Inputs'!$C$4</definedName>
    <definedName name="ReportNames" localSheetId="6">[24]ControlPanel!$X$2:$X$8</definedName>
    <definedName name="ReportNames">[38]ControlPanel!$S$2:$S$16</definedName>
    <definedName name="ReportVersion" localSheetId="6">[3]Settings!$D$5</definedName>
    <definedName name="ReportVersion">[3]Settings!$D$5</definedName>
    <definedName name="ReslStaffPriceOut" localSheetId="6">'[22]Price Out-Reg EASTSIDE-Resi'!#REF!</definedName>
    <definedName name="ReslStaffPriceOut">#REF!</definedName>
    <definedName name="RetainedEarnings" localSheetId="5">#REF!</definedName>
    <definedName name="RetainedEarnings" localSheetId="6">#REF!</definedName>
    <definedName name="RetainedEarnings">#REF!</definedName>
    <definedName name="RevCust" localSheetId="5">#REF!</definedName>
    <definedName name="RevCust" localSheetId="6">[39]RevenuesCust!#REF!</definedName>
    <definedName name="RevCust">[40]RevenuesCust!#REF!</definedName>
    <definedName name="RevCustomer" localSheetId="6">#REF!</definedName>
    <definedName name="RevCustomer">#REF!</definedName>
    <definedName name="REVDETAIL" localSheetId="6">#REF!</definedName>
    <definedName name="REVDETAIL">#REF!</definedName>
    <definedName name="Revenue" localSheetId="6">#REF!</definedName>
    <definedName name="Revenue">#REF!</definedName>
    <definedName name="RevenuePF1" localSheetId="6">'[30]LG County Area'!$K$7</definedName>
    <definedName name="RevenuePF1">#REF!</definedName>
    <definedName name="REVMAT" localSheetId="6">#REF!</definedName>
    <definedName name="REVMAT">#REF!</definedName>
    <definedName name="RID" localSheetId="6">'[12]Income Statement (WMofWA)'!#REF!</definedName>
    <definedName name="RID">#REF!</definedName>
    <definedName name="rngBodyText">[6]Delivery!$B$15</definedName>
    <definedName name="RngBottomRight">[6]Delivery!$B$23</definedName>
    <definedName name="rngColDelChars">[6]Delivery!$B$26</definedName>
    <definedName name="rngColumnDelete">[6]Delivery!$B$26</definedName>
    <definedName name="rngCreateLog">[3]Delivery!$B$12</definedName>
    <definedName name="rngDeleteColumns">[6]Delivery!$A$29:$A$38</definedName>
    <definedName name="rngDeleteRows">[6]Delivery!$B$29:$B$38</definedName>
    <definedName name="rngEmail">[6]Delivery!$B$9</definedName>
    <definedName name="rngFileDir">[6]Delivery!$B$6</definedName>
    <definedName name="rngFileFormat">[6]Delivery!$B$4</definedName>
    <definedName name="rngFileName">[6]Delivery!$B$5</definedName>
    <definedName name="rngFilePassword">[3]Delivery!$B$6</definedName>
    <definedName name="rngPassword">[6]Delivery!$B$21</definedName>
    <definedName name="rngPasswordProtect">[6]Delivery!$B$20</definedName>
    <definedName name="rngPrint">[6]Delivery!$B$11</definedName>
    <definedName name="rngRetainFormulas">[6]Delivery!$B$19</definedName>
    <definedName name="rngSaveFile">[6]Delivery!$B$10</definedName>
    <definedName name="rngSourceTab">[3]Delivery!$E$8</definedName>
    <definedName name="rngSubjectLine">[6]Delivery!$B$14</definedName>
    <definedName name="rngTabName">[6]Delivery!$B$18</definedName>
    <definedName name="rngTopLeft">[6]Delivery!$B$22</definedName>
    <definedName name="ROCE" localSheetId="6">#REF!,#REF!</definedName>
    <definedName name="ROCE">#REF!,#REF!</definedName>
    <definedName name="ROW_SUPRESS" localSheetId="6">'[12]Income Statement (WMofWA)'!#REF!</definedName>
    <definedName name="ROW_SUPRESS">#REF!</definedName>
    <definedName name="rowgroup" localSheetId="6">[3]Orientation!$C$17</definedName>
    <definedName name="rowgroup">[3]Orientation!$C$17</definedName>
    <definedName name="rowsegment" localSheetId="6">[3]Orientation!$B$17</definedName>
    <definedName name="rowsegment">[3]Orientation!$B$17</definedName>
    <definedName name="RptEmailAddress">[6]Delivery!$D$4:$D$1005</definedName>
    <definedName name="rtr" localSheetId="6">'[41]Variance Report'!#REF!</definedName>
    <definedName name="rtr">#REF!</definedName>
    <definedName name="RTT" localSheetId="6">'[12]Income Statement (WMofWA)'!#REF!</definedName>
    <definedName name="RTT">#REF!</definedName>
    <definedName name="sale" localSheetId="6">#REF!</definedName>
    <definedName name="sale">#REF!</definedName>
    <definedName name="SALES_TAX_RETURN" localSheetId="6">#REF!</definedName>
    <definedName name="SALES_TAX_RETURN">#REF!</definedName>
    <definedName name="Sbst" localSheetId="6">#REF!</definedName>
    <definedName name="Sbst">#REF!</definedName>
    <definedName name="SCN" localSheetId="6">'[12]Income Statement (WMofWA)'!#REF!</definedName>
    <definedName name="SCN">#REF!</definedName>
    <definedName name="seffasfasdfsd" localSheetId="6">[9]Hidden!#REF!</definedName>
    <definedName name="seffasfasdfsd">#REF!</definedName>
    <definedName name="SEPARATE" localSheetId="6">#REF!</definedName>
    <definedName name="SEPARATE">#REF!</definedName>
    <definedName name="Separation" localSheetId="6">[42]ProF!#REF!</definedName>
    <definedName name="Separation">#REF!</definedName>
    <definedName name="Sequential_Group" localSheetId="6">[3]Settings!$J$6</definedName>
    <definedName name="Sequential_Group">[3]Settings!$J$6</definedName>
    <definedName name="Sequential_Segment" localSheetId="6">[3]Settings!$I$6</definedName>
    <definedName name="Sequential_Segment">[3]Settings!$I$6</definedName>
    <definedName name="Sequential_sort" localSheetId="6">[3]Settings!$I$10:$J$11</definedName>
    <definedName name="Sequential_sort">[3]Settings!$I$10:$J$11</definedName>
    <definedName name="Setting_DeprFactor" localSheetId="6">[13]Settings!$F$5</definedName>
    <definedName name="Setting_DeprFactor">#REF!</definedName>
    <definedName name="Setting_LFDeplUnitAcct" localSheetId="6">[13]Settings!$F$4</definedName>
    <definedName name="Setting_LFDeplUnitAcct">#REF!</definedName>
    <definedName name="Setting_LFUnitCost" localSheetId="6">[13]Settings!$F$3</definedName>
    <definedName name="Setting_LFUnitCost">#REF!</definedName>
    <definedName name="Setting_LFUnitCostNY" localSheetId="6">[13]Settings!$F$7</definedName>
    <definedName name="Setting_LFUnitCostNY">#REF!</definedName>
    <definedName name="Setting_LFUnitRow" localSheetId="6">[13]Settings!$C$3</definedName>
    <definedName name="Setting_LFUnitRow">#REF!</definedName>
    <definedName name="SFD" localSheetId="6">[10]WTB!$DE$5</definedName>
    <definedName name="SFD">#REF!</definedName>
    <definedName name="SFD_BU" localSheetId="6">'[12]Income Statement (WMofWA)'!#REF!</definedName>
    <definedName name="SFD_BU">#REF!</definedName>
    <definedName name="SFD_DEPTID" localSheetId="6">'[12]Income Statement (WMofWA)'!#REF!</definedName>
    <definedName name="SFD_DEPTID">#REF!</definedName>
    <definedName name="SFD_OP" localSheetId="6">'[12]Income Statement (WMofWA)'!#REF!</definedName>
    <definedName name="SFD_OP">#REF!</definedName>
    <definedName name="SFD_PROD" localSheetId="6">'[12]Income Statement (WMofWA)'!#REF!</definedName>
    <definedName name="SFD_PROD">#REF!</definedName>
    <definedName name="SFD_PROJ" localSheetId="6">'[12]Income Statement (WMofWA)'!#REF!</definedName>
    <definedName name="SFD_PROJ">#REF!</definedName>
    <definedName name="sfdbusunit" localSheetId="6">#REF!</definedName>
    <definedName name="sfdbusunit">#REF!</definedName>
    <definedName name="SFV" localSheetId="6">[10]WTB!$DE$4</definedName>
    <definedName name="SFV">#REF!</definedName>
    <definedName name="SFV_BU" localSheetId="6">'[12]Income Statement (WMofWA)'!#REF!</definedName>
    <definedName name="SFV_BU">#REF!</definedName>
    <definedName name="SFV_CUR" localSheetId="6">#REF!</definedName>
    <definedName name="SFV_CUR">#REF!</definedName>
    <definedName name="SFV_CUR1" localSheetId="6">'[10]2008 West Group IS'!$AM$9</definedName>
    <definedName name="SFV_CUR1">#REF!</definedName>
    <definedName name="SFV_CUR5" localSheetId="6">'[10]2008 Group Office IS'!$AM$9</definedName>
    <definedName name="SFV_CUR5">#REF!</definedName>
    <definedName name="SFV_DEPTID" localSheetId="6">'[12]Income Statement (WMofWA)'!#REF!</definedName>
    <definedName name="SFV_DEPTID">#REF!</definedName>
    <definedName name="SFV_OP" localSheetId="6">'[12]Income Statement (WMofWA)'!#REF!</definedName>
    <definedName name="SFV_OP">#REF!</definedName>
    <definedName name="SFV_PROD" localSheetId="6">'[12]Income Statement (WMofWA)'!#REF!</definedName>
    <definedName name="SFV_PROD">#REF!</definedName>
    <definedName name="SFV_PROJ" localSheetId="6">'[12]Income Statement (WMofWA)'!#REF!</definedName>
    <definedName name="SFV_PROJ">#REF!</definedName>
    <definedName name="SIC_Table" localSheetId="6">#REF!</definedName>
    <definedName name="SIC_Table">#REF!</definedName>
    <definedName name="sics">#REF!</definedName>
    <definedName name="slope" localSheetId="6">'[43]LG Nonpublic 2018 V5.0'!$X$58</definedName>
    <definedName name="slope">#REF!</definedName>
    <definedName name="SLOPE1">#REF!</definedName>
    <definedName name="sort" localSheetId="6">#REF!</definedName>
    <definedName name="sort">#REF!</definedName>
    <definedName name="Sort1" localSheetId="6">#REF!</definedName>
    <definedName name="Sort1">#REF!</definedName>
    <definedName name="sortcol" localSheetId="5">#REF!</definedName>
    <definedName name="sortcol" localSheetId="6">#REF!</definedName>
    <definedName name="sortcol">#REF!</definedName>
    <definedName name="Source" localSheetId="6">[33]DropDownRanges!$D$4:$D$7</definedName>
    <definedName name="Source">[34]DropDownRanges!$D$4:$D$7</definedName>
    <definedName name="SPWS_WBID">"115966228744984"</definedName>
    <definedName name="sSRCDate" localSheetId="5">#REF!</definedName>
    <definedName name="sSRCDate" localSheetId="6">'[44]2008'!$C$3</definedName>
    <definedName name="sSRCDate">'[45]Feb''12 FAR Data'!#REF!</definedName>
    <definedName name="start" localSheetId="6">#REF!</definedName>
    <definedName name="start">#REF!</definedName>
    <definedName name="Stop" localSheetId="6">'[25]O-9'!#REF!</definedName>
    <definedName name="Stop">#REF!</definedName>
    <definedName name="SubSystem">#REF!</definedName>
    <definedName name="SubSystems" localSheetId="6">#REF!</definedName>
    <definedName name="SubSystems">#REF!</definedName>
    <definedName name="SubtypeToTruckType">[46]TruckCenterReference!$C$29:$D$79</definedName>
    <definedName name="SUMMARY" localSheetId="6">#REF!</definedName>
    <definedName name="SUMMARY">#REF!</definedName>
    <definedName name="Summary_DistrictName" localSheetId="6">[47]Summary!$B$7</definedName>
    <definedName name="Summary_DistrictName">#REF!</definedName>
    <definedName name="Summary_DistrictNo" localSheetId="6">[47]Summary!$B$5</definedName>
    <definedName name="Summary_DistrictNo">#REF!</definedName>
    <definedName name="Supplemental_filter" localSheetId="6">[3]Settings!$C$31</definedName>
    <definedName name="Supplemental_filter">[3]Settings!$C$31</definedName>
    <definedName name="SWDisposal">#N/A</definedName>
    <definedName name="Syst" localSheetId="6">#REF!</definedName>
    <definedName name="Syst">#REF!</definedName>
    <definedName name="System" localSheetId="6">#REF!</definedName>
    <definedName name="System">[48]BS_Close!$V$8</definedName>
    <definedName name="System_1" localSheetId="6">[48]BS_Close!$V$8</definedName>
    <definedName name="System_1">#REF!</definedName>
    <definedName name="Systems" localSheetId="6">#REF!</definedName>
    <definedName name="Systems">#REF!</definedName>
    <definedName name="Table_SIC" localSheetId="6">#REF!</definedName>
    <definedName name="Table_SIC">#REF!</definedName>
    <definedName name="TargetMonths" localSheetId="6">[13]Settings!$I$18</definedName>
    <definedName name="TargetMonths">#REF!</definedName>
    <definedName name="TemplateEnd" localSheetId="5">#REF!</definedName>
    <definedName name="TemplateEnd" localSheetId="6">#REF!</definedName>
    <definedName name="TemplateEnd">#REF!</definedName>
    <definedName name="TemplateStart" localSheetId="5">#REF!</definedName>
    <definedName name="TemplateStart" localSheetId="6">#REF!</definedName>
    <definedName name="TemplateStart">#REF!</definedName>
    <definedName name="test" localSheetId="6">'[49]Sch 4 - 12months'!$B$10:$O$86</definedName>
    <definedName name="test">#REF!</definedName>
    <definedName name="TheTable" localSheetId="5">#REF!</definedName>
    <definedName name="TheTable" localSheetId="6">#REF!</definedName>
    <definedName name="TheTable">#REF!</definedName>
    <definedName name="TheTableOLD" localSheetId="5">#REF!</definedName>
    <definedName name="TheTableOLD" localSheetId="6">#REF!</definedName>
    <definedName name="TheTableOLD">#REF!</definedName>
    <definedName name="timeseries" localSheetId="6">[3]Orientation!$B$6:$C$13</definedName>
    <definedName name="timeseries">[3]Orientation!$B$6:$C$13</definedName>
    <definedName name="Title2" localSheetId="6">'[25]O-9'!#REF!</definedName>
    <definedName name="Title2">#REF!</definedName>
    <definedName name="ToMonth" localSheetId="6">#REF!</definedName>
    <definedName name="ToMonth">#REF!</definedName>
    <definedName name="Tons" localSheetId="6">#REF!</definedName>
    <definedName name="Tons">#REF!</definedName>
    <definedName name="TOP" localSheetId="6">'[7]10800-10899'!#REF!</definedName>
    <definedName name="TOP">#REF!</definedName>
    <definedName name="Total_Comm" localSheetId="6">'[17]Tariff Rate Sheet'!$L$214</definedName>
    <definedName name="Total_Comm">'[18]Tariff Rate Sheet'!$L$214</definedName>
    <definedName name="Total_DB" localSheetId="6">'[17]Tariff Rate Sheet'!$L$278</definedName>
    <definedName name="Total_DB">'[18]Tariff Rate Sheet'!$L$278</definedName>
    <definedName name="Total_Interest" localSheetId="6">'[50]Amortization Table'!$F$18</definedName>
    <definedName name="Total_Interest">#REF!</definedName>
    <definedName name="Total_Resi" localSheetId="6">'[17]Tariff Rate Sheet'!$L$107</definedName>
    <definedName name="Total_Resi">'[18]Tariff Rate Sheet'!$L$107</definedName>
    <definedName name="TotalYards">'[20]Gross Yardage Worksheet'!$N$101</definedName>
    <definedName name="TOTCONT">'[31]Sorted Master'!$K$9</definedName>
    <definedName name="TOTCRECCONT">'[31]Sorted Master'!$Z$9</definedName>
    <definedName name="TOTCRECCUST" localSheetId="6">'[51]Master IS'!#REF!</definedName>
    <definedName name="TOTCRECCUST">'[52]Master IS'!#REF!</definedName>
    <definedName name="TOTCRECDH" localSheetId="6">'[51]Master IS'!#REF!</definedName>
    <definedName name="TOTCRECDH">'[52]Master IS'!#REF!</definedName>
    <definedName name="TOTCRECREV" localSheetId="6">'[51]Master IS'!#REF!</definedName>
    <definedName name="TOTCRECREV">'[52]Master IS'!#REF!</definedName>
    <definedName name="TOTCRECTDEP" localSheetId="6">'[51]Master IS'!#REF!</definedName>
    <definedName name="TOTCRECTDEP">'[52]Master IS'!#REF!</definedName>
    <definedName name="TOTCRECTH">'[31]Sorted Master'!$Z$8</definedName>
    <definedName name="TOTCRECTV" localSheetId="6">'[51]Master IS'!#REF!</definedName>
    <definedName name="TOTCRECTV">'[52]Master IS'!#REF!</definedName>
    <definedName name="TOTCUST" localSheetId="6">'[51]Master IS'!#REF!</definedName>
    <definedName name="TOTCUST">'[52]Master IS'!#REF!</definedName>
    <definedName name="TOTDBCONT" localSheetId="6">'[51]Master IS'!#REF!</definedName>
    <definedName name="TOTDBCONT">'[52]Master IS'!#REF!</definedName>
    <definedName name="TOTDBCUST" localSheetId="6">'[51]Master IS'!#REF!</definedName>
    <definedName name="TOTDBCUST">'[52]Master IS'!#REF!</definedName>
    <definedName name="TOTDBDH" localSheetId="6">'[51]Master IS'!#REF!</definedName>
    <definedName name="TOTDBDH">'[52]Master IS'!#REF!</definedName>
    <definedName name="TOTDBREV" localSheetId="6">'[51]Master IS'!#REF!</definedName>
    <definedName name="TOTDBREV">'[52]Master IS'!#REF!</definedName>
    <definedName name="TOTDBTDEP" localSheetId="6">'[51]Master IS'!#REF!</definedName>
    <definedName name="TOTDBTDEP">'[52]Master IS'!#REF!</definedName>
    <definedName name="TOTDBTH" localSheetId="6">'[51]Master IS'!#REF!</definedName>
    <definedName name="TOTDBTH">'[52]Master IS'!#REF!</definedName>
    <definedName name="TOTDBTV" localSheetId="6">'[51]Master IS'!#REF!</definedName>
    <definedName name="TOTDBTV">'[52]Master IS'!#REF!</definedName>
    <definedName name="TOTDEBCONT" localSheetId="6">'[51]Master IS'!#REF!</definedName>
    <definedName name="TOTDEBCONT">'[52]Master IS'!#REF!</definedName>
    <definedName name="TOTDEBCUST" localSheetId="6">'[51]Master IS'!#REF!</definedName>
    <definedName name="TOTDEBCUST">'[52]Master IS'!#REF!</definedName>
    <definedName name="TOTDEBDH" localSheetId="6">'[51]Master IS'!#REF!</definedName>
    <definedName name="TOTDEBDH">'[52]Master IS'!#REF!</definedName>
    <definedName name="TOTDEBREV" localSheetId="6">'[51]Master IS'!#REF!</definedName>
    <definedName name="TOTDEBREV">'[52]Master IS'!#REF!</definedName>
    <definedName name="TOTDEBTH">'[31]Sorted Master'!$AD$8</definedName>
    <definedName name="TOTDH" localSheetId="6">'[51]Master IS'!#REF!</definedName>
    <definedName name="TOTDH">'[52]Master IS'!#REF!</definedName>
    <definedName name="TOTFELCONT" localSheetId="6">'[51]Master IS'!#REF!</definedName>
    <definedName name="TOTFELCONT">'[52]Master IS'!#REF!</definedName>
    <definedName name="TOTFELCUST" localSheetId="6">'[51]Master IS'!#REF!</definedName>
    <definedName name="TOTFELCUST">'[52]Master IS'!#REF!</definedName>
    <definedName name="TOTFELDH" localSheetId="6">'[51]Master IS'!#REF!</definedName>
    <definedName name="TOTFELDH">'[52]Master IS'!#REF!</definedName>
    <definedName name="TOTFELREV" localSheetId="6">'[51]Master IS'!#REF!</definedName>
    <definedName name="TOTFELREV">'[52]Master IS'!#REF!</definedName>
    <definedName name="TOTFELTDEP" localSheetId="6">'[51]Master IS'!#REF!</definedName>
    <definedName name="TOTFELTDEP">'[52]Master IS'!#REF!</definedName>
    <definedName name="TOTFELTH" localSheetId="6">'[51]Master IS'!#REF!</definedName>
    <definedName name="TOTFELTH">'[52]Master IS'!#REF!</definedName>
    <definedName name="TOTFELTV" localSheetId="6">'[51]Master IS'!#REF!</definedName>
    <definedName name="TOTFELTV">'[52]Master IS'!#REF!</definedName>
    <definedName name="TOTRESCONT" localSheetId="6">'[51]Master IS'!#REF!</definedName>
    <definedName name="TOTRESCONT">'[52]Master IS'!#REF!</definedName>
    <definedName name="TOTRESCUST" localSheetId="6">'[51]Master IS'!#REF!</definedName>
    <definedName name="TOTRESCUST">'[52]Master IS'!#REF!</definedName>
    <definedName name="TOTRESDH" localSheetId="6">'[51]Master IS'!#REF!</definedName>
    <definedName name="TOTRESDH">'[52]Master IS'!#REF!</definedName>
    <definedName name="TOTRESRCONT" localSheetId="6">'[51]Master IS'!#REF!</definedName>
    <definedName name="TOTRESRCONT">'[52]Master IS'!#REF!</definedName>
    <definedName name="TOTRESRCUST" localSheetId="6">'[51]Master IS'!#REF!</definedName>
    <definedName name="TOTRESRCUST">'[52]Master IS'!#REF!</definedName>
    <definedName name="TOTRESRDH" localSheetId="6">'[51]Master IS'!#REF!</definedName>
    <definedName name="TOTRESRDH">'[52]Master IS'!#REF!</definedName>
    <definedName name="TOTRESREV" localSheetId="6">'[51]Master IS'!#REF!</definedName>
    <definedName name="TOTRESREV">'[52]Master IS'!#REF!</definedName>
    <definedName name="TOTRESRREV" localSheetId="6">'[51]Master IS'!#REF!</definedName>
    <definedName name="TOTRESRREV">'[52]Master IS'!#REF!</definedName>
    <definedName name="TOTRESRTDEP" localSheetId="6">'[51]Master IS'!#REF!</definedName>
    <definedName name="TOTRESRTDEP">'[52]Master IS'!#REF!</definedName>
    <definedName name="TOTRESRTH" localSheetId="6">'[51]Master IS'!#REF!</definedName>
    <definedName name="TOTRESRTH">'[52]Master IS'!#REF!</definedName>
    <definedName name="TOTRESRTV" localSheetId="6">'[51]Master IS'!#REF!</definedName>
    <definedName name="TOTRESRTV">'[52]Master IS'!#REF!</definedName>
    <definedName name="TOTRESTDEP" localSheetId="6">'[51]Master IS'!#REF!</definedName>
    <definedName name="TOTRESTDEP">'[52]Master IS'!#REF!</definedName>
    <definedName name="TOTRESTH" localSheetId="6">'[51]Master IS'!#REF!</definedName>
    <definedName name="TOTRESTH">'[52]Master IS'!#REF!</definedName>
    <definedName name="TOTRESTV" localSheetId="6">'[51]Master IS'!#REF!</definedName>
    <definedName name="TOTRESTV">'[52]Master IS'!#REF!</definedName>
    <definedName name="TOTREV" localSheetId="6">'[51]Master IS'!#REF!</definedName>
    <definedName name="TOTREV">'[52]Master IS'!#REF!</definedName>
    <definedName name="TOTTDEP" localSheetId="6">'[51]Master IS'!#REF!</definedName>
    <definedName name="TOTTDEP">'[52]Master IS'!#REF!</definedName>
    <definedName name="TOTTH" localSheetId="6">'[51]Master IS'!#REF!</definedName>
    <definedName name="TOTTH">'[52]Master IS'!#REF!</definedName>
    <definedName name="TOTTV" localSheetId="6">'[51]Master IS'!#REF!</definedName>
    <definedName name="TOTTV">'[52]Master IS'!#REF!</definedName>
    <definedName name="Transactions" localSheetId="5">#REF!</definedName>
    <definedName name="Transactions" localSheetId="6">#REF!</definedName>
    <definedName name="Transactions">#REF!</definedName>
    <definedName name="UnformattedIS" localSheetId="6">#REF!</definedName>
    <definedName name="UnformattedIS">#REF!</definedName>
    <definedName name="UnregulatedIS" localSheetId="6">'[37]2010 IS'!$A$12:$Q$654</definedName>
    <definedName name="UnregulatedIS">#REF!</definedName>
    <definedName name="UserTestMode">[23]Summary!$J$9</definedName>
    <definedName name="ValidFormats">[6]Delivery!$AA$4:$AA$10</definedName>
    <definedName name="variable">#REF!</definedName>
    <definedName name="Variables" localSheetId="6">'[12]Income Statement (WMofWA)'!#REF!</definedName>
    <definedName name="Variables">#REF!</definedName>
    <definedName name="VarianceStatus">[23]Summary!$L$17</definedName>
    <definedName name="VarianceTolerance">[23]Summary!$U$21</definedName>
    <definedName name="VendorCode" localSheetId="6">#REF!</definedName>
    <definedName name="VendorCode">#REF!</definedName>
    <definedName name="Version" localSheetId="6">[27]Data!#REF!</definedName>
    <definedName name="Version">#REF!</definedName>
    <definedName name="Waste_Management__Inc." localSheetId="6">#REF!</definedName>
    <definedName name="Waste_Management__Inc.">#REF!</definedName>
    <definedName name="WksInYr" localSheetId="6">#REF!</definedName>
    <definedName name="WksInYr">#REF!</definedName>
    <definedName name="WM" localSheetId="6">#REF!</definedName>
    <definedName name="WM">#REF!</definedName>
    <definedName name="wrn.PrintReview." localSheetId="6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6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6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6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6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5">#REF!</definedName>
    <definedName name="WTable" localSheetId="6">#REF!</definedName>
    <definedName name="WTable">#REF!</definedName>
    <definedName name="WTableOld" localSheetId="5">#REF!</definedName>
    <definedName name="WTableOld" localSheetId="6">#REF!</definedName>
    <definedName name="WTableOld">#REF!</definedName>
    <definedName name="ww" localSheetId="6">#REF!</definedName>
    <definedName name="ww">#REF!</definedName>
    <definedName name="x" localSheetId="6">rank</definedName>
    <definedName name="x">rank</definedName>
    <definedName name="xperiod" localSheetId="6">[3]Orientation!$G$15</definedName>
    <definedName name="xperiod">[3]Orientation!$G$15</definedName>
    <definedName name="xtabin" localSheetId="5">#REF!</definedName>
    <definedName name="xtabin" localSheetId="6">[8]Hidden!#REF!</definedName>
    <definedName name="xtabin">[9]Hidden!#REF!</definedName>
    <definedName name="xx" localSheetId="5">#REF!</definedName>
    <definedName name="xx" localSheetId="6">#REF!</definedName>
    <definedName name="xx">#REF!</definedName>
    <definedName name="xxx" localSheetId="6">#REF!</definedName>
    <definedName name="xxx">#REF!</definedName>
    <definedName name="xxxx" localSheetId="6">#REF!</definedName>
    <definedName name="xxxx">#REF!</definedName>
    <definedName name="y_inter1" localSheetId="6">'[43]LG Nonpublic 2018 V5.0'!$W$55</definedName>
    <definedName name="y_inter1">#REF!</definedName>
    <definedName name="y_inter2" localSheetId="6">'[43]LG Nonpublic 2018 V5.0'!$W$56</definedName>
    <definedName name="y_inter2">#REF!</definedName>
    <definedName name="y_inter3" localSheetId="6">'[43]LG Nonpublic 2018 V5.0'!$Y$55</definedName>
    <definedName name="y_inter3">#REF!</definedName>
    <definedName name="y_inter4" localSheetId="6">'[43]LG Nonpublic 2018 V5.0'!$Y$56</definedName>
    <definedName name="y_inter4">#REF!</definedName>
    <definedName name="Year" localSheetId="6">'[53]Aug Av. Fuel Price'!$E$15</definedName>
    <definedName name="Year">#REF!</definedName>
    <definedName name="Year_of_Review">'[19]Title Inputs'!$C$3</definedName>
    <definedName name="YEAR4" localSheetId="6">#REF!</definedName>
    <definedName name="YEAR4">#REF!</definedName>
    <definedName name="YearMonth" localSheetId="6">#REF!</definedName>
    <definedName name="YearMonth">'[28]Vashon BS'!#REF!</definedName>
    <definedName name="YearMonth_1" localSheetId="6">'[28]Vashon BS'!#REF!</definedName>
    <definedName name="YearMonth_1">#REF!</definedName>
    <definedName name="YearMonthDate" localSheetId="6">[13]Settings!$I$10</definedName>
    <definedName name="YearMonthDate">#REF!</definedName>
    <definedName name="YearMonthDate2" localSheetId="6">[13]Settings!$I$11</definedName>
    <definedName name="YearMonthDate2">#REF!</definedName>
    <definedName name="YearMonthDate3" localSheetId="6">[13]Settings!$I$12</definedName>
    <definedName name="YearMonthDate3">#REF!</definedName>
    <definedName name="YearMonthDate4" localSheetId="6">[13]Settings!$I$13</definedName>
    <definedName name="YearMonthDate4">#REF!</definedName>
    <definedName name="YearMonthDate5" localSheetId="6">[13]Settings!$I$14</definedName>
    <definedName name="YearMonthDate5">#REF!</definedName>
    <definedName name="years">#REF!</definedName>
    <definedName name="yrCur" localSheetId="6">'[54]Report Template'!$B$2002</definedName>
    <definedName name="yrCur">#REF!</definedName>
    <definedName name="yrNext" localSheetId="6">'[54]Report Template'!$B$2003</definedName>
    <definedName name="yrNext">#REF!</definedName>
    <definedName name="YWMedWasteDisp">#N/A</definedName>
    <definedName name="yy" localSheetId="6">#REF!</definedName>
    <definedName name="yy">#REF!</definedName>
    <definedName name="Z_156AD3D1_5094_4CD1_83C8_30E58A5AFCB6_.wvu.PrintArea" localSheetId="6" hidden="1">'DF Schedule'!$A$1:$O$116</definedName>
    <definedName name="Z_591FF4D1_4D4D_4220_B124_BC7A16E8B120_.wvu.PrintArea" localSheetId="6" hidden="1">'DF Schedule'!$A$1:$O$116</definedName>
    <definedName name="Zero_Format" localSheetId="6">#REF!</definedName>
    <definedName name="Zero_Format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6" i="12" l="1"/>
  <c r="E116" i="12"/>
  <c r="D116" i="12"/>
  <c r="D24" i="12"/>
  <c r="N93" i="13"/>
  <c r="K93" i="13"/>
  <c r="L93" i="13" s="1"/>
  <c r="J93" i="13"/>
  <c r="I93" i="13"/>
  <c r="H93" i="13"/>
  <c r="G93" i="13"/>
  <c r="O93" i="13" l="1"/>
  <c r="M93" i="13"/>
  <c r="F24" i="12" l="1"/>
  <c r="N81" i="13" l="1"/>
  <c r="H81" i="13"/>
  <c r="F81" i="13"/>
  <c r="E81" i="13"/>
  <c r="E48" i="13"/>
  <c r="E54" i="13"/>
  <c r="E73" i="13"/>
  <c r="E74" i="13"/>
  <c r="E79" i="13"/>
  <c r="AS157" i="18"/>
  <c r="N98" i="13"/>
  <c r="N97" i="13"/>
  <c r="N96" i="13"/>
  <c r="N95" i="13"/>
  <c r="N94" i="13"/>
  <c r="H98" i="13"/>
  <c r="I98" i="13" s="1"/>
  <c r="H97" i="13"/>
  <c r="H96" i="13"/>
  <c r="H95" i="13"/>
  <c r="H94" i="13"/>
  <c r="G98" i="13"/>
  <c r="G97" i="13"/>
  <c r="G96" i="13"/>
  <c r="G95" i="13"/>
  <c r="I95" i="13" s="1"/>
  <c r="G94" i="13"/>
  <c r="I97" i="13" l="1"/>
  <c r="I94" i="13"/>
  <c r="I96" i="13"/>
  <c r="G81" i="13"/>
  <c r="Q81" i="13"/>
  <c r="I81" i="13"/>
  <c r="E24" i="12"/>
  <c r="P93" i="13" s="1"/>
  <c r="F7" i="13"/>
  <c r="F8" i="13"/>
  <c r="N8" i="13"/>
  <c r="N7" i="13"/>
  <c r="H8" i="13"/>
  <c r="H7" i="13"/>
  <c r="E8" i="13"/>
  <c r="E7" i="13"/>
  <c r="AS49" i="18"/>
  <c r="D110" i="21"/>
  <c r="D111" i="21" s="1"/>
  <c r="E111" i="21" s="1"/>
  <c r="D90" i="21"/>
  <c r="D91" i="21" s="1"/>
  <c r="E91" i="21" s="1"/>
  <c r="D83" i="21"/>
  <c r="E83" i="21" s="1"/>
  <c r="D78" i="21"/>
  <c r="D79" i="21" s="1"/>
  <c r="E79" i="21" s="1"/>
  <c r="D75" i="21"/>
  <c r="D86" i="21" s="1"/>
  <c r="E86" i="21" s="1"/>
  <c r="D72" i="21"/>
  <c r="D73" i="21" s="1"/>
  <c r="E73" i="21" s="1"/>
  <c r="D68" i="21"/>
  <c r="E68" i="21" s="1"/>
  <c r="D54" i="21"/>
  <c r="E54" i="21" s="1"/>
  <c r="D53" i="21"/>
  <c r="D61" i="21" s="1"/>
  <c r="E61" i="21" s="1"/>
  <c r="D52" i="21"/>
  <c r="E52" i="21" s="1"/>
  <c r="D51" i="21"/>
  <c r="E51" i="21" s="1"/>
  <c r="D50" i="21"/>
  <c r="D66" i="21" s="1"/>
  <c r="E66" i="21" s="1"/>
  <c r="D49" i="21"/>
  <c r="D57" i="21" s="1"/>
  <c r="E57" i="21" s="1"/>
  <c r="D48" i="21"/>
  <c r="E48" i="21" s="1"/>
  <c r="D45" i="21"/>
  <c r="E45" i="21" s="1"/>
  <c r="D39" i="21"/>
  <c r="D42" i="21" s="1"/>
  <c r="D38" i="21"/>
  <c r="E38" i="21" s="1"/>
  <c r="D37" i="21"/>
  <c r="E37" i="21" s="1"/>
  <c r="D34" i="21"/>
  <c r="E34" i="21" s="1"/>
  <c r="D33" i="21"/>
  <c r="E33" i="21" s="1"/>
  <c r="D32" i="21"/>
  <c r="E32" i="21" s="1"/>
  <c r="D31" i="21"/>
  <c r="E31" i="21" s="1"/>
  <c r="D30" i="21"/>
  <c r="E30" i="21" s="1"/>
  <c r="D27" i="21"/>
  <c r="E27" i="21" s="1"/>
  <c r="D26" i="21"/>
  <c r="E26" i="21" s="1"/>
  <c r="D25" i="21"/>
  <c r="E25" i="21" s="1"/>
  <c r="D24" i="21"/>
  <c r="E24" i="21" s="1"/>
  <c r="D23" i="21"/>
  <c r="E23" i="21" s="1"/>
  <c r="D22" i="21"/>
  <c r="E22" i="21" s="1"/>
  <c r="D21" i="21"/>
  <c r="E21" i="21" s="1"/>
  <c r="D20" i="21"/>
  <c r="E20" i="21" s="1"/>
  <c r="D19" i="21"/>
  <c r="E19" i="21" s="1"/>
  <c r="D18" i="21"/>
  <c r="E18" i="21" s="1"/>
  <c r="D17" i="21"/>
  <c r="E17" i="21" s="1"/>
  <c r="D16" i="21"/>
  <c r="E16" i="21" s="1"/>
  <c r="D15" i="21"/>
  <c r="E15" i="21" s="1"/>
  <c r="D14" i="21"/>
  <c r="E14" i="21" s="1"/>
  <c r="D13" i="21"/>
  <c r="E13" i="21" s="1"/>
  <c r="D12" i="21"/>
  <c r="E12" i="21" s="1"/>
  <c r="D11" i="21"/>
  <c r="E11" i="21" s="1"/>
  <c r="D8" i="21"/>
  <c r="E8" i="21" s="1"/>
  <c r="D105" i="21" l="1"/>
  <c r="E105" i="21" s="1"/>
  <c r="E39" i="21"/>
  <c r="E53" i="21"/>
  <c r="E75" i="21"/>
  <c r="D76" i="21"/>
  <c r="E76" i="21" s="1"/>
  <c r="D56" i="21"/>
  <c r="E56" i="21" s="1"/>
  <c r="E49" i="21"/>
  <c r="D60" i="21"/>
  <c r="E60" i="21" s="1"/>
  <c r="D64" i="21"/>
  <c r="E64" i="21" s="1"/>
  <c r="G7" i="13"/>
  <c r="I7" i="13" s="1"/>
  <c r="Q7" i="13"/>
  <c r="G8" i="13"/>
  <c r="Q8" i="13"/>
  <c r="D103" i="21"/>
  <c r="E103" i="21" s="1"/>
  <c r="E42" i="21"/>
  <c r="D58" i="21"/>
  <c r="E58" i="21" s="1"/>
  <c r="D62" i="21"/>
  <c r="E62" i="21" s="1"/>
  <c r="D67" i="21"/>
  <c r="E67" i="21" s="1"/>
  <c r="D81" i="21"/>
  <c r="E81" i="21" s="1"/>
  <c r="D87" i="21"/>
  <c r="E87" i="21" s="1"/>
  <c r="D94" i="21"/>
  <c r="E94" i="21" s="1"/>
  <c r="D99" i="21"/>
  <c r="E99" i="21" s="1"/>
  <c r="D59" i="21"/>
  <c r="E59" i="21" s="1"/>
  <c r="D95" i="21"/>
  <c r="E95" i="21" s="1"/>
  <c r="D100" i="21"/>
  <c r="E100" i="21" s="1"/>
  <c r="D107" i="21"/>
  <c r="E107" i="21" s="1"/>
  <c r="E50" i="21"/>
  <c r="E90" i="21"/>
  <c r="D85" i="21"/>
  <c r="E85" i="21" s="1"/>
  <c r="D96" i="21"/>
  <c r="E96" i="21" s="1"/>
  <c r="D101" i="21"/>
  <c r="E101" i="21" s="1"/>
  <c r="D65" i="21"/>
  <c r="E65" i="21" s="1"/>
  <c r="E72" i="21"/>
  <c r="E78" i="21"/>
  <c r="E110" i="21"/>
  <c r="D93" i="21"/>
  <c r="E93" i="21" s="1"/>
  <c r="D98" i="21"/>
  <c r="E98" i="21" s="1"/>
  <c r="I8" i="13" l="1"/>
  <c r="E113" i="13" l="1"/>
  <c r="C76" i="12"/>
  <c r="N99" i="13"/>
  <c r="H99" i="13"/>
  <c r="G99" i="13"/>
  <c r="I99" i="13" l="1"/>
  <c r="N101" i="13" l="1"/>
  <c r="H101" i="13"/>
  <c r="G101" i="13"/>
  <c r="C31" i="12"/>
  <c r="C32" i="12" s="1"/>
  <c r="C33" i="12" s="1"/>
  <c r="C34" i="12" s="1"/>
  <c r="I101" i="13" l="1"/>
  <c r="G105" i="13" l="1"/>
  <c r="H105" i="13"/>
  <c r="N105" i="13"/>
  <c r="C40" i="12"/>
  <c r="C39" i="12"/>
  <c r="N102" i="13"/>
  <c r="H102" i="13"/>
  <c r="G102" i="13"/>
  <c r="G56" i="4"/>
  <c r="D58" i="4"/>
  <c r="I105" i="13" l="1"/>
  <c r="I102" i="13"/>
  <c r="E122" i="13" l="1"/>
  <c r="B7" i="20"/>
  <c r="C8" i="20"/>
  <c r="C7" i="20" s="1"/>
  <c r="B9" i="20"/>
  <c r="C9" i="20"/>
  <c r="C12" i="20" s="1"/>
  <c r="D9" i="20"/>
  <c r="E9" i="20"/>
  <c r="F9" i="20"/>
  <c r="G9" i="20"/>
  <c r="G12" i="20" s="1"/>
  <c r="H9" i="20"/>
  <c r="I9" i="20"/>
  <c r="J9" i="20"/>
  <c r="K9" i="20"/>
  <c r="K12" i="20" s="1"/>
  <c r="L9" i="20"/>
  <c r="M9" i="20"/>
  <c r="N9" i="20"/>
  <c r="B10" i="20"/>
  <c r="B14" i="20" s="1"/>
  <c r="C10" i="20"/>
  <c r="D10" i="20"/>
  <c r="E10" i="20"/>
  <c r="F10" i="20"/>
  <c r="G10" i="20"/>
  <c r="H10" i="20"/>
  <c r="I10" i="20"/>
  <c r="J10" i="20"/>
  <c r="J14" i="20" s="1"/>
  <c r="K10" i="20"/>
  <c r="L10" i="20"/>
  <c r="M10" i="20"/>
  <c r="B11" i="20"/>
  <c r="C11" i="20"/>
  <c r="D11" i="20"/>
  <c r="E11" i="20"/>
  <c r="E13" i="20" s="1"/>
  <c r="F11" i="20"/>
  <c r="G11" i="20"/>
  <c r="H11" i="20"/>
  <c r="H12" i="20" s="1"/>
  <c r="I11" i="20"/>
  <c r="I13" i="20" s="1"/>
  <c r="J11" i="20"/>
  <c r="K11" i="20"/>
  <c r="L11" i="20"/>
  <c r="M11" i="20"/>
  <c r="M13" i="20" s="1"/>
  <c r="C13" i="20"/>
  <c r="G13" i="20"/>
  <c r="K13" i="20"/>
  <c r="C14" i="20"/>
  <c r="F14" i="20"/>
  <c r="G14" i="20"/>
  <c r="K14" i="20"/>
  <c r="B17" i="20"/>
  <c r="C17" i="20"/>
  <c r="D17" i="20"/>
  <c r="E17" i="20"/>
  <c r="F17" i="20"/>
  <c r="G17" i="20"/>
  <c r="H17" i="20"/>
  <c r="I17" i="20"/>
  <c r="I23" i="20" s="1"/>
  <c r="J17" i="20"/>
  <c r="K17" i="20"/>
  <c r="L17" i="20"/>
  <c r="M17" i="20"/>
  <c r="B18" i="20"/>
  <c r="C18" i="20"/>
  <c r="D18" i="20"/>
  <c r="E18" i="20"/>
  <c r="F18" i="20"/>
  <c r="G18" i="20"/>
  <c r="H18" i="20"/>
  <c r="H24" i="20" s="1"/>
  <c r="I18" i="20"/>
  <c r="J18" i="20"/>
  <c r="K18" i="20"/>
  <c r="L18" i="20"/>
  <c r="L24" i="20" s="1"/>
  <c r="M18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B20" i="20"/>
  <c r="C20" i="20"/>
  <c r="D20" i="20"/>
  <c r="E20" i="20"/>
  <c r="E24" i="20" s="1"/>
  <c r="F20" i="20"/>
  <c r="G20" i="20"/>
  <c r="H20" i="20"/>
  <c r="I20" i="20"/>
  <c r="J20" i="20"/>
  <c r="K20" i="20"/>
  <c r="L20" i="20"/>
  <c r="M20" i="20"/>
  <c r="C21" i="20"/>
  <c r="G21" i="20"/>
  <c r="K21" i="20"/>
  <c r="C23" i="20"/>
  <c r="E23" i="20"/>
  <c r="G23" i="20"/>
  <c r="K23" i="20"/>
  <c r="C24" i="20"/>
  <c r="D24" i="20"/>
  <c r="G24" i="20"/>
  <c r="K24" i="20"/>
  <c r="B25" i="20"/>
  <c r="C25" i="20"/>
  <c r="G25" i="20"/>
  <c r="J25" i="20"/>
  <c r="K25" i="20"/>
  <c r="C27" i="20"/>
  <c r="K27" i="20"/>
  <c r="Q27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B34" i="20"/>
  <c r="C34" i="20"/>
  <c r="D34" i="20"/>
  <c r="D38" i="20" s="1"/>
  <c r="E34" i="20"/>
  <c r="F34" i="20"/>
  <c r="G34" i="20"/>
  <c r="H34" i="20"/>
  <c r="H38" i="20" s="1"/>
  <c r="I34" i="20"/>
  <c r="J34" i="20"/>
  <c r="K34" i="20"/>
  <c r="L34" i="20"/>
  <c r="L38" i="20" s="1"/>
  <c r="M34" i="20"/>
  <c r="B35" i="20"/>
  <c r="B37" i="20" s="1"/>
  <c r="C35" i="20"/>
  <c r="D35" i="20"/>
  <c r="E35" i="20"/>
  <c r="F35" i="20"/>
  <c r="F37" i="20" s="1"/>
  <c r="G35" i="20"/>
  <c r="G36" i="20" s="1"/>
  <c r="H35" i="20"/>
  <c r="H36" i="20" s="1"/>
  <c r="I35" i="20"/>
  <c r="J35" i="20"/>
  <c r="J37" i="20" s="1"/>
  <c r="K35" i="20"/>
  <c r="K37" i="20" s="1"/>
  <c r="L35" i="20"/>
  <c r="L36" i="20" s="1"/>
  <c r="M35" i="20"/>
  <c r="B36" i="20"/>
  <c r="F36" i="20"/>
  <c r="J36" i="20"/>
  <c r="C37" i="20"/>
  <c r="D37" i="20"/>
  <c r="G37" i="20"/>
  <c r="H37" i="20"/>
  <c r="L37" i="20"/>
  <c r="B38" i="20"/>
  <c r="E38" i="20"/>
  <c r="F38" i="20"/>
  <c r="I38" i="20"/>
  <c r="J38" i="20"/>
  <c r="M38" i="20"/>
  <c r="B41" i="20"/>
  <c r="C41" i="20"/>
  <c r="D41" i="20"/>
  <c r="E41" i="20"/>
  <c r="F41" i="20"/>
  <c r="G41" i="20"/>
  <c r="H41" i="20"/>
  <c r="I41" i="20"/>
  <c r="J41" i="20"/>
  <c r="K41" i="20"/>
  <c r="L41" i="20"/>
  <c r="M41" i="20"/>
  <c r="N41" i="20"/>
  <c r="Q41" i="20"/>
  <c r="B42" i="20"/>
  <c r="C42" i="20"/>
  <c r="D42" i="20"/>
  <c r="D48" i="20" s="1"/>
  <c r="E42" i="20"/>
  <c r="F42" i="20"/>
  <c r="G42" i="20"/>
  <c r="H42" i="20"/>
  <c r="I42" i="20"/>
  <c r="J42" i="20"/>
  <c r="K42" i="20"/>
  <c r="L42" i="20"/>
  <c r="M42" i="20"/>
  <c r="B43" i="20"/>
  <c r="B49" i="20" s="1"/>
  <c r="C43" i="20"/>
  <c r="C49" i="20" s="1"/>
  <c r="D43" i="20"/>
  <c r="E43" i="20"/>
  <c r="F43" i="20"/>
  <c r="G43" i="20"/>
  <c r="H43" i="20"/>
  <c r="I43" i="20"/>
  <c r="J43" i="20"/>
  <c r="K43" i="20"/>
  <c r="L43" i="20"/>
  <c r="M43" i="20"/>
  <c r="B44" i="20"/>
  <c r="C44" i="20"/>
  <c r="D44" i="20"/>
  <c r="C45" i="20"/>
  <c r="C47" i="20"/>
  <c r="B48" i="20"/>
  <c r="D49" i="20"/>
  <c r="N50" i="20"/>
  <c r="B55" i="20"/>
  <c r="C55" i="20"/>
  <c r="D55" i="20"/>
  <c r="E55" i="20"/>
  <c r="F55" i="20"/>
  <c r="G55" i="20"/>
  <c r="H55" i="20"/>
  <c r="I55" i="20"/>
  <c r="J55" i="20"/>
  <c r="K55" i="20"/>
  <c r="L55" i="20"/>
  <c r="M55" i="20"/>
  <c r="C58" i="20"/>
  <c r="B69" i="20"/>
  <c r="C69" i="20"/>
  <c r="D69" i="20"/>
  <c r="E69" i="20"/>
  <c r="F69" i="20"/>
  <c r="G69" i="20"/>
  <c r="H69" i="20"/>
  <c r="I69" i="20"/>
  <c r="J69" i="20"/>
  <c r="K69" i="20"/>
  <c r="L69" i="20"/>
  <c r="M69" i="20"/>
  <c r="B70" i="20"/>
  <c r="C70" i="20"/>
  <c r="D70" i="20"/>
  <c r="E70" i="20"/>
  <c r="F70" i="20"/>
  <c r="G70" i="20"/>
  <c r="H70" i="20"/>
  <c r="I70" i="20"/>
  <c r="J70" i="20"/>
  <c r="K70" i="20"/>
  <c r="L70" i="20"/>
  <c r="M70" i="20"/>
  <c r="B71" i="20"/>
  <c r="C71" i="20"/>
  <c r="D71" i="20"/>
  <c r="E71" i="20"/>
  <c r="F71" i="20"/>
  <c r="G71" i="20"/>
  <c r="H71" i="20"/>
  <c r="I71" i="20"/>
  <c r="J71" i="20"/>
  <c r="K71" i="20"/>
  <c r="L71" i="20"/>
  <c r="M71" i="20"/>
  <c r="B72" i="20"/>
  <c r="C72" i="20"/>
  <c r="D72" i="20"/>
  <c r="E72" i="20"/>
  <c r="F72" i="20"/>
  <c r="G72" i="20"/>
  <c r="H72" i="20"/>
  <c r="I72" i="20"/>
  <c r="J72" i="20"/>
  <c r="K72" i="20"/>
  <c r="L72" i="20"/>
  <c r="M72" i="20"/>
  <c r="Q72" i="20" s="1"/>
  <c r="N72" i="20"/>
  <c r="B73" i="20"/>
  <c r="C73" i="20"/>
  <c r="D73" i="20"/>
  <c r="E73" i="20"/>
  <c r="F73" i="20"/>
  <c r="G73" i="20"/>
  <c r="H73" i="20"/>
  <c r="I73" i="20"/>
  <c r="J73" i="20"/>
  <c r="K73" i="20"/>
  <c r="L73" i="20"/>
  <c r="M73" i="20"/>
  <c r="B77" i="20"/>
  <c r="C77" i="20"/>
  <c r="D77" i="20"/>
  <c r="E77" i="20"/>
  <c r="F77" i="20"/>
  <c r="G77" i="20"/>
  <c r="H77" i="20"/>
  <c r="I77" i="20"/>
  <c r="J77" i="20"/>
  <c r="K77" i="20"/>
  <c r="L77" i="20"/>
  <c r="M77" i="20"/>
  <c r="B78" i="20"/>
  <c r="C78" i="20"/>
  <c r="D78" i="20"/>
  <c r="E78" i="20"/>
  <c r="F78" i="20"/>
  <c r="G78" i="20"/>
  <c r="H78" i="20"/>
  <c r="I78" i="20"/>
  <c r="J78" i="20"/>
  <c r="K78" i="20"/>
  <c r="L78" i="20"/>
  <c r="M78" i="20"/>
  <c r="B79" i="20"/>
  <c r="C79" i="20"/>
  <c r="D79" i="20"/>
  <c r="E79" i="20"/>
  <c r="F79" i="20"/>
  <c r="G79" i="20"/>
  <c r="H79" i="20"/>
  <c r="I79" i="20"/>
  <c r="J79" i="20"/>
  <c r="K79" i="20"/>
  <c r="L79" i="20"/>
  <c r="M79" i="20"/>
  <c r="B80" i="20"/>
  <c r="C80" i="20"/>
  <c r="D80" i="20"/>
  <c r="E80" i="20"/>
  <c r="F80" i="20"/>
  <c r="G80" i="20"/>
  <c r="H80" i="20"/>
  <c r="I80" i="20"/>
  <c r="J80" i="20"/>
  <c r="K80" i="20"/>
  <c r="L80" i="20"/>
  <c r="M80" i="20"/>
  <c r="B81" i="20"/>
  <c r="C81" i="20"/>
  <c r="D81" i="20"/>
  <c r="E81" i="20"/>
  <c r="F81" i="20"/>
  <c r="G81" i="20"/>
  <c r="H81" i="20"/>
  <c r="I81" i="20"/>
  <c r="J81" i="20"/>
  <c r="K81" i="20"/>
  <c r="L81" i="20"/>
  <c r="M81" i="20"/>
  <c r="N81" i="20"/>
  <c r="B87" i="20"/>
  <c r="C87" i="20"/>
  <c r="D87" i="20"/>
  <c r="E87" i="20"/>
  <c r="F87" i="20"/>
  <c r="G87" i="20"/>
  <c r="H87" i="20"/>
  <c r="I87" i="20"/>
  <c r="J87" i="20"/>
  <c r="K87" i="20"/>
  <c r="L87" i="20"/>
  <c r="M87" i="20"/>
  <c r="B88" i="20"/>
  <c r="C88" i="20"/>
  <c r="D88" i="20"/>
  <c r="E88" i="20"/>
  <c r="F88" i="20"/>
  <c r="G88" i="20"/>
  <c r="H88" i="20"/>
  <c r="I88" i="20"/>
  <c r="J88" i="20"/>
  <c r="K88" i="20"/>
  <c r="L88" i="20"/>
  <c r="M88" i="20"/>
  <c r="N88" i="20"/>
  <c r="B89" i="20"/>
  <c r="C89" i="20"/>
  <c r="D89" i="20"/>
  <c r="E89" i="20"/>
  <c r="F89" i="20"/>
  <c r="G89" i="20"/>
  <c r="H89" i="20"/>
  <c r="I89" i="20"/>
  <c r="J89" i="20"/>
  <c r="K89" i="20"/>
  <c r="L89" i="20"/>
  <c r="M89" i="20"/>
  <c r="B91" i="20"/>
  <c r="C91" i="20"/>
  <c r="D91" i="20"/>
  <c r="E91" i="20"/>
  <c r="F91" i="20"/>
  <c r="G91" i="20"/>
  <c r="H91" i="20"/>
  <c r="I91" i="20"/>
  <c r="J91" i="20"/>
  <c r="K91" i="20"/>
  <c r="L91" i="20"/>
  <c r="M91" i="20"/>
  <c r="B93" i="20"/>
  <c r="C93" i="20"/>
  <c r="D93" i="20"/>
  <c r="E93" i="20"/>
  <c r="F93" i="20"/>
  <c r="G93" i="20"/>
  <c r="G95" i="20" s="1"/>
  <c r="H93" i="20"/>
  <c r="I93" i="20"/>
  <c r="J93" i="20"/>
  <c r="K93" i="20"/>
  <c r="K95" i="20" s="1"/>
  <c r="L93" i="20"/>
  <c r="M93" i="20"/>
  <c r="B94" i="20"/>
  <c r="C94" i="20"/>
  <c r="D94" i="20"/>
  <c r="E94" i="20"/>
  <c r="F94" i="20"/>
  <c r="G94" i="20"/>
  <c r="H94" i="20"/>
  <c r="I94" i="20"/>
  <c r="J94" i="20"/>
  <c r="K94" i="20"/>
  <c r="L94" i="20"/>
  <c r="M94" i="20"/>
  <c r="N94" i="20"/>
  <c r="D95" i="20"/>
  <c r="E95" i="20"/>
  <c r="H95" i="20"/>
  <c r="I95" i="20"/>
  <c r="L95" i="20"/>
  <c r="M95" i="20"/>
  <c r="B97" i="20"/>
  <c r="C97" i="20"/>
  <c r="D97" i="20"/>
  <c r="E97" i="20"/>
  <c r="F97" i="20"/>
  <c r="G97" i="20"/>
  <c r="H97" i="20"/>
  <c r="I97" i="20"/>
  <c r="J97" i="20"/>
  <c r="K97" i="20"/>
  <c r="L97" i="20"/>
  <c r="M97" i="20"/>
  <c r="B103" i="20"/>
  <c r="C103" i="20"/>
  <c r="N103" i="20" s="1"/>
  <c r="D103" i="20"/>
  <c r="E103" i="20"/>
  <c r="E105" i="20" s="1"/>
  <c r="F103" i="20"/>
  <c r="G103" i="20"/>
  <c r="H103" i="20"/>
  <c r="I103" i="20"/>
  <c r="I105" i="20" s="1"/>
  <c r="J103" i="20"/>
  <c r="K103" i="20"/>
  <c r="L103" i="20"/>
  <c r="M103" i="20"/>
  <c r="M105" i="20" s="1"/>
  <c r="B104" i="20"/>
  <c r="C104" i="20"/>
  <c r="D104" i="20"/>
  <c r="D105" i="20" s="1"/>
  <c r="E104" i="20"/>
  <c r="F104" i="20"/>
  <c r="G104" i="20"/>
  <c r="H104" i="20"/>
  <c r="H105" i="20" s="1"/>
  <c r="I104" i="20"/>
  <c r="J104" i="20"/>
  <c r="K104" i="20"/>
  <c r="L104" i="20"/>
  <c r="L105" i="20" s="1"/>
  <c r="M104" i="20"/>
  <c r="B105" i="20"/>
  <c r="C105" i="20"/>
  <c r="F105" i="20"/>
  <c r="G105" i="20"/>
  <c r="J105" i="20"/>
  <c r="K105" i="20"/>
  <c r="N105" i="20"/>
  <c r="B113" i="20"/>
  <c r="C113" i="20"/>
  <c r="D113" i="20"/>
  <c r="E113" i="20"/>
  <c r="F113" i="20"/>
  <c r="G113" i="20"/>
  <c r="H113" i="20"/>
  <c r="I113" i="20"/>
  <c r="J113" i="20"/>
  <c r="K113" i="20"/>
  <c r="L113" i="20"/>
  <c r="M113" i="20"/>
  <c r="N113" i="20"/>
  <c r="B59" i="20"/>
  <c r="B74" i="20"/>
  <c r="B98" i="20"/>
  <c r="C63" i="20"/>
  <c r="B82" i="20"/>
  <c r="C82" i="20"/>
  <c r="B63" i="20"/>
  <c r="C59" i="20"/>
  <c r="C98" i="20"/>
  <c r="B115" i="20"/>
  <c r="C115" i="20"/>
  <c r="C74" i="20"/>
  <c r="C112" i="20" l="1"/>
  <c r="C114" i="20" s="1"/>
  <c r="C116" i="20" s="1"/>
  <c r="B112" i="20"/>
  <c r="C83" i="20"/>
  <c r="B99" i="20"/>
  <c r="B75" i="20"/>
  <c r="H54" i="20"/>
  <c r="H56" i="20" s="1"/>
  <c r="H65" i="20" s="1"/>
  <c r="N93" i="20"/>
  <c r="C95" i="20"/>
  <c r="N91" i="20"/>
  <c r="N89" i="20"/>
  <c r="N79" i="20"/>
  <c r="N78" i="20"/>
  <c r="N77" i="20"/>
  <c r="N71" i="20"/>
  <c r="N70" i="20"/>
  <c r="N69" i="20"/>
  <c r="D45" i="20"/>
  <c r="C99" i="20"/>
  <c r="J95" i="20"/>
  <c r="F95" i="20"/>
  <c r="B95" i="20"/>
  <c r="N87" i="20"/>
  <c r="B83" i="20"/>
  <c r="G27" i="20"/>
  <c r="L21" i="20"/>
  <c r="L23" i="20"/>
  <c r="H21" i="20"/>
  <c r="H23" i="20"/>
  <c r="N17" i="20"/>
  <c r="D21" i="20"/>
  <c r="D58" i="20" s="1"/>
  <c r="D23" i="20"/>
  <c r="M14" i="20"/>
  <c r="M12" i="20"/>
  <c r="I14" i="20"/>
  <c r="I12" i="20"/>
  <c r="E14" i="20"/>
  <c r="N10" i="20"/>
  <c r="J12" i="20"/>
  <c r="J13" i="20"/>
  <c r="F12" i="20"/>
  <c r="F13" i="20"/>
  <c r="B12" i="20"/>
  <c r="B13" i="20"/>
  <c r="N104" i="20"/>
  <c r="L14" i="20"/>
  <c r="L13" i="20"/>
  <c r="L12" i="20"/>
  <c r="H14" i="20"/>
  <c r="H13" i="20"/>
  <c r="D14" i="20"/>
  <c r="D13" i="20"/>
  <c r="D12" i="20"/>
  <c r="C75" i="20"/>
  <c r="B45" i="20"/>
  <c r="B47" i="20"/>
  <c r="M37" i="20"/>
  <c r="M36" i="20"/>
  <c r="I37" i="20"/>
  <c r="I36" i="20"/>
  <c r="E37" i="20"/>
  <c r="N37" i="20" s="1"/>
  <c r="E36" i="20"/>
  <c r="M24" i="20"/>
  <c r="M23" i="20"/>
  <c r="I21" i="20"/>
  <c r="I24" i="20"/>
  <c r="N97" i="20"/>
  <c r="N73" i="20"/>
  <c r="Q37" i="20" s="1"/>
  <c r="N55" i="20"/>
  <c r="E44" i="20"/>
  <c r="D47" i="20"/>
  <c r="N43" i="20"/>
  <c r="K36" i="20"/>
  <c r="K54" i="20" s="1"/>
  <c r="K56" i="20" s="1"/>
  <c r="K65" i="20" s="1"/>
  <c r="K38" i="20"/>
  <c r="G38" i="20"/>
  <c r="C36" i="20"/>
  <c r="C38" i="20"/>
  <c r="N38" i="20" s="1"/>
  <c r="N34" i="20"/>
  <c r="L25" i="20"/>
  <c r="H25" i="20"/>
  <c r="N19" i="20"/>
  <c r="D25" i="20"/>
  <c r="N25" i="20" s="1"/>
  <c r="J23" i="20"/>
  <c r="J21" i="20"/>
  <c r="J24" i="20"/>
  <c r="F23" i="20"/>
  <c r="F21" i="20"/>
  <c r="F24" i="20"/>
  <c r="B23" i="20"/>
  <c r="N23" i="20" s="1"/>
  <c r="B21" i="20"/>
  <c r="B24" i="20"/>
  <c r="M21" i="20"/>
  <c r="E21" i="20"/>
  <c r="G54" i="20"/>
  <c r="G56" i="20" s="1"/>
  <c r="G65" i="20" s="1"/>
  <c r="C54" i="20"/>
  <c r="C56" i="20" s="1"/>
  <c r="C65" i="20" s="1"/>
  <c r="C60" i="20"/>
  <c r="C48" i="20"/>
  <c r="N42" i="20"/>
  <c r="E47" i="20"/>
  <c r="N33" i="20"/>
  <c r="D36" i="20"/>
  <c r="D51" i="20" s="1"/>
  <c r="F25" i="20"/>
  <c r="M25" i="20"/>
  <c r="I25" i="20"/>
  <c r="E25" i="20"/>
  <c r="N18" i="20"/>
  <c r="Q26" i="20" s="1"/>
  <c r="Q28" i="20" s="1"/>
  <c r="E12" i="20"/>
  <c r="D8" i="20"/>
  <c r="C51" i="20" l="1"/>
  <c r="C62" i="20" s="1"/>
  <c r="C64" i="20" s="1"/>
  <c r="N36" i="20"/>
  <c r="N39" i="20" s="1"/>
  <c r="D54" i="20"/>
  <c r="D56" i="20" s="1"/>
  <c r="D65" i="20" s="1"/>
  <c r="D27" i="20"/>
  <c r="D62" i="20" s="1"/>
  <c r="N12" i="20"/>
  <c r="B27" i="20"/>
  <c r="B54" i="20"/>
  <c r="N21" i="20"/>
  <c r="B58" i="20"/>
  <c r="E45" i="20"/>
  <c r="E58" i="20" s="1"/>
  <c r="F44" i="20"/>
  <c r="E48" i="20"/>
  <c r="E49" i="20"/>
  <c r="E51" i="20"/>
  <c r="L54" i="20"/>
  <c r="L56" i="20" s="1"/>
  <c r="L65" i="20" s="1"/>
  <c r="L27" i="20"/>
  <c r="M27" i="20"/>
  <c r="M54" i="20"/>
  <c r="M56" i="20" s="1"/>
  <c r="M65" i="20" s="1"/>
  <c r="N14" i="20"/>
  <c r="F27" i="20"/>
  <c r="F54" i="20"/>
  <c r="F56" i="20" s="1"/>
  <c r="F65" i="20" s="1"/>
  <c r="N95" i="20"/>
  <c r="B114" i="20"/>
  <c r="D7" i="20"/>
  <c r="E8" i="20"/>
  <c r="N26" i="20"/>
  <c r="N13" i="20"/>
  <c r="I27" i="20"/>
  <c r="I54" i="20"/>
  <c r="I56" i="20" s="1"/>
  <c r="I65" i="20" s="1"/>
  <c r="H27" i="20"/>
  <c r="E27" i="20"/>
  <c r="E62" i="20" s="1"/>
  <c r="E54" i="20"/>
  <c r="E56" i="20" s="1"/>
  <c r="E65" i="20" s="1"/>
  <c r="N24" i="20"/>
  <c r="Q35" i="20" s="1"/>
  <c r="B51" i="20"/>
  <c r="J27" i="20"/>
  <c r="J54" i="20"/>
  <c r="J56" i="20" s="1"/>
  <c r="J65" i="20" s="1"/>
  <c r="D74" i="20"/>
  <c r="D98" i="20"/>
  <c r="D115" i="20"/>
  <c r="D82" i="20"/>
  <c r="D63" i="20"/>
  <c r="D59" i="20"/>
  <c r="D60" i="20" l="1"/>
  <c r="D83" i="20"/>
  <c r="D112" i="20"/>
  <c r="D99" i="20"/>
  <c r="D75" i="20"/>
  <c r="N15" i="20"/>
  <c r="B116" i="20"/>
  <c r="N27" i="20"/>
  <c r="B62" i="20"/>
  <c r="Q18" i="20"/>
  <c r="E7" i="20"/>
  <c r="F8" i="20"/>
  <c r="D64" i="20"/>
  <c r="B60" i="20"/>
  <c r="H47" i="20"/>
  <c r="L47" i="20"/>
  <c r="F45" i="20"/>
  <c r="G44" i="20"/>
  <c r="I48" i="20"/>
  <c r="N48" i="20" s="1"/>
  <c r="L49" i="20"/>
  <c r="M48" i="20"/>
  <c r="H49" i="20"/>
  <c r="K47" i="20"/>
  <c r="F48" i="20"/>
  <c r="I49" i="20"/>
  <c r="J48" i="20"/>
  <c r="G47" i="20"/>
  <c r="M49" i="20"/>
  <c r="L48" i="20"/>
  <c r="G48" i="20"/>
  <c r="H48" i="20"/>
  <c r="K48" i="20"/>
  <c r="M47" i="20"/>
  <c r="I47" i="20"/>
  <c r="J47" i="20"/>
  <c r="F47" i="20"/>
  <c r="F49" i="20"/>
  <c r="N49" i="20" s="1"/>
  <c r="K49" i="20"/>
  <c r="G49" i="20"/>
  <c r="J49" i="20"/>
  <c r="B56" i="20"/>
  <c r="N54" i="20"/>
  <c r="E98" i="20"/>
  <c r="E82" i="20"/>
  <c r="E59" i="20"/>
  <c r="E115" i="20"/>
  <c r="E63" i="20"/>
  <c r="E74" i="20"/>
  <c r="E75" i="20" l="1"/>
  <c r="E64" i="20"/>
  <c r="E112" i="20"/>
  <c r="E114" i="20" s="1"/>
  <c r="E116" i="20" s="1"/>
  <c r="E60" i="20"/>
  <c r="E83" i="20"/>
  <c r="E99" i="20"/>
  <c r="Q38" i="20"/>
  <c r="Q20" i="20"/>
  <c r="G45" i="20"/>
  <c r="H44" i="20"/>
  <c r="N56" i="20"/>
  <c r="B65" i="20"/>
  <c r="F7" i="20"/>
  <c r="G8" i="20"/>
  <c r="F51" i="20"/>
  <c r="F58" i="20"/>
  <c r="N47" i="20"/>
  <c r="B64" i="20"/>
  <c r="D114" i="20"/>
  <c r="F74" i="20"/>
  <c r="F59" i="20"/>
  <c r="F98" i="20"/>
  <c r="F82" i="20"/>
  <c r="F115" i="20"/>
  <c r="F63" i="20"/>
  <c r="F112" i="20" l="1"/>
  <c r="F114" i="20" s="1"/>
  <c r="F116" i="20" s="1"/>
  <c r="F83" i="20"/>
  <c r="F99" i="20"/>
  <c r="F75" i="20"/>
  <c r="F62" i="20"/>
  <c r="Q36" i="20"/>
  <c r="Q39" i="20" s="1"/>
  <c r="Q43" i="20" s="1"/>
  <c r="R43" i="20" s="1"/>
  <c r="Q19" i="20"/>
  <c r="G51" i="20"/>
  <c r="G62" i="20" s="1"/>
  <c r="G58" i="20"/>
  <c r="G7" i="20"/>
  <c r="H8" i="20"/>
  <c r="I44" i="20"/>
  <c r="H45" i="20"/>
  <c r="D116" i="20"/>
  <c r="F60" i="20"/>
  <c r="G63" i="20"/>
  <c r="G59" i="20"/>
  <c r="G115" i="20"/>
  <c r="G82" i="20"/>
  <c r="G98" i="20"/>
  <c r="G74" i="20"/>
  <c r="G75" i="20" l="1"/>
  <c r="G99" i="20"/>
  <c r="G83" i="20"/>
  <c r="G112" i="20"/>
  <c r="I45" i="20"/>
  <c r="J44" i="20"/>
  <c r="G60" i="20"/>
  <c r="G64" i="20"/>
  <c r="H51" i="20"/>
  <c r="H62" i="20" s="1"/>
  <c r="H58" i="20"/>
  <c r="H7" i="20"/>
  <c r="I8" i="20"/>
  <c r="Q21" i="20"/>
  <c r="F64" i="20"/>
  <c r="H59" i="20"/>
  <c r="H98" i="20"/>
  <c r="H82" i="20"/>
  <c r="H115" i="20"/>
  <c r="H63" i="20"/>
  <c r="H74" i="20"/>
  <c r="H75" i="20" l="1"/>
  <c r="H112" i="20"/>
  <c r="H114" i="20" s="1"/>
  <c r="H116" i="20" s="1"/>
  <c r="H83" i="20"/>
  <c r="H99" i="20"/>
  <c r="R18" i="20"/>
  <c r="R20" i="20"/>
  <c r="I7" i="20"/>
  <c r="J8" i="20"/>
  <c r="H64" i="20"/>
  <c r="I58" i="20"/>
  <c r="I51" i="20"/>
  <c r="I62" i="20" s="1"/>
  <c r="G114" i="20"/>
  <c r="R19" i="20"/>
  <c r="H60" i="20"/>
  <c r="J45" i="20"/>
  <c r="K44" i="20"/>
  <c r="I82" i="20"/>
  <c r="I63" i="20"/>
  <c r="I59" i="20"/>
  <c r="I74" i="20"/>
  <c r="I115" i="20"/>
  <c r="I98" i="20"/>
  <c r="I99" i="20" l="1"/>
  <c r="I112" i="20"/>
  <c r="I75" i="20"/>
  <c r="I83" i="20"/>
  <c r="K45" i="20"/>
  <c r="L44" i="20"/>
  <c r="G116" i="20"/>
  <c r="J51" i="20"/>
  <c r="J62" i="20" s="1"/>
  <c r="J58" i="20"/>
  <c r="I64" i="20"/>
  <c r="I60" i="20"/>
  <c r="J7" i="20"/>
  <c r="K8" i="20"/>
  <c r="J63" i="20"/>
  <c r="J82" i="20"/>
  <c r="J59" i="20"/>
  <c r="J74" i="20"/>
  <c r="J115" i="20"/>
  <c r="J98" i="20"/>
  <c r="J99" i="20" l="1"/>
  <c r="J112" i="20"/>
  <c r="J114" i="20" s="1"/>
  <c r="J116" i="20" s="1"/>
  <c r="J75" i="20"/>
  <c r="J83" i="20"/>
  <c r="J60" i="20"/>
  <c r="M44" i="20"/>
  <c r="M45" i="20" s="1"/>
  <c r="L45" i="20"/>
  <c r="J64" i="20"/>
  <c r="K58" i="20"/>
  <c r="K51" i="20"/>
  <c r="K62" i="20" s="1"/>
  <c r="I114" i="20"/>
  <c r="K7" i="20"/>
  <c r="L8" i="20"/>
  <c r="K74" i="20"/>
  <c r="K59" i="20"/>
  <c r="K63" i="20"/>
  <c r="K82" i="20"/>
  <c r="K98" i="20"/>
  <c r="K115" i="20"/>
  <c r="K112" i="20" l="1"/>
  <c r="K114" i="20" s="1"/>
  <c r="K116" i="20" s="1"/>
  <c r="K99" i="20"/>
  <c r="K83" i="20"/>
  <c r="K75" i="20"/>
  <c r="K60" i="20"/>
  <c r="M51" i="20"/>
  <c r="M58" i="20"/>
  <c r="N45" i="20"/>
  <c r="I116" i="20"/>
  <c r="L7" i="20"/>
  <c r="M8" i="20"/>
  <c r="K64" i="20"/>
  <c r="L51" i="20"/>
  <c r="L62" i="20" s="1"/>
  <c r="L58" i="20"/>
  <c r="L59" i="20"/>
  <c r="L98" i="20"/>
  <c r="L74" i="20"/>
  <c r="L82" i="20"/>
  <c r="L115" i="20"/>
  <c r="L63" i="20"/>
  <c r="L112" i="20" l="1"/>
  <c r="L114" i="20" s="1"/>
  <c r="L116" i="20" s="1"/>
  <c r="L83" i="20"/>
  <c r="L75" i="20"/>
  <c r="L99" i="20"/>
  <c r="M7" i="20"/>
  <c r="M62" i="20"/>
  <c r="N51" i="20"/>
  <c r="L64" i="20"/>
  <c r="L60" i="20"/>
  <c r="N58" i="20"/>
  <c r="Q22" i="20" s="1"/>
  <c r="M74" i="20"/>
  <c r="M98" i="20"/>
  <c r="M59" i="20"/>
  <c r="M82" i="20"/>
  <c r="M63" i="20"/>
  <c r="M115" i="20"/>
  <c r="M112" i="20" l="1"/>
  <c r="N115" i="20"/>
  <c r="N63" i="20"/>
  <c r="M83" i="20"/>
  <c r="N83" i="20" s="1"/>
  <c r="N82" i="20"/>
  <c r="N59" i="20"/>
  <c r="M60" i="20"/>
  <c r="N60" i="20" s="1"/>
  <c r="M99" i="20"/>
  <c r="N99" i="20" s="1"/>
  <c r="N98" i="20"/>
  <c r="M75" i="20"/>
  <c r="N75" i="20" s="1"/>
  <c r="N74" i="20"/>
  <c r="M64" i="20"/>
  <c r="N64" i="20" s="1"/>
  <c r="N62" i="20"/>
  <c r="M114" i="20" l="1"/>
  <c r="N112" i="20"/>
  <c r="M116" i="20" l="1"/>
  <c r="N114" i="20"/>
  <c r="N116" i="20" s="1"/>
  <c r="AO64" i="18" l="1"/>
  <c r="AO65" i="18"/>
  <c r="AO66" i="18"/>
  <c r="AO67" i="18"/>
  <c r="AO68" i="18"/>
  <c r="AO69" i="18"/>
  <c r="AO70" i="18"/>
  <c r="AO71" i="18"/>
  <c r="AO72" i="18"/>
  <c r="AO73" i="18"/>
  <c r="AO74" i="18"/>
  <c r="AO75" i="18"/>
  <c r="AO76" i="18"/>
  <c r="AO77" i="18"/>
  <c r="AO78" i="18"/>
  <c r="AO79" i="18"/>
  <c r="AO80" i="18"/>
  <c r="AO81" i="18"/>
  <c r="AO82" i="18"/>
  <c r="AO83" i="18"/>
  <c r="AO84" i="18"/>
  <c r="AO85" i="18"/>
  <c r="AO86" i="18"/>
  <c r="AO87" i="18"/>
  <c r="AO90" i="18"/>
  <c r="AO99" i="18"/>
  <c r="AO100" i="18"/>
  <c r="AO104" i="18"/>
  <c r="AO108" i="18"/>
  <c r="AO112" i="18"/>
  <c r="AM113" i="18"/>
  <c r="AO119" i="18"/>
  <c r="AO122" i="18"/>
  <c r="AO125" i="18"/>
  <c r="AO127" i="18"/>
  <c r="AO129" i="18"/>
  <c r="AM132" i="18"/>
  <c r="AM134" i="18"/>
  <c r="AM135" i="18"/>
  <c r="AM136" i="18"/>
  <c r="AO139" i="18"/>
  <c r="AO140" i="18"/>
  <c r="AO141" i="18"/>
  <c r="AO142" i="18"/>
  <c r="E114" i="13"/>
  <c r="M73" i="13" l="1"/>
  <c r="N87" i="13"/>
  <c r="F87" i="13"/>
  <c r="C87" i="13"/>
  <c r="E87" i="13" s="1"/>
  <c r="H87" i="13"/>
  <c r="N74" i="13"/>
  <c r="H74" i="13"/>
  <c r="F74" i="13"/>
  <c r="H77" i="13"/>
  <c r="N77" i="13"/>
  <c r="N76" i="13"/>
  <c r="H76" i="13"/>
  <c r="F76" i="13"/>
  <c r="C76" i="13"/>
  <c r="E76" i="13" s="1"/>
  <c r="N71" i="13"/>
  <c r="H71" i="13"/>
  <c r="F71" i="13"/>
  <c r="C71" i="13"/>
  <c r="E71" i="13" s="1"/>
  <c r="N34" i="13"/>
  <c r="F34" i="13"/>
  <c r="H34" i="13"/>
  <c r="C34" i="13"/>
  <c r="E34" i="13" s="1"/>
  <c r="F77" i="13"/>
  <c r="C77" i="13"/>
  <c r="E77" i="13" s="1"/>
  <c r="H66" i="13"/>
  <c r="N66" i="13"/>
  <c r="F66" i="13"/>
  <c r="C66" i="13"/>
  <c r="E66" i="13" s="1"/>
  <c r="H58" i="13"/>
  <c r="N58" i="13"/>
  <c r="F58" i="13"/>
  <c r="C58" i="13"/>
  <c r="E58" i="13" s="1"/>
  <c r="N50" i="13"/>
  <c r="H50" i="13"/>
  <c r="F50" i="13"/>
  <c r="C50" i="13"/>
  <c r="E50" i="13" s="1"/>
  <c r="N82" i="13"/>
  <c r="H82" i="13"/>
  <c r="F82" i="13"/>
  <c r="C82" i="13"/>
  <c r="E82" i="13" s="1"/>
  <c r="N86" i="13"/>
  <c r="N80" i="13"/>
  <c r="N78" i="13"/>
  <c r="H80" i="13"/>
  <c r="H78" i="13"/>
  <c r="H36" i="13"/>
  <c r="H48" i="13"/>
  <c r="F48" i="13"/>
  <c r="H54" i="13"/>
  <c r="F54" i="13"/>
  <c r="N36" i="13"/>
  <c r="N48" i="13" s="1"/>
  <c r="F36" i="13"/>
  <c r="C36" i="13"/>
  <c r="E36" i="13" s="1"/>
  <c r="N55" i="13"/>
  <c r="N52" i="13"/>
  <c r="H55" i="13"/>
  <c r="H52" i="13"/>
  <c r="F52" i="13"/>
  <c r="F53" i="13"/>
  <c r="F55" i="13"/>
  <c r="C52" i="13"/>
  <c r="E52" i="13" s="1"/>
  <c r="C53" i="13"/>
  <c r="E53" i="13" s="1"/>
  <c r="C55" i="13"/>
  <c r="E55" i="13" s="1"/>
  <c r="C86" i="13"/>
  <c r="E86" i="13" s="1"/>
  <c r="C85" i="13"/>
  <c r="E85" i="13" s="1"/>
  <c r="AS158" i="18"/>
  <c r="F86" i="13"/>
  <c r="H86" i="13"/>
  <c r="N57" i="13"/>
  <c r="F85" i="13"/>
  <c r="F14" i="13"/>
  <c r="H72" i="13"/>
  <c r="H33" i="13"/>
  <c r="H39" i="13"/>
  <c r="F84" i="13"/>
  <c r="F83" i="13"/>
  <c r="F80" i="13"/>
  <c r="F79" i="13"/>
  <c r="F78" i="13"/>
  <c r="F75" i="13"/>
  <c r="F72" i="13"/>
  <c r="F70" i="13"/>
  <c r="F69" i="13"/>
  <c r="F68" i="13"/>
  <c r="F67" i="13"/>
  <c r="F65" i="13"/>
  <c r="F64" i="13"/>
  <c r="F63" i="13"/>
  <c r="F62" i="13"/>
  <c r="F61" i="13"/>
  <c r="F60" i="13"/>
  <c r="F59" i="13"/>
  <c r="F57" i="13"/>
  <c r="F56" i="13"/>
  <c r="F51" i="13"/>
  <c r="F49" i="13"/>
  <c r="F47" i="13"/>
  <c r="F46" i="13"/>
  <c r="F45" i="13"/>
  <c r="F44" i="13"/>
  <c r="F43" i="13"/>
  <c r="F42" i="13"/>
  <c r="F41" i="13"/>
  <c r="F13" i="13"/>
  <c r="F29" i="13"/>
  <c r="F32" i="13"/>
  <c r="F39" i="13"/>
  <c r="F40" i="13"/>
  <c r="F38" i="13"/>
  <c r="F37" i="13"/>
  <c r="F35" i="13"/>
  <c r="F33" i="13"/>
  <c r="F31" i="13"/>
  <c r="F30" i="13"/>
  <c r="F28" i="13"/>
  <c r="F27" i="13"/>
  <c r="F26" i="13"/>
  <c r="F17" i="13"/>
  <c r="AS153" i="18"/>
  <c r="AS152" i="18"/>
  <c r="AS151" i="18"/>
  <c r="AS150" i="18"/>
  <c r="AS149" i="18"/>
  <c r="AS148" i="18"/>
  <c r="AS147" i="18"/>
  <c r="AS146" i="18"/>
  <c r="AS145" i="18"/>
  <c r="AS144" i="18"/>
  <c r="AS143" i="18"/>
  <c r="AS142" i="18"/>
  <c r="AS141" i="18"/>
  <c r="AS140" i="18"/>
  <c r="AS139" i="18"/>
  <c r="AS138" i="18"/>
  <c r="AS137" i="18"/>
  <c r="AS136" i="18"/>
  <c r="AS135" i="18"/>
  <c r="AS133" i="18"/>
  <c r="AS132" i="18"/>
  <c r="AS131" i="18"/>
  <c r="AS130" i="18"/>
  <c r="AS129" i="18"/>
  <c r="AS128" i="18"/>
  <c r="AS127" i="18"/>
  <c r="AS126" i="18"/>
  <c r="AS125" i="18"/>
  <c r="AS124" i="18"/>
  <c r="AS123" i="18"/>
  <c r="AS122" i="18"/>
  <c r="AS121" i="18"/>
  <c r="AS120" i="18"/>
  <c r="AS119" i="18"/>
  <c r="AS118" i="18"/>
  <c r="AS117" i="18"/>
  <c r="AS116" i="18"/>
  <c r="AS115" i="18"/>
  <c r="AS114" i="18"/>
  <c r="C80" i="13"/>
  <c r="E80" i="13" s="1"/>
  <c r="C78" i="13"/>
  <c r="E78" i="13" s="1"/>
  <c r="C39" i="13"/>
  <c r="E39" i="13" s="1"/>
  <c r="N22" i="13"/>
  <c r="N21" i="13"/>
  <c r="N20" i="13"/>
  <c r="N23" i="13"/>
  <c r="N17" i="13"/>
  <c r="N18" i="13"/>
  <c r="N19" i="13"/>
  <c r="H20" i="13"/>
  <c r="H21" i="13"/>
  <c r="H16" i="13"/>
  <c r="H22" i="13"/>
  <c r="H19" i="13"/>
  <c r="H18" i="13"/>
  <c r="H17" i="13"/>
  <c r="F24" i="13"/>
  <c r="F23" i="13"/>
  <c r="F22" i="13"/>
  <c r="F21" i="13"/>
  <c r="F20" i="13"/>
  <c r="F19" i="13"/>
  <c r="F18" i="13"/>
  <c r="C20" i="13"/>
  <c r="E20" i="13" s="1"/>
  <c r="C21" i="13"/>
  <c r="E21" i="13" s="1"/>
  <c r="C22" i="13"/>
  <c r="E22" i="13" s="1"/>
  <c r="C17" i="13"/>
  <c r="E17" i="13" s="1"/>
  <c r="C18" i="13"/>
  <c r="E18" i="13" s="1"/>
  <c r="C19" i="13"/>
  <c r="C84" i="13"/>
  <c r="E84" i="13" s="1"/>
  <c r="C83" i="13"/>
  <c r="E83" i="13" s="1"/>
  <c r="C75" i="13"/>
  <c r="E75" i="13" s="1"/>
  <c r="C72" i="13"/>
  <c r="E72" i="13" s="1"/>
  <c r="C70" i="13"/>
  <c r="E70" i="13" s="1"/>
  <c r="C69" i="13"/>
  <c r="E69" i="13" s="1"/>
  <c r="C68" i="13"/>
  <c r="E68" i="13" s="1"/>
  <c r="C67" i="13"/>
  <c r="E67" i="13" s="1"/>
  <c r="C65" i="13"/>
  <c r="E65" i="13" s="1"/>
  <c r="C64" i="13"/>
  <c r="E64" i="13" s="1"/>
  <c r="C63" i="13"/>
  <c r="E63" i="13" s="1"/>
  <c r="C62" i="13"/>
  <c r="E62" i="13" s="1"/>
  <c r="C61" i="13"/>
  <c r="E61" i="13" s="1"/>
  <c r="C60" i="13"/>
  <c r="E60" i="13" s="1"/>
  <c r="C59" i="13"/>
  <c r="E59" i="13" s="1"/>
  <c r="C57" i="13"/>
  <c r="E57" i="13" s="1"/>
  <c r="C56" i="13"/>
  <c r="E56" i="13" s="1"/>
  <c r="C51" i="13"/>
  <c r="E51" i="13" s="1"/>
  <c r="C49" i="13"/>
  <c r="E49" i="13" s="1"/>
  <c r="C47" i="13"/>
  <c r="E47" i="13" s="1"/>
  <c r="C46" i="13"/>
  <c r="E46" i="13" s="1"/>
  <c r="C45" i="13"/>
  <c r="E45" i="13" s="1"/>
  <c r="C44" i="13"/>
  <c r="E44" i="13" s="1"/>
  <c r="C43" i="13"/>
  <c r="E43" i="13" s="1"/>
  <c r="C42" i="13"/>
  <c r="E42" i="13" s="1"/>
  <c r="C41" i="13"/>
  <c r="E41" i="13" s="1"/>
  <c r="C40" i="13"/>
  <c r="E40" i="13" s="1"/>
  <c r="C38" i="13"/>
  <c r="E38" i="13" s="1"/>
  <c r="C37" i="13"/>
  <c r="E37" i="13" s="1"/>
  <c r="C35" i="13"/>
  <c r="E35" i="13" s="1"/>
  <c r="C33" i="13"/>
  <c r="E33" i="13" s="1"/>
  <c r="C32" i="13"/>
  <c r="E32" i="13" s="1"/>
  <c r="C31" i="13"/>
  <c r="E31" i="13" s="1"/>
  <c r="C30" i="13"/>
  <c r="E30" i="13" s="1"/>
  <c r="C29" i="13"/>
  <c r="E29" i="13" s="1"/>
  <c r="C28" i="13"/>
  <c r="E28" i="13" s="1"/>
  <c r="C27" i="13"/>
  <c r="E27" i="13" s="1"/>
  <c r="C26" i="13"/>
  <c r="C24" i="13"/>
  <c r="E24" i="13" s="1"/>
  <c r="C23" i="13"/>
  <c r="C16" i="13"/>
  <c r="E16" i="13" s="1"/>
  <c r="C15" i="13"/>
  <c r="E15" i="13" s="1"/>
  <c r="C14" i="13"/>
  <c r="E14" i="13" s="1"/>
  <c r="C13" i="13"/>
  <c r="E13" i="13" s="1"/>
  <c r="C12" i="13"/>
  <c r="E12" i="13" s="1"/>
  <c r="C11" i="13"/>
  <c r="E11" i="13" s="1"/>
  <c r="C10" i="13"/>
  <c r="E10" i="13" s="1"/>
  <c r="C9" i="13"/>
  <c r="E9" i="13" s="1"/>
  <c r="AZ2" i="19"/>
  <c r="B4" i="19"/>
  <c r="G79" i="13" s="1"/>
  <c r="H5" i="19"/>
  <c r="W5" i="19" s="1"/>
  <c r="I5" i="19"/>
  <c r="J5" i="19"/>
  <c r="K5" i="19"/>
  <c r="L5" i="19"/>
  <c r="M5" i="19"/>
  <c r="N5" i="19"/>
  <c r="O5" i="19"/>
  <c r="P5" i="19"/>
  <c r="Q5" i="19"/>
  <c r="R5" i="19"/>
  <c r="S5" i="19"/>
  <c r="X5" i="19"/>
  <c r="Y5" i="19"/>
  <c r="Z5" i="19"/>
  <c r="AA5" i="19"/>
  <c r="AB5" i="19"/>
  <c r="AC5" i="19"/>
  <c r="AD5" i="19"/>
  <c r="AE5" i="19"/>
  <c r="AF5" i="19"/>
  <c r="AG5" i="19"/>
  <c r="AH5" i="19"/>
  <c r="I10" i="19"/>
  <c r="J10" i="19"/>
  <c r="A11" i="19"/>
  <c r="E11" i="19"/>
  <c r="T11" i="19"/>
  <c r="W11" i="19"/>
  <c r="X11" i="19"/>
  <c r="Y11" i="19"/>
  <c r="Z11" i="19"/>
  <c r="AI11" i="19" s="1"/>
  <c r="AA11" i="19"/>
  <c r="AB11" i="19"/>
  <c r="AC11" i="19"/>
  <c r="AD11" i="19"/>
  <c r="AE11" i="19"/>
  <c r="AF11" i="19"/>
  <c r="AG11" i="19"/>
  <c r="AH11" i="19"/>
  <c r="A12" i="19"/>
  <c r="E12" i="19"/>
  <c r="T12" i="19"/>
  <c r="W12" i="19"/>
  <c r="X12" i="19"/>
  <c r="Y12" i="19"/>
  <c r="Z12" i="19"/>
  <c r="AI12" i="19" s="1"/>
  <c r="AQ12" i="19" s="1"/>
  <c r="AA12" i="19"/>
  <c r="AB12" i="19"/>
  <c r="AC12" i="19"/>
  <c r="AD12" i="19"/>
  <c r="AE12" i="19"/>
  <c r="AF12" i="19"/>
  <c r="AG12" i="19"/>
  <c r="AH12" i="19"/>
  <c r="A13" i="19"/>
  <c r="E13" i="19"/>
  <c r="T13" i="19"/>
  <c r="W13" i="19"/>
  <c r="X13" i="19"/>
  <c r="Y13" i="19"/>
  <c r="Z13" i="19"/>
  <c r="AI13" i="19" s="1"/>
  <c r="AQ13" i="19" s="1"/>
  <c r="AA13" i="19"/>
  <c r="AB13" i="19"/>
  <c r="AC13" i="19"/>
  <c r="AD13" i="19"/>
  <c r="AE13" i="19"/>
  <c r="AF13" i="19"/>
  <c r="AG13" i="19"/>
  <c r="AH13" i="19"/>
  <c r="A14" i="19"/>
  <c r="E14" i="19"/>
  <c r="T14" i="19"/>
  <c r="W14" i="19"/>
  <c r="X14" i="19"/>
  <c r="Y14" i="19"/>
  <c r="Z14" i="19"/>
  <c r="AI14" i="19" s="1"/>
  <c r="AQ14" i="19" s="1"/>
  <c r="AA14" i="19"/>
  <c r="AB14" i="19"/>
  <c r="AC14" i="19"/>
  <c r="AD14" i="19"/>
  <c r="AE14" i="19"/>
  <c r="AF14" i="19"/>
  <c r="AG14" i="19"/>
  <c r="AH14" i="19"/>
  <c r="A15" i="19"/>
  <c r="E15" i="19"/>
  <c r="T15" i="19"/>
  <c r="W15" i="19"/>
  <c r="X15" i="19"/>
  <c r="Y15" i="19"/>
  <c r="Z15" i="19"/>
  <c r="AI15" i="19" s="1"/>
  <c r="AQ15" i="19" s="1"/>
  <c r="AA15" i="19"/>
  <c r="AB15" i="19"/>
  <c r="AC15" i="19"/>
  <c r="AD15" i="19"/>
  <c r="AE15" i="19"/>
  <c r="AF15" i="19"/>
  <c r="AG15" i="19"/>
  <c r="AH15" i="19"/>
  <c r="A16" i="19"/>
  <c r="E16" i="19"/>
  <c r="T16" i="19"/>
  <c r="W16" i="19"/>
  <c r="X16" i="19"/>
  <c r="Y16" i="19"/>
  <c r="Z16" i="19"/>
  <c r="AI16" i="19" s="1"/>
  <c r="AQ16" i="19" s="1"/>
  <c r="AA16" i="19"/>
  <c r="AB16" i="19"/>
  <c r="AC16" i="19"/>
  <c r="AD16" i="19"/>
  <c r="AE16" i="19"/>
  <c r="AF16" i="19"/>
  <c r="AG16" i="19"/>
  <c r="AH16" i="19"/>
  <c r="A17" i="19"/>
  <c r="E17" i="19"/>
  <c r="T17" i="19"/>
  <c r="W17" i="19"/>
  <c r="X17" i="19"/>
  <c r="Y17" i="19"/>
  <c r="Z17" i="19"/>
  <c r="AI17" i="19" s="1"/>
  <c r="AA17" i="19"/>
  <c r="AB17" i="19"/>
  <c r="AC17" i="19"/>
  <c r="AD17" i="19"/>
  <c r="AE17" i="19"/>
  <c r="AF17" i="19"/>
  <c r="AG17" i="19"/>
  <c r="AH17" i="19"/>
  <c r="A18" i="19"/>
  <c r="E18" i="19"/>
  <c r="AH18" i="19" s="1"/>
  <c r="AI18" i="19" s="1"/>
  <c r="T18" i="19"/>
  <c r="W18" i="19"/>
  <c r="X18" i="19"/>
  <c r="Y18" i="19"/>
  <c r="Z18" i="19"/>
  <c r="AA18" i="19"/>
  <c r="AB18" i="19"/>
  <c r="AC18" i="19"/>
  <c r="AD18" i="19"/>
  <c r="AE18" i="19"/>
  <c r="AF18" i="19"/>
  <c r="AG18" i="19"/>
  <c r="A19" i="19"/>
  <c r="E19" i="19"/>
  <c r="T19" i="19"/>
  <c r="W19" i="19"/>
  <c r="X19" i="19"/>
  <c r="AI19" i="19" s="1"/>
  <c r="Y19" i="19"/>
  <c r="Z19" i="19"/>
  <c r="AA19" i="19"/>
  <c r="AB19" i="19"/>
  <c r="AC19" i="19"/>
  <c r="AD19" i="19"/>
  <c r="AE19" i="19"/>
  <c r="AF19" i="19"/>
  <c r="AG19" i="19"/>
  <c r="AH19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O21" i="19"/>
  <c r="AS21" i="19"/>
  <c r="A26" i="19"/>
  <c r="E26" i="19"/>
  <c r="AH26" i="19" s="1"/>
  <c r="T26" i="19"/>
  <c r="W26" i="19"/>
  <c r="X26" i="19"/>
  <c r="Y26" i="19"/>
  <c r="AI26" i="19" s="1"/>
  <c r="Z26" i="19"/>
  <c r="AA26" i="19"/>
  <c r="AB26" i="19"/>
  <c r="AC26" i="19"/>
  <c r="AD26" i="19"/>
  <c r="AE26" i="19"/>
  <c r="AF26" i="19"/>
  <c r="AG26" i="19"/>
  <c r="A27" i="19"/>
  <c r="E27" i="19"/>
  <c r="T27" i="19"/>
  <c r="W27" i="19"/>
  <c r="W44" i="19" s="1"/>
  <c r="X27" i="19"/>
  <c r="Y27" i="19"/>
  <c r="Z27" i="19"/>
  <c r="Z44" i="19" s="1"/>
  <c r="AA27" i="19"/>
  <c r="AA44" i="19" s="1"/>
  <c r="AB27" i="19"/>
  <c r="AC27" i="19"/>
  <c r="AD27" i="19"/>
  <c r="AD44" i="19" s="1"/>
  <c r="AE27" i="19"/>
  <c r="AE44" i="19" s="1"/>
  <c r="AF27" i="19"/>
  <c r="AG27" i="19"/>
  <c r="AH27" i="19"/>
  <c r="AU27" i="19"/>
  <c r="AV27" i="19" s="1"/>
  <c r="AW27" i="19" s="1"/>
  <c r="A28" i="19"/>
  <c r="E28" i="19"/>
  <c r="AH28" i="19" s="1"/>
  <c r="T28" i="19"/>
  <c r="W28" i="19"/>
  <c r="X28" i="19"/>
  <c r="Y28" i="19"/>
  <c r="Z28" i="19"/>
  <c r="AA28" i="19"/>
  <c r="AB28" i="19"/>
  <c r="AC28" i="19"/>
  <c r="AD28" i="19"/>
  <c r="AE28" i="19"/>
  <c r="AF28" i="19"/>
  <c r="AG28" i="19"/>
  <c r="AS28" i="19"/>
  <c r="AU28" i="19"/>
  <c r="AV28" i="19" s="1"/>
  <c r="AW28" i="19" s="1"/>
  <c r="A29" i="19"/>
  <c r="E29" i="19"/>
  <c r="AH29" i="19" s="1"/>
  <c r="T29" i="19"/>
  <c r="W29" i="19"/>
  <c r="X29" i="19"/>
  <c r="Y29" i="19"/>
  <c r="AI29" i="19" s="1"/>
  <c r="Z29" i="19"/>
  <c r="AA29" i="19"/>
  <c r="AB29" i="19"/>
  <c r="AC29" i="19"/>
  <c r="AD29" i="19"/>
  <c r="AE29" i="19"/>
  <c r="AF29" i="19"/>
  <c r="AG29" i="19"/>
  <c r="A30" i="19"/>
  <c r="E30" i="19"/>
  <c r="T30" i="19"/>
  <c r="W30" i="19"/>
  <c r="X30" i="19"/>
  <c r="Y30" i="19"/>
  <c r="Z30" i="19"/>
  <c r="AI30" i="19" s="1"/>
  <c r="AA30" i="19"/>
  <c r="AB30" i="19"/>
  <c r="AC30" i="19"/>
  <c r="AD30" i="19"/>
  <c r="AE30" i="19"/>
  <c r="AF30" i="19"/>
  <c r="AG30" i="19"/>
  <c r="AH30" i="19"/>
  <c r="AU30" i="19"/>
  <c r="AV30" i="19" s="1"/>
  <c r="AW30" i="19" s="1"/>
  <c r="A31" i="19"/>
  <c r="E31" i="19"/>
  <c r="AH31" i="19" s="1"/>
  <c r="AI31" i="19" s="1"/>
  <c r="T31" i="19"/>
  <c r="W31" i="19"/>
  <c r="X31" i="19"/>
  <c r="Y31" i="19"/>
  <c r="Z31" i="19"/>
  <c r="AA31" i="19"/>
  <c r="AB31" i="19"/>
  <c r="AC31" i="19"/>
  <c r="AD31" i="19"/>
  <c r="AE31" i="19"/>
  <c r="AF31" i="19"/>
  <c r="AG31" i="19"/>
  <c r="AU31" i="19"/>
  <c r="AV31" i="19" s="1"/>
  <c r="AW31" i="19" s="1"/>
  <c r="A32" i="19"/>
  <c r="E32" i="19"/>
  <c r="AH32" i="19" s="1"/>
  <c r="T32" i="19"/>
  <c r="W32" i="19"/>
  <c r="X32" i="19"/>
  <c r="Y32" i="19"/>
  <c r="Z32" i="19"/>
  <c r="AA32" i="19"/>
  <c r="AB32" i="19"/>
  <c r="AC32" i="19"/>
  <c r="AD32" i="19"/>
  <c r="AE32" i="19"/>
  <c r="AF32" i="19"/>
  <c r="AG32" i="19"/>
  <c r="AU32" i="19"/>
  <c r="AV32" i="19" s="1"/>
  <c r="AW32" i="19" s="1"/>
  <c r="A33" i="19"/>
  <c r="E33" i="19"/>
  <c r="AH33" i="19" s="1"/>
  <c r="T33" i="19"/>
  <c r="W33" i="19"/>
  <c r="X33" i="19"/>
  <c r="Y33" i="19"/>
  <c r="AI33" i="19" s="1"/>
  <c r="Z33" i="19"/>
  <c r="AA33" i="19"/>
  <c r="AB33" i="19"/>
  <c r="AC33" i="19"/>
  <c r="AD33" i="19"/>
  <c r="AE33" i="19"/>
  <c r="AF33" i="19"/>
  <c r="AG33" i="19"/>
  <c r="A34" i="19"/>
  <c r="E34" i="19"/>
  <c r="T34" i="19"/>
  <c r="W34" i="19"/>
  <c r="X34" i="19"/>
  <c r="Y34" i="19"/>
  <c r="Z34" i="19"/>
  <c r="AI34" i="19" s="1"/>
  <c r="AA34" i="19"/>
  <c r="AB34" i="19"/>
  <c r="AC34" i="19"/>
  <c r="AD34" i="19"/>
  <c r="AE34" i="19"/>
  <c r="AF34" i="19"/>
  <c r="AG34" i="19"/>
  <c r="AH34" i="19"/>
  <c r="AU34" i="19"/>
  <c r="AV34" i="19" s="1"/>
  <c r="AW34" i="19" s="1"/>
  <c r="A35" i="19"/>
  <c r="E35" i="19"/>
  <c r="AH35" i="19" s="1"/>
  <c r="T35" i="19"/>
  <c r="W35" i="19"/>
  <c r="X35" i="19"/>
  <c r="Y35" i="19"/>
  <c r="Z35" i="19"/>
  <c r="AA35" i="19"/>
  <c r="AB35" i="19"/>
  <c r="AC35" i="19"/>
  <c r="AD35" i="19"/>
  <c r="AE35" i="19"/>
  <c r="AF35" i="19"/>
  <c r="AG35" i="19"/>
  <c r="AU35" i="19"/>
  <c r="AV35" i="19" s="1"/>
  <c r="AW35" i="19" s="1"/>
  <c r="A36" i="19"/>
  <c r="E36" i="19"/>
  <c r="AH36" i="19" s="1"/>
  <c r="AI36" i="19" s="1"/>
  <c r="AS36" i="19" s="1"/>
  <c r="T36" i="19"/>
  <c r="W36" i="19"/>
  <c r="X36" i="19"/>
  <c r="Y36" i="19"/>
  <c r="Z36" i="19"/>
  <c r="AA36" i="19"/>
  <c r="AB36" i="19"/>
  <c r="AC36" i="19"/>
  <c r="AD36" i="19"/>
  <c r="AE36" i="19"/>
  <c r="AF36" i="19"/>
  <c r="AG36" i="19"/>
  <c r="AU36" i="19"/>
  <c r="AV36" i="19" s="1"/>
  <c r="AW36" i="19" s="1"/>
  <c r="A37" i="19"/>
  <c r="E37" i="19"/>
  <c r="AH37" i="19" s="1"/>
  <c r="T37" i="19"/>
  <c r="W37" i="19"/>
  <c r="X37" i="19"/>
  <c r="Y37" i="19"/>
  <c r="Z37" i="19"/>
  <c r="AA37" i="19"/>
  <c r="AI37" i="19" s="1"/>
  <c r="AS37" i="19" s="1"/>
  <c r="AB37" i="19"/>
  <c r="AC37" i="19"/>
  <c r="AD37" i="19"/>
  <c r="AE37" i="19"/>
  <c r="AF37" i="19"/>
  <c r="AG37" i="19"/>
  <c r="AU37" i="19"/>
  <c r="AV37" i="19" s="1"/>
  <c r="AW37" i="19" s="1"/>
  <c r="A38" i="19"/>
  <c r="E38" i="19"/>
  <c r="AH38" i="19" s="1"/>
  <c r="AI38" i="19" s="1"/>
  <c r="AS38" i="19" s="1"/>
  <c r="T38" i="19"/>
  <c r="W38" i="19"/>
  <c r="X38" i="19"/>
  <c r="Y38" i="19"/>
  <c r="Z38" i="19"/>
  <c r="AA38" i="19"/>
  <c r="AB38" i="19"/>
  <c r="AC38" i="19"/>
  <c r="AD38" i="19"/>
  <c r="AE38" i="19"/>
  <c r="AF38" i="19"/>
  <c r="AG38" i="19"/>
  <c r="AU38" i="19"/>
  <c r="A39" i="19"/>
  <c r="E39" i="19"/>
  <c r="AH39" i="19" s="1"/>
  <c r="AI39" i="19" s="1"/>
  <c r="T39" i="19"/>
  <c r="W39" i="19"/>
  <c r="X39" i="19"/>
  <c r="Y39" i="19"/>
  <c r="Z39" i="19"/>
  <c r="AA39" i="19"/>
  <c r="AB39" i="19"/>
  <c r="AC39" i="19"/>
  <c r="AD39" i="19"/>
  <c r="AE39" i="19"/>
  <c r="AF39" i="19"/>
  <c r="AG39" i="19"/>
  <c r="AU39" i="19"/>
  <c r="AV39" i="19" s="1"/>
  <c r="AW39" i="19" s="1"/>
  <c r="A40" i="19"/>
  <c r="E40" i="19"/>
  <c r="AH40" i="19" s="1"/>
  <c r="T40" i="19"/>
  <c r="W40" i="19"/>
  <c r="X40" i="19"/>
  <c r="Y40" i="19"/>
  <c r="Z40" i="19"/>
  <c r="AA40" i="19"/>
  <c r="AB40" i="19"/>
  <c r="AC40" i="19"/>
  <c r="AD40" i="19"/>
  <c r="AE40" i="19"/>
  <c r="AF40" i="19"/>
  <c r="AG40" i="19"/>
  <c r="A41" i="19"/>
  <c r="E41" i="19"/>
  <c r="T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U41" i="19"/>
  <c r="AV41" i="19" s="1"/>
  <c r="AW41" i="19" s="1"/>
  <c r="A42" i="19"/>
  <c r="E42" i="19"/>
  <c r="AH42" i="19" s="1"/>
  <c r="T42" i="19"/>
  <c r="W42" i="19"/>
  <c r="X42" i="19"/>
  <c r="Y42" i="19"/>
  <c r="Z42" i="19"/>
  <c r="AA42" i="19"/>
  <c r="AB42" i="19"/>
  <c r="AC42" i="19"/>
  <c r="AD42" i="19"/>
  <c r="AE42" i="19"/>
  <c r="AF42" i="19"/>
  <c r="AG42" i="19"/>
  <c r="AU42" i="19"/>
  <c r="AU43" i="19"/>
  <c r="AV43" i="19" s="1"/>
  <c r="AW43" i="19" s="1"/>
  <c r="H44" i="19"/>
  <c r="I44" i="19"/>
  <c r="J44" i="19"/>
  <c r="T44" i="19" s="1"/>
  <c r="K44" i="19"/>
  <c r="L44" i="19"/>
  <c r="M44" i="19"/>
  <c r="N44" i="19"/>
  <c r="N64" i="19" s="1"/>
  <c r="O44" i="19"/>
  <c r="P44" i="19"/>
  <c r="Q44" i="19"/>
  <c r="R44" i="19"/>
  <c r="R64" i="19" s="1"/>
  <c r="S44" i="19"/>
  <c r="X44" i="19"/>
  <c r="Y44" i="19"/>
  <c r="AB44" i="19"/>
  <c r="AC44" i="19"/>
  <c r="AF44" i="19"/>
  <c r="AG44" i="19"/>
  <c r="AO44" i="19"/>
  <c r="AO64" i="19" s="1"/>
  <c r="AQ44" i="19"/>
  <c r="A47" i="19"/>
  <c r="E47" i="19"/>
  <c r="T47" i="19"/>
  <c r="AV47" i="19" s="1"/>
  <c r="AW47" i="19" s="1"/>
  <c r="H49" i="19"/>
  <c r="I49" i="19"/>
  <c r="I64" i="19" s="1"/>
  <c r="J49" i="19"/>
  <c r="K49" i="19"/>
  <c r="L49" i="19"/>
  <c r="M49" i="19"/>
  <c r="M64" i="19" s="1"/>
  <c r="N49" i="19"/>
  <c r="O49" i="19"/>
  <c r="P49" i="19"/>
  <c r="Q49" i="19"/>
  <c r="Q64" i="19" s="1"/>
  <c r="R49" i="19"/>
  <c r="S49" i="19"/>
  <c r="T49" i="19"/>
  <c r="AU50" i="19"/>
  <c r="AV50" i="19"/>
  <c r="AW50" i="19" s="1"/>
  <c r="A52" i="19"/>
  <c r="E52" i="19"/>
  <c r="T52" i="19"/>
  <c r="AV52" i="19"/>
  <c r="AW52" i="19" s="1"/>
  <c r="H54" i="19"/>
  <c r="I54" i="19"/>
  <c r="J54" i="19"/>
  <c r="T54" i="19" s="1"/>
  <c r="K54" i="19"/>
  <c r="L54" i="19"/>
  <c r="M54" i="19"/>
  <c r="N54" i="19"/>
  <c r="O54" i="19"/>
  <c r="P54" i="19"/>
  <c r="Q54" i="19"/>
  <c r="R54" i="19"/>
  <c r="S54" i="19"/>
  <c r="A56" i="19"/>
  <c r="E56" i="19"/>
  <c r="T56" i="19"/>
  <c r="A57" i="19"/>
  <c r="T57" i="19"/>
  <c r="T59" i="19" s="1"/>
  <c r="H59" i="19"/>
  <c r="I59" i="19"/>
  <c r="J59" i="19"/>
  <c r="K59" i="19"/>
  <c r="L59" i="19"/>
  <c r="M59" i="19"/>
  <c r="N59" i="19"/>
  <c r="O59" i="19"/>
  <c r="P59" i="19"/>
  <c r="Q59" i="19"/>
  <c r="R59" i="19"/>
  <c r="S59" i="19"/>
  <c r="AV60" i="19"/>
  <c r="AW60" i="19"/>
  <c r="H64" i="19"/>
  <c r="K64" i="19"/>
  <c r="L64" i="19"/>
  <c r="O64" i="19"/>
  <c r="P64" i="19"/>
  <c r="S64" i="19"/>
  <c r="AU69" i="19"/>
  <c r="H5" i="18"/>
  <c r="I5" i="18"/>
  <c r="J5" i="18" s="1"/>
  <c r="V5" i="18"/>
  <c r="W5" i="18"/>
  <c r="X5" i="18"/>
  <c r="A13" i="18"/>
  <c r="S13" i="18"/>
  <c r="V13" i="18"/>
  <c r="W13" i="18"/>
  <c r="AH13" i="18" s="1"/>
  <c r="X13" i="18"/>
  <c r="Y13" i="18"/>
  <c r="Z13" i="18"/>
  <c r="AA13" i="18"/>
  <c r="AB13" i="18"/>
  <c r="AC13" i="18"/>
  <c r="AD13" i="18"/>
  <c r="AE13" i="18"/>
  <c r="AF13" i="18"/>
  <c r="AG13" i="18"/>
  <c r="A14" i="18"/>
  <c r="S14" i="18"/>
  <c r="V14" i="18"/>
  <c r="W14" i="18"/>
  <c r="AH14" i="18" s="1"/>
  <c r="X14" i="18"/>
  <c r="Y14" i="18"/>
  <c r="Z14" i="18"/>
  <c r="AA14" i="18"/>
  <c r="AB14" i="18"/>
  <c r="AC14" i="18"/>
  <c r="AD14" i="18"/>
  <c r="AE14" i="18"/>
  <c r="AF14" i="18"/>
  <c r="AG14" i="18"/>
  <c r="A15" i="18"/>
  <c r="S15" i="18"/>
  <c r="V15" i="18"/>
  <c r="W15" i="18"/>
  <c r="AH15" i="18" s="1"/>
  <c r="X15" i="18"/>
  <c r="Y15" i="18"/>
  <c r="Z15" i="18"/>
  <c r="AA15" i="18"/>
  <c r="AB15" i="18"/>
  <c r="AC15" i="18"/>
  <c r="AD15" i="18"/>
  <c r="AE15" i="18"/>
  <c r="AF15" i="18"/>
  <c r="AG15" i="18"/>
  <c r="A16" i="18"/>
  <c r="S16" i="18"/>
  <c r="V16" i="18"/>
  <c r="W16" i="18"/>
  <c r="AH16" i="18" s="1"/>
  <c r="X16" i="18"/>
  <c r="Y16" i="18"/>
  <c r="Z16" i="18"/>
  <c r="AA16" i="18"/>
  <c r="AB16" i="18"/>
  <c r="AC16" i="18"/>
  <c r="AD16" i="18"/>
  <c r="AE16" i="18"/>
  <c r="AF16" i="18"/>
  <c r="AG16" i="18"/>
  <c r="A17" i="18"/>
  <c r="S17" i="18"/>
  <c r="V17" i="18"/>
  <c r="W17" i="18"/>
  <c r="AH17" i="18" s="1"/>
  <c r="AS17" i="18" s="1"/>
  <c r="X17" i="18"/>
  <c r="Y17" i="18"/>
  <c r="Z17" i="18"/>
  <c r="AA17" i="18"/>
  <c r="AB17" i="18"/>
  <c r="AC17" i="18"/>
  <c r="AD17" i="18"/>
  <c r="AE17" i="18"/>
  <c r="AF17" i="18"/>
  <c r="AG17" i="18"/>
  <c r="A18" i="18"/>
  <c r="S18" i="18"/>
  <c r="V18" i="18"/>
  <c r="W18" i="18"/>
  <c r="AH18" i="18" s="1"/>
  <c r="AS18" i="18" s="1"/>
  <c r="X18" i="18"/>
  <c r="Y18" i="18"/>
  <c r="Z18" i="18"/>
  <c r="AA18" i="18"/>
  <c r="AB18" i="18"/>
  <c r="AC18" i="18"/>
  <c r="AD18" i="18"/>
  <c r="AE18" i="18"/>
  <c r="AF18" i="18"/>
  <c r="AG18" i="18"/>
  <c r="A19" i="18"/>
  <c r="S19" i="18"/>
  <c r="V19" i="18"/>
  <c r="W19" i="18"/>
  <c r="X19" i="18"/>
  <c r="Y19" i="18"/>
  <c r="AH19" i="18" s="1"/>
  <c r="AS19" i="18" s="1"/>
  <c r="Z19" i="18"/>
  <c r="AA19" i="18"/>
  <c r="AB19" i="18"/>
  <c r="AC19" i="18"/>
  <c r="AD19" i="18"/>
  <c r="AE19" i="18"/>
  <c r="AF19" i="18"/>
  <c r="AG19" i="18"/>
  <c r="A20" i="18"/>
  <c r="S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S20" i="18" s="1"/>
  <c r="A21" i="18"/>
  <c r="S21" i="18"/>
  <c r="V21" i="18"/>
  <c r="W21" i="18"/>
  <c r="AH21" i="18" s="1"/>
  <c r="AS21" i="18" s="1"/>
  <c r="X21" i="18"/>
  <c r="Y21" i="18"/>
  <c r="Z21" i="18"/>
  <c r="AA21" i="18"/>
  <c r="AB21" i="18"/>
  <c r="AC21" i="18"/>
  <c r="AD21" i="18"/>
  <c r="AE21" i="18"/>
  <c r="AF21" i="18"/>
  <c r="AG21" i="18"/>
  <c r="A22" i="18"/>
  <c r="S22" i="18"/>
  <c r="V22" i="18"/>
  <c r="W22" i="18"/>
  <c r="AH22" i="18" s="1"/>
  <c r="AS22" i="18" s="1"/>
  <c r="X22" i="18"/>
  <c r="Y22" i="18"/>
  <c r="Z22" i="18"/>
  <c r="AA22" i="18"/>
  <c r="AB22" i="18"/>
  <c r="AC22" i="18"/>
  <c r="AD22" i="18"/>
  <c r="AE22" i="18"/>
  <c r="AF22" i="18"/>
  <c r="AG22" i="18"/>
  <c r="A23" i="18"/>
  <c r="S23" i="18"/>
  <c r="V23" i="18"/>
  <c r="W23" i="18"/>
  <c r="X23" i="18"/>
  <c r="Y23" i="18"/>
  <c r="AH23" i="18" s="1"/>
  <c r="AS23" i="18" s="1"/>
  <c r="Z23" i="18"/>
  <c r="AA23" i="18"/>
  <c r="AB23" i="18"/>
  <c r="AC23" i="18"/>
  <c r="AD23" i="18"/>
  <c r="AE23" i="18"/>
  <c r="AF23" i="18"/>
  <c r="AG23" i="18"/>
  <c r="A24" i="18"/>
  <c r="S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M24" i="18" s="1"/>
  <c r="A25" i="18"/>
  <c r="S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M25" i="18" s="1"/>
  <c r="A26" i="18"/>
  <c r="S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M26" i="18" s="1"/>
  <c r="A27" i="18"/>
  <c r="S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M27" i="18" s="1"/>
  <c r="A28" i="18"/>
  <c r="S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M28" i="18" s="1"/>
  <c r="A29" i="18"/>
  <c r="S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M29" i="18" s="1"/>
  <c r="A30" i="18"/>
  <c r="S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M30" i="18" s="1"/>
  <c r="A31" i="18"/>
  <c r="S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M31" i="18" s="1"/>
  <c r="A32" i="18"/>
  <c r="S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M32" i="18" s="1"/>
  <c r="A33" i="18"/>
  <c r="S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S33" i="18" s="1"/>
  <c r="A34" i="18"/>
  <c r="S34" i="18"/>
  <c r="V34" i="18"/>
  <c r="W34" i="18"/>
  <c r="AH34" i="18" s="1"/>
  <c r="AS34" i="18" s="1"/>
  <c r="X34" i="18"/>
  <c r="Y34" i="18"/>
  <c r="Z34" i="18"/>
  <c r="AA34" i="18"/>
  <c r="AB34" i="18"/>
  <c r="AC34" i="18"/>
  <c r="AD34" i="18"/>
  <c r="AE34" i="18"/>
  <c r="AF34" i="18"/>
  <c r="AG34" i="18"/>
  <c r="A35" i="18"/>
  <c r="S35" i="18"/>
  <c r="V35" i="18"/>
  <c r="W35" i="18"/>
  <c r="X35" i="18"/>
  <c r="AH35" i="18" s="1"/>
  <c r="AS35" i="18" s="1"/>
  <c r="Y35" i="18"/>
  <c r="Z35" i="18"/>
  <c r="AA35" i="18"/>
  <c r="AB35" i="18"/>
  <c r="AC35" i="18"/>
  <c r="AD35" i="18"/>
  <c r="AE35" i="18"/>
  <c r="AF35" i="18"/>
  <c r="AG35" i="18"/>
  <c r="A36" i="18"/>
  <c r="S36" i="18"/>
  <c r="V36" i="18"/>
  <c r="W36" i="18"/>
  <c r="X36" i="18"/>
  <c r="Y36" i="18"/>
  <c r="AH36" i="18" s="1"/>
  <c r="AS36" i="18" s="1"/>
  <c r="Z36" i="18"/>
  <c r="AA36" i="18"/>
  <c r="AB36" i="18"/>
  <c r="AC36" i="18"/>
  <c r="AD36" i="18"/>
  <c r="AE36" i="18"/>
  <c r="AF36" i="18"/>
  <c r="AG36" i="18"/>
  <c r="A37" i="18"/>
  <c r="S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AS37" i="18" s="1"/>
  <c r="A38" i="18"/>
  <c r="S38" i="18"/>
  <c r="V38" i="18"/>
  <c r="W38" i="18"/>
  <c r="AH38" i="18" s="1"/>
  <c r="AS38" i="18" s="1"/>
  <c r="X38" i="18"/>
  <c r="Y38" i="18"/>
  <c r="Z38" i="18"/>
  <c r="AA38" i="18"/>
  <c r="AB38" i="18"/>
  <c r="AC38" i="18"/>
  <c r="AD38" i="18"/>
  <c r="AE38" i="18"/>
  <c r="AF38" i="18"/>
  <c r="AG38" i="18"/>
  <c r="A39" i="18"/>
  <c r="S39" i="18"/>
  <c r="V39" i="18"/>
  <c r="W39" i="18"/>
  <c r="X39" i="18"/>
  <c r="AH39" i="18" s="1"/>
  <c r="AS39" i="18" s="1"/>
  <c r="Y39" i="18"/>
  <c r="Z39" i="18"/>
  <c r="AA39" i="18"/>
  <c r="AB39" i="18"/>
  <c r="AC39" i="18"/>
  <c r="AD39" i="18"/>
  <c r="AE39" i="18"/>
  <c r="AF39" i="18"/>
  <c r="AG39" i="18"/>
  <c r="A40" i="18"/>
  <c r="S40" i="18"/>
  <c r="V40" i="18"/>
  <c r="W40" i="18"/>
  <c r="X40" i="18"/>
  <c r="Y40" i="18"/>
  <c r="AH40" i="18" s="1"/>
  <c r="AS40" i="18" s="1"/>
  <c r="Z40" i="18"/>
  <c r="AA40" i="18"/>
  <c r="AB40" i="18"/>
  <c r="AC40" i="18"/>
  <c r="AD40" i="18"/>
  <c r="AE40" i="18"/>
  <c r="AF40" i="18"/>
  <c r="AG40" i="18"/>
  <c r="A41" i="18"/>
  <c r="S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AS41" i="18" s="1"/>
  <c r="A42" i="18"/>
  <c r="S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43" i="18"/>
  <c r="S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44" i="18"/>
  <c r="S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45" i="18"/>
  <c r="S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S45" i="18" s="1"/>
  <c r="A46" i="18"/>
  <c r="S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47" i="18"/>
  <c r="S47" i="18"/>
  <c r="V47" i="18"/>
  <c r="W47" i="18"/>
  <c r="X47" i="18"/>
  <c r="Y47" i="18"/>
  <c r="Z47" i="18"/>
  <c r="AA47" i="18"/>
  <c r="AB47" i="18"/>
  <c r="AB49" i="18" s="1"/>
  <c r="AC47" i="18"/>
  <c r="AD47" i="18"/>
  <c r="AE47" i="18"/>
  <c r="AF47" i="18"/>
  <c r="AF49" i="18" s="1"/>
  <c r="AG47" i="18"/>
  <c r="G49" i="18"/>
  <c r="H49" i="18"/>
  <c r="I49" i="18"/>
  <c r="J49" i="18"/>
  <c r="K49" i="18"/>
  <c r="L49" i="18"/>
  <c r="L57" i="18" s="1"/>
  <c r="M49" i="18"/>
  <c r="N49" i="18"/>
  <c r="O49" i="18"/>
  <c r="P49" i="18"/>
  <c r="Q49" i="18"/>
  <c r="R49" i="18"/>
  <c r="S49" i="18"/>
  <c r="V49" i="18"/>
  <c r="W49" i="18"/>
  <c r="Y49" i="18"/>
  <c r="Z49" i="18"/>
  <c r="AA49" i="18"/>
  <c r="AC49" i="18"/>
  <c r="AD49" i="18"/>
  <c r="AE49" i="18"/>
  <c r="AG49" i="18"/>
  <c r="AO49" i="18"/>
  <c r="AQ49" i="18"/>
  <c r="H50" i="18"/>
  <c r="I50" i="18"/>
  <c r="H51" i="18"/>
  <c r="I51" i="18"/>
  <c r="A52" i="18"/>
  <c r="S52" i="18"/>
  <c r="V52" i="18"/>
  <c r="W52" i="18"/>
  <c r="X52" i="18"/>
  <c r="Y52" i="18"/>
  <c r="Z52" i="18"/>
  <c r="AA52" i="18"/>
  <c r="AB52" i="18"/>
  <c r="AC52" i="18"/>
  <c r="AD52" i="18"/>
  <c r="AE52" i="18"/>
  <c r="AF52" i="18"/>
  <c r="AG52" i="18"/>
  <c r="A53" i="18"/>
  <c r="S53" i="18"/>
  <c r="V53" i="18"/>
  <c r="W53" i="18"/>
  <c r="X53" i="18"/>
  <c r="Y53" i="18"/>
  <c r="Z53" i="18"/>
  <c r="AA53" i="18"/>
  <c r="AB53" i="18"/>
  <c r="AC53" i="18"/>
  <c r="AD53" i="18"/>
  <c r="AE53" i="18"/>
  <c r="AF53" i="18"/>
  <c r="AG53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V55" i="18"/>
  <c r="W55" i="18"/>
  <c r="X55" i="18"/>
  <c r="Z55" i="18"/>
  <c r="AA55" i="18"/>
  <c r="AB55" i="18"/>
  <c r="AD55" i="18"/>
  <c r="AE55" i="18"/>
  <c r="AF55" i="18"/>
  <c r="AO55" i="18"/>
  <c r="AQ55" i="18"/>
  <c r="H56" i="18"/>
  <c r="I56" i="18"/>
  <c r="H57" i="18"/>
  <c r="I57" i="18"/>
  <c r="A61" i="18"/>
  <c r="S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62" i="18"/>
  <c r="S62" i="18"/>
  <c r="V62" i="18"/>
  <c r="W62" i="18"/>
  <c r="AH62" i="18" s="1"/>
  <c r="AS62" i="18" s="1"/>
  <c r="X62" i="18"/>
  <c r="Y62" i="18"/>
  <c r="Z62" i="18"/>
  <c r="AA62" i="18"/>
  <c r="AB62" i="18"/>
  <c r="AC62" i="18"/>
  <c r="AD62" i="18"/>
  <c r="AE62" i="18"/>
  <c r="AF62" i="18"/>
  <c r="AG62" i="18"/>
  <c r="A63" i="18"/>
  <c r="S63" i="18"/>
  <c r="V63" i="18"/>
  <c r="W63" i="18"/>
  <c r="X63" i="18"/>
  <c r="Y63" i="18"/>
  <c r="Z63" i="18"/>
  <c r="AA63" i="18"/>
  <c r="AB63" i="18"/>
  <c r="AC63" i="18"/>
  <c r="AD63" i="18"/>
  <c r="AE63" i="18"/>
  <c r="AF63" i="18"/>
  <c r="AG63" i="18"/>
  <c r="A64" i="18"/>
  <c r="S64" i="18"/>
  <c r="V64" i="18"/>
  <c r="W64" i="18"/>
  <c r="X64" i="18"/>
  <c r="Y64" i="18"/>
  <c r="Z64" i="18"/>
  <c r="AA64" i="18"/>
  <c r="AB64" i="18"/>
  <c r="AC64" i="18"/>
  <c r="AD64" i="18"/>
  <c r="AE64" i="18"/>
  <c r="AF64" i="18"/>
  <c r="AG64" i="18"/>
  <c r="A65" i="18"/>
  <c r="S65" i="18"/>
  <c r="V65" i="18"/>
  <c r="W65" i="18"/>
  <c r="X65" i="18"/>
  <c r="Y65" i="18"/>
  <c r="Z65" i="18"/>
  <c r="AA65" i="18"/>
  <c r="AB65" i="18"/>
  <c r="AC65" i="18"/>
  <c r="AD65" i="18"/>
  <c r="AE65" i="18"/>
  <c r="AF65" i="18"/>
  <c r="AG65" i="18"/>
  <c r="A66" i="18"/>
  <c r="S66" i="18"/>
  <c r="V66" i="18"/>
  <c r="W66" i="18"/>
  <c r="X66" i="18"/>
  <c r="Y66" i="18"/>
  <c r="Z66" i="18"/>
  <c r="AA66" i="18"/>
  <c r="AB66" i="18"/>
  <c r="AC66" i="18"/>
  <c r="AD66" i="18"/>
  <c r="AE66" i="18"/>
  <c r="AF66" i="18"/>
  <c r="AG66" i="18"/>
  <c r="A67" i="18"/>
  <c r="S67" i="18"/>
  <c r="V67" i="18"/>
  <c r="W67" i="18"/>
  <c r="X67" i="18"/>
  <c r="Y67" i="18"/>
  <c r="Z67" i="18"/>
  <c r="AA67" i="18"/>
  <c r="AB67" i="18"/>
  <c r="AC67" i="18"/>
  <c r="AD67" i="18"/>
  <c r="AE67" i="18"/>
  <c r="AF67" i="18"/>
  <c r="AG67" i="18"/>
  <c r="A68" i="18"/>
  <c r="S68" i="18"/>
  <c r="V68" i="18"/>
  <c r="W68" i="18"/>
  <c r="X68" i="18"/>
  <c r="Y68" i="18"/>
  <c r="Z68" i="18"/>
  <c r="AA68" i="18"/>
  <c r="AB68" i="18"/>
  <c r="AC68" i="18"/>
  <c r="AD68" i="18"/>
  <c r="AE68" i="18"/>
  <c r="AF68" i="18"/>
  <c r="AG68" i="18"/>
  <c r="A69" i="18"/>
  <c r="S69" i="18"/>
  <c r="V69" i="18"/>
  <c r="W69" i="18"/>
  <c r="X69" i="18"/>
  <c r="Y69" i="18"/>
  <c r="Z69" i="18"/>
  <c r="AA69" i="18"/>
  <c r="AB69" i="18"/>
  <c r="AC69" i="18"/>
  <c r="AD69" i="18"/>
  <c r="AE69" i="18"/>
  <c r="AF69" i="18"/>
  <c r="AG69" i="18"/>
  <c r="A70" i="18"/>
  <c r="S70" i="18"/>
  <c r="V70" i="18"/>
  <c r="W70" i="18"/>
  <c r="X70" i="18"/>
  <c r="Y70" i="18"/>
  <c r="Z70" i="18"/>
  <c r="AA70" i="18"/>
  <c r="AB70" i="18"/>
  <c r="AC70" i="18"/>
  <c r="AD70" i="18"/>
  <c r="AE70" i="18"/>
  <c r="AF70" i="18"/>
  <c r="AG70" i="18"/>
  <c r="A71" i="18"/>
  <c r="S71" i="18"/>
  <c r="V71" i="18"/>
  <c r="W71" i="18"/>
  <c r="X71" i="18"/>
  <c r="Y71" i="18"/>
  <c r="Z71" i="18"/>
  <c r="AA71" i="18"/>
  <c r="AB71" i="18"/>
  <c r="AC71" i="18"/>
  <c r="AD71" i="18"/>
  <c r="AE71" i="18"/>
  <c r="AF71" i="18"/>
  <c r="AG71" i="18"/>
  <c r="A72" i="18"/>
  <c r="S72" i="18"/>
  <c r="V72" i="18"/>
  <c r="W72" i="18"/>
  <c r="X72" i="18"/>
  <c r="Y72" i="18"/>
  <c r="Z72" i="18"/>
  <c r="AA72" i="18"/>
  <c r="AB72" i="18"/>
  <c r="AC72" i="18"/>
  <c r="AD72" i="18"/>
  <c r="AE72" i="18"/>
  <c r="AF72" i="18"/>
  <c r="AG72" i="18"/>
  <c r="AH72" i="18"/>
  <c r="A73" i="18"/>
  <c r="S73" i="18"/>
  <c r="V73" i="18"/>
  <c r="W73" i="18"/>
  <c r="X73" i="18"/>
  <c r="AH73" i="18" s="1"/>
  <c r="Y73" i="18"/>
  <c r="Z73" i="18"/>
  <c r="AA73" i="18"/>
  <c r="AB73" i="18"/>
  <c r="AC73" i="18"/>
  <c r="AD73" i="18"/>
  <c r="AE73" i="18"/>
  <c r="AF73" i="18"/>
  <c r="AG73" i="18"/>
  <c r="A74" i="18"/>
  <c r="S74" i="18"/>
  <c r="V74" i="18"/>
  <c r="W74" i="18"/>
  <c r="X74" i="18"/>
  <c r="Y74" i="18"/>
  <c r="Z74" i="18"/>
  <c r="AA74" i="18"/>
  <c r="AB74" i="18"/>
  <c r="AC74" i="18"/>
  <c r="AD74" i="18"/>
  <c r="AE74" i="18"/>
  <c r="AF74" i="18"/>
  <c r="AG74" i="18"/>
  <c r="AH74" i="18"/>
  <c r="A75" i="18"/>
  <c r="S75" i="18"/>
  <c r="V75" i="18"/>
  <c r="W75" i="18"/>
  <c r="AH75" i="18" s="1"/>
  <c r="X75" i="18"/>
  <c r="Y75" i="18"/>
  <c r="Z75" i="18"/>
  <c r="AA75" i="18"/>
  <c r="AB75" i="18"/>
  <c r="AC75" i="18"/>
  <c r="AD75" i="18"/>
  <c r="AE75" i="18"/>
  <c r="AF75" i="18"/>
  <c r="AG75" i="18"/>
  <c r="A76" i="18"/>
  <c r="S76" i="18"/>
  <c r="V76" i="18"/>
  <c r="W76" i="18"/>
  <c r="AH76" i="18" s="1"/>
  <c r="X76" i="18"/>
  <c r="Y76" i="18"/>
  <c r="Z76" i="18"/>
  <c r="AA76" i="18"/>
  <c r="AB76" i="18"/>
  <c r="AC76" i="18"/>
  <c r="AD76" i="18"/>
  <c r="AE76" i="18"/>
  <c r="AF76" i="18"/>
  <c r="AG76" i="18"/>
  <c r="A77" i="18"/>
  <c r="S77" i="18"/>
  <c r="V77" i="18"/>
  <c r="W77" i="18"/>
  <c r="AH77" i="18" s="1"/>
  <c r="X77" i="18"/>
  <c r="Y77" i="18"/>
  <c r="Z77" i="18"/>
  <c r="AA77" i="18"/>
  <c r="AB77" i="18"/>
  <c r="AC77" i="18"/>
  <c r="AD77" i="18"/>
  <c r="AE77" i="18"/>
  <c r="AF77" i="18"/>
  <c r="AG77" i="18"/>
  <c r="A78" i="18"/>
  <c r="S78" i="18"/>
  <c r="V78" i="18"/>
  <c r="W78" i="18"/>
  <c r="AH78" i="18" s="1"/>
  <c r="X78" i="18"/>
  <c r="Y78" i="18"/>
  <c r="Z78" i="18"/>
  <c r="AA78" i="18"/>
  <c r="AB78" i="18"/>
  <c r="AC78" i="18"/>
  <c r="AD78" i="18"/>
  <c r="AE78" i="18"/>
  <c r="AF78" i="18"/>
  <c r="AG78" i="18"/>
  <c r="A79" i="18"/>
  <c r="S79" i="18"/>
  <c r="V79" i="18"/>
  <c r="W79" i="18"/>
  <c r="AH79" i="18" s="1"/>
  <c r="X79" i="18"/>
  <c r="Y79" i="18"/>
  <c r="Z79" i="18"/>
  <c r="AA79" i="18"/>
  <c r="AB79" i="18"/>
  <c r="AC79" i="18"/>
  <c r="AD79" i="18"/>
  <c r="AE79" i="18"/>
  <c r="AF79" i="18"/>
  <c r="AG79" i="18"/>
  <c r="A80" i="18"/>
  <c r="S80" i="18"/>
  <c r="V80" i="18"/>
  <c r="W80" i="18"/>
  <c r="AH80" i="18" s="1"/>
  <c r="X80" i="18"/>
  <c r="Y80" i="18"/>
  <c r="Z80" i="18"/>
  <c r="AA80" i="18"/>
  <c r="AB80" i="18"/>
  <c r="AC80" i="18"/>
  <c r="AD80" i="18"/>
  <c r="AE80" i="18"/>
  <c r="AF80" i="18"/>
  <c r="AG80" i="18"/>
  <c r="A81" i="18"/>
  <c r="S81" i="18"/>
  <c r="V81" i="18"/>
  <c r="W81" i="18"/>
  <c r="AH81" i="18" s="1"/>
  <c r="X81" i="18"/>
  <c r="Y81" i="18"/>
  <c r="Z81" i="18"/>
  <c r="AA81" i="18"/>
  <c r="AB81" i="18"/>
  <c r="AC81" i="18"/>
  <c r="AD81" i="18"/>
  <c r="AE81" i="18"/>
  <c r="AF81" i="18"/>
  <c r="AG81" i="18"/>
  <c r="A82" i="18"/>
  <c r="S82" i="18"/>
  <c r="V82" i="18"/>
  <c r="W82" i="18"/>
  <c r="AH82" i="18" s="1"/>
  <c r="X82" i="18"/>
  <c r="Y82" i="18"/>
  <c r="Z82" i="18"/>
  <c r="AA82" i="18"/>
  <c r="AB82" i="18"/>
  <c r="AC82" i="18"/>
  <c r="AD82" i="18"/>
  <c r="AE82" i="18"/>
  <c r="AF82" i="18"/>
  <c r="AG82" i="18"/>
  <c r="A83" i="18"/>
  <c r="S83" i="18"/>
  <c r="V83" i="18"/>
  <c r="W83" i="18"/>
  <c r="AH83" i="18" s="1"/>
  <c r="X83" i="18"/>
  <c r="Y83" i="18"/>
  <c r="Z83" i="18"/>
  <c r="AA83" i="18"/>
  <c r="AB83" i="18"/>
  <c r="AC83" i="18"/>
  <c r="AD83" i="18"/>
  <c r="AE83" i="18"/>
  <c r="AF83" i="18"/>
  <c r="AG83" i="18"/>
  <c r="A84" i="18"/>
  <c r="S84" i="18"/>
  <c r="V84" i="18"/>
  <c r="W84" i="18"/>
  <c r="AH84" i="18" s="1"/>
  <c r="X84" i="18"/>
  <c r="Y84" i="18"/>
  <c r="Z84" i="18"/>
  <c r="AA84" i="18"/>
  <c r="AB84" i="18"/>
  <c r="AC84" i="18"/>
  <c r="AD84" i="18"/>
  <c r="AE84" i="18"/>
  <c r="AF84" i="18"/>
  <c r="AG84" i="18"/>
  <c r="A85" i="18"/>
  <c r="S85" i="18"/>
  <c r="V85" i="18"/>
  <c r="W85" i="18"/>
  <c r="AH85" i="18" s="1"/>
  <c r="X85" i="18"/>
  <c r="Y85" i="18"/>
  <c r="Z85" i="18"/>
  <c r="AA85" i="18"/>
  <c r="AB85" i="18"/>
  <c r="AC85" i="18"/>
  <c r="AD85" i="18"/>
  <c r="AE85" i="18"/>
  <c r="AF85" i="18"/>
  <c r="AG85" i="18"/>
  <c r="A86" i="18"/>
  <c r="S86" i="18"/>
  <c r="V86" i="18"/>
  <c r="W86" i="18"/>
  <c r="AH86" i="18" s="1"/>
  <c r="X86" i="18"/>
  <c r="Y86" i="18"/>
  <c r="Z86" i="18"/>
  <c r="AA86" i="18"/>
  <c r="AB86" i="18"/>
  <c r="AC86" i="18"/>
  <c r="AD86" i="18"/>
  <c r="AE86" i="18"/>
  <c r="AF86" i="18"/>
  <c r="AG86" i="18"/>
  <c r="A87" i="18"/>
  <c r="S87" i="18"/>
  <c r="V87" i="18"/>
  <c r="W87" i="18"/>
  <c r="AH87" i="18" s="1"/>
  <c r="X87" i="18"/>
  <c r="Y87" i="18"/>
  <c r="Z87" i="18"/>
  <c r="AA87" i="18"/>
  <c r="AB87" i="18"/>
  <c r="AC87" i="18"/>
  <c r="AD87" i="18"/>
  <c r="AE87" i="18"/>
  <c r="AF87" i="18"/>
  <c r="AG87" i="18"/>
  <c r="A88" i="18"/>
  <c r="S88" i="18"/>
  <c r="V88" i="18"/>
  <c r="W88" i="18"/>
  <c r="AH88" i="18" s="1"/>
  <c r="AS88" i="18" s="1"/>
  <c r="X88" i="18"/>
  <c r="Y88" i="18"/>
  <c r="Z88" i="18"/>
  <c r="AA88" i="18"/>
  <c r="AB88" i="18"/>
  <c r="AC88" i="18"/>
  <c r="AD88" i="18"/>
  <c r="AE88" i="18"/>
  <c r="AF88" i="18"/>
  <c r="AG88" i="18"/>
  <c r="A89" i="18"/>
  <c r="S89" i="18"/>
  <c r="V89" i="18"/>
  <c r="W89" i="18"/>
  <c r="X89" i="18"/>
  <c r="AH89" i="18" s="1"/>
  <c r="AS89" i="18" s="1"/>
  <c r="Y89" i="18"/>
  <c r="Z89" i="18"/>
  <c r="AA89" i="18"/>
  <c r="AB89" i="18"/>
  <c r="AC89" i="18"/>
  <c r="AD89" i="18"/>
  <c r="AE89" i="18"/>
  <c r="AF89" i="18"/>
  <c r="AG89" i="18"/>
  <c r="A90" i="18"/>
  <c r="S90" i="18"/>
  <c r="V90" i="18"/>
  <c r="W90" i="18"/>
  <c r="AH90" i="18" s="1"/>
  <c r="X90" i="18"/>
  <c r="Y90" i="18"/>
  <c r="Z90" i="18"/>
  <c r="AA90" i="18"/>
  <c r="AB90" i="18"/>
  <c r="AC90" i="18"/>
  <c r="AD90" i="18"/>
  <c r="AE90" i="18"/>
  <c r="AF90" i="18"/>
  <c r="AG90" i="18"/>
  <c r="A91" i="18"/>
  <c r="S91" i="18"/>
  <c r="V91" i="18"/>
  <c r="W91" i="18"/>
  <c r="AH91" i="18" s="1"/>
  <c r="AS91" i="18" s="1"/>
  <c r="X91" i="18"/>
  <c r="Y91" i="18"/>
  <c r="Z91" i="18"/>
  <c r="AA91" i="18"/>
  <c r="AB91" i="18"/>
  <c r="AC91" i="18"/>
  <c r="AD91" i="18"/>
  <c r="AE91" i="18"/>
  <c r="AF91" i="18"/>
  <c r="AG91" i="18"/>
  <c r="A92" i="18"/>
  <c r="S92" i="18"/>
  <c r="V92" i="18"/>
  <c r="W92" i="18"/>
  <c r="X92" i="18"/>
  <c r="Y92" i="18"/>
  <c r="Z92" i="18"/>
  <c r="AA92" i="18"/>
  <c r="AB92" i="18"/>
  <c r="AC92" i="18"/>
  <c r="AD92" i="18"/>
  <c r="AE92" i="18"/>
  <c r="AF92" i="18"/>
  <c r="AG92" i="18"/>
  <c r="AH92" i="18"/>
  <c r="AS92" i="18" s="1"/>
  <c r="A93" i="18"/>
  <c r="S93" i="18"/>
  <c r="V93" i="18"/>
  <c r="W93" i="18"/>
  <c r="AH93" i="18" s="1"/>
  <c r="AS93" i="18" s="1"/>
  <c r="X93" i="18"/>
  <c r="Y93" i="18"/>
  <c r="Z93" i="18"/>
  <c r="AA93" i="18"/>
  <c r="AB93" i="18"/>
  <c r="AC93" i="18"/>
  <c r="AD93" i="18"/>
  <c r="AE93" i="18"/>
  <c r="AF93" i="18"/>
  <c r="AG93" i="18"/>
  <c r="A94" i="18"/>
  <c r="S94" i="18"/>
  <c r="V94" i="18"/>
  <c r="W94" i="18"/>
  <c r="X94" i="18"/>
  <c r="AH94" i="18" s="1"/>
  <c r="AS94" i="18" s="1"/>
  <c r="Y94" i="18"/>
  <c r="Z94" i="18"/>
  <c r="AA94" i="18"/>
  <c r="AB94" i="18"/>
  <c r="AC94" i="18"/>
  <c r="AD94" i="18"/>
  <c r="AE94" i="18"/>
  <c r="AF94" i="18"/>
  <c r="AG94" i="18"/>
  <c r="A95" i="18"/>
  <c r="S95" i="18"/>
  <c r="V95" i="18"/>
  <c r="W95" i="18"/>
  <c r="AH95" i="18" s="1"/>
  <c r="AS95" i="18" s="1"/>
  <c r="X95" i="18"/>
  <c r="Y95" i="18"/>
  <c r="Z95" i="18"/>
  <c r="AA95" i="18"/>
  <c r="AB95" i="18"/>
  <c r="AC95" i="18"/>
  <c r="AD95" i="18"/>
  <c r="AE95" i="18"/>
  <c r="AF95" i="18"/>
  <c r="AG95" i="18"/>
  <c r="A96" i="18"/>
  <c r="S96" i="18"/>
  <c r="V96" i="18"/>
  <c r="W96" i="18"/>
  <c r="X96" i="18"/>
  <c r="Y96" i="18"/>
  <c r="Z96" i="18"/>
  <c r="AA96" i="18"/>
  <c r="AB96" i="18"/>
  <c r="AC96" i="18"/>
  <c r="AD96" i="18"/>
  <c r="AE96" i="18"/>
  <c r="AF96" i="18"/>
  <c r="AG96" i="18"/>
  <c r="AH96" i="18"/>
  <c r="AS96" i="18" s="1"/>
  <c r="A97" i="18"/>
  <c r="S97" i="18"/>
  <c r="V97" i="18"/>
  <c r="W97" i="18"/>
  <c r="AH97" i="18" s="1"/>
  <c r="AS97" i="18" s="1"/>
  <c r="X97" i="18"/>
  <c r="Y97" i="18"/>
  <c r="Z97" i="18"/>
  <c r="AA97" i="18"/>
  <c r="AB97" i="18"/>
  <c r="AC97" i="18"/>
  <c r="AD97" i="18"/>
  <c r="AE97" i="18"/>
  <c r="AF97" i="18"/>
  <c r="AG97" i="18"/>
  <c r="A98" i="18"/>
  <c r="S98" i="18"/>
  <c r="V98" i="18"/>
  <c r="W98" i="18"/>
  <c r="X98" i="18"/>
  <c r="Y98" i="18"/>
  <c r="Z98" i="18"/>
  <c r="AA98" i="18"/>
  <c r="AB98" i="18"/>
  <c r="AC98" i="18"/>
  <c r="AD98" i="18"/>
  <c r="AE98" i="18"/>
  <c r="AF98" i="18"/>
  <c r="AG98" i="18"/>
  <c r="AH98" i="18"/>
  <c r="AS98" i="18" s="1"/>
  <c r="A99" i="18"/>
  <c r="S99" i="18"/>
  <c r="V99" i="18"/>
  <c r="W99" i="18"/>
  <c r="AH99" i="18" s="1"/>
  <c r="X99" i="18"/>
  <c r="Y99" i="18"/>
  <c r="Z99" i="18"/>
  <c r="AA99" i="18"/>
  <c r="AB99" i="18"/>
  <c r="AC99" i="18"/>
  <c r="AD99" i="18"/>
  <c r="AE99" i="18"/>
  <c r="AF99" i="18"/>
  <c r="AG99" i="18"/>
  <c r="A100" i="18"/>
  <c r="S100" i="18"/>
  <c r="V100" i="18"/>
  <c r="W100" i="18"/>
  <c r="AH100" i="18" s="1"/>
  <c r="X100" i="18"/>
  <c r="Y100" i="18"/>
  <c r="Z100" i="18"/>
  <c r="AA100" i="18"/>
  <c r="AB100" i="18"/>
  <c r="AC100" i="18"/>
  <c r="AD100" i="18"/>
  <c r="AE100" i="18"/>
  <c r="AF100" i="18"/>
  <c r="AG100" i="18"/>
  <c r="A101" i="18"/>
  <c r="S101" i="18"/>
  <c r="V101" i="18"/>
  <c r="W101" i="18"/>
  <c r="AH101" i="18" s="1"/>
  <c r="AS101" i="18" s="1"/>
  <c r="X101" i="18"/>
  <c r="Y101" i="18"/>
  <c r="Z101" i="18"/>
  <c r="AA101" i="18"/>
  <c r="AB101" i="18"/>
  <c r="AC101" i="18"/>
  <c r="AD101" i="18"/>
  <c r="AE101" i="18"/>
  <c r="AF101" i="18"/>
  <c r="AG101" i="18"/>
  <c r="A102" i="18"/>
  <c r="S102" i="18"/>
  <c r="V102" i="18"/>
  <c r="W102" i="18"/>
  <c r="X102" i="18"/>
  <c r="AH102" i="18" s="1"/>
  <c r="AS102" i="18" s="1"/>
  <c r="Y102" i="18"/>
  <c r="Z102" i="18"/>
  <c r="AA102" i="18"/>
  <c r="AB102" i="18"/>
  <c r="AC102" i="18"/>
  <c r="AD102" i="18"/>
  <c r="AE102" i="18"/>
  <c r="AF102" i="18"/>
  <c r="AG102" i="18"/>
  <c r="A103" i="18"/>
  <c r="S103" i="18"/>
  <c r="V103" i="18"/>
  <c r="W103" i="18"/>
  <c r="AH103" i="18" s="1"/>
  <c r="AS103" i="18" s="1"/>
  <c r="X103" i="18"/>
  <c r="Y103" i="18"/>
  <c r="Z103" i="18"/>
  <c r="AA103" i="18"/>
  <c r="AB103" i="18"/>
  <c r="AC103" i="18"/>
  <c r="AD103" i="18"/>
  <c r="AE103" i="18"/>
  <c r="AF103" i="18"/>
  <c r="AG103" i="18"/>
  <c r="A104" i="18"/>
  <c r="S104" i="18"/>
  <c r="V104" i="18"/>
  <c r="W104" i="18"/>
  <c r="X104" i="18"/>
  <c r="Y104" i="18"/>
  <c r="Z104" i="18"/>
  <c r="AA104" i="18"/>
  <c r="AB104" i="18"/>
  <c r="AC104" i="18"/>
  <c r="AD104" i="18"/>
  <c r="AE104" i="18"/>
  <c r="AF104" i="18"/>
  <c r="AG104" i="18"/>
  <c r="AH104" i="18"/>
  <c r="A105" i="18"/>
  <c r="S105" i="18"/>
  <c r="V105" i="18"/>
  <c r="W105" i="18"/>
  <c r="X105" i="18"/>
  <c r="Y105" i="18"/>
  <c r="Z105" i="18"/>
  <c r="AA105" i="18"/>
  <c r="AB105" i="18"/>
  <c r="AC105" i="18"/>
  <c r="AD105" i="18"/>
  <c r="AE105" i="18"/>
  <c r="AF105" i="18"/>
  <c r="AG105" i="18"/>
  <c r="AH105" i="18"/>
  <c r="AS105" i="18" s="1"/>
  <c r="A106" i="18"/>
  <c r="S106" i="18"/>
  <c r="V106" i="18"/>
  <c r="W106" i="18"/>
  <c r="X106" i="18"/>
  <c r="Y106" i="18"/>
  <c r="Z106" i="18"/>
  <c r="AA106" i="18"/>
  <c r="AB106" i="18"/>
  <c r="AC106" i="18"/>
  <c r="AD106" i="18"/>
  <c r="AE106" i="18"/>
  <c r="AF106" i="18"/>
  <c r="AG106" i="18"/>
  <c r="A107" i="18"/>
  <c r="S107" i="18"/>
  <c r="V107" i="18"/>
  <c r="W107" i="18"/>
  <c r="X107" i="18"/>
  <c r="Y107" i="18"/>
  <c r="Z107" i="18"/>
  <c r="AA107" i="18"/>
  <c r="AB107" i="18"/>
  <c r="AC107" i="18"/>
  <c r="AD107" i="18"/>
  <c r="AE107" i="18"/>
  <c r="AF107" i="18"/>
  <c r="AG107" i="18"/>
  <c r="AH107" i="18"/>
  <c r="AS107" i="18" s="1"/>
  <c r="A108" i="18"/>
  <c r="S108" i="18"/>
  <c r="V108" i="18"/>
  <c r="W108" i="18"/>
  <c r="X108" i="18"/>
  <c r="Y108" i="18"/>
  <c r="Z108" i="18"/>
  <c r="AA108" i="18"/>
  <c r="AB108" i="18"/>
  <c r="AC108" i="18"/>
  <c r="AD108" i="18"/>
  <c r="AE108" i="18"/>
  <c r="AF108" i="18"/>
  <c r="AG108" i="18"/>
  <c r="A109" i="18"/>
  <c r="S109" i="18"/>
  <c r="V109" i="18"/>
  <c r="W109" i="18"/>
  <c r="X109" i="18"/>
  <c r="Y109" i="18"/>
  <c r="Z109" i="18"/>
  <c r="AA109" i="18"/>
  <c r="AB109" i="18"/>
  <c r="AC109" i="18"/>
  <c r="AD109" i="18"/>
  <c r="AE109" i="18"/>
  <c r="AF109" i="18"/>
  <c r="AG109" i="18"/>
  <c r="A110" i="18"/>
  <c r="S110" i="18"/>
  <c r="V110" i="18"/>
  <c r="W110" i="18"/>
  <c r="X110" i="18"/>
  <c r="AH110" i="18" s="1"/>
  <c r="AS110" i="18" s="1"/>
  <c r="Y110" i="18"/>
  <c r="Z110" i="18"/>
  <c r="AA110" i="18"/>
  <c r="AB110" i="18"/>
  <c r="AC110" i="18"/>
  <c r="AD110" i="18"/>
  <c r="AE110" i="18"/>
  <c r="AF110" i="18"/>
  <c r="AG110" i="18"/>
  <c r="A111" i="18"/>
  <c r="S111" i="18"/>
  <c r="V111" i="18"/>
  <c r="W111" i="18"/>
  <c r="X111" i="18"/>
  <c r="Y111" i="18"/>
  <c r="Z111" i="18"/>
  <c r="AA111" i="18"/>
  <c r="AB111" i="18"/>
  <c r="AC111" i="18"/>
  <c r="AD111" i="18"/>
  <c r="AE111" i="18"/>
  <c r="AF111" i="18"/>
  <c r="AG111" i="18"/>
  <c r="A112" i="18"/>
  <c r="S112" i="18"/>
  <c r="V112" i="18"/>
  <c r="W112" i="18"/>
  <c r="X112" i="18"/>
  <c r="Y112" i="18"/>
  <c r="Z112" i="18"/>
  <c r="AA112" i="18"/>
  <c r="AB112" i="18"/>
  <c r="AC112" i="18"/>
  <c r="AD112" i="18"/>
  <c r="AE112" i="18"/>
  <c r="AF112" i="18"/>
  <c r="AG112" i="18"/>
  <c r="AH112" i="18"/>
  <c r="AS112" i="18"/>
  <c r="A113" i="18"/>
  <c r="S113" i="18"/>
  <c r="V113" i="18"/>
  <c r="W113" i="18"/>
  <c r="X113" i="18"/>
  <c r="Y113" i="18"/>
  <c r="Z113" i="18"/>
  <c r="AA113" i="18"/>
  <c r="AB113" i="18"/>
  <c r="AC113" i="18"/>
  <c r="AD113" i="18"/>
  <c r="AE113" i="18"/>
  <c r="AF113" i="18"/>
  <c r="AG113" i="18"/>
  <c r="AH113" i="18"/>
  <c r="A114" i="18"/>
  <c r="S114" i="18"/>
  <c r="V114" i="18"/>
  <c r="W114" i="18"/>
  <c r="X114" i="18"/>
  <c r="AH114" i="18" s="1"/>
  <c r="Y114" i="18"/>
  <c r="Z114" i="18"/>
  <c r="AA114" i="18"/>
  <c r="AB114" i="18"/>
  <c r="AC114" i="18"/>
  <c r="AD114" i="18"/>
  <c r="AE114" i="18"/>
  <c r="AF114" i="18"/>
  <c r="AG114" i="18"/>
  <c r="A115" i="18"/>
  <c r="S115" i="18"/>
  <c r="V115" i="18"/>
  <c r="W115" i="18"/>
  <c r="X115" i="18"/>
  <c r="AH115" i="18" s="1"/>
  <c r="Y115" i="18"/>
  <c r="Z115" i="18"/>
  <c r="AA115" i="18"/>
  <c r="AB115" i="18"/>
  <c r="AC115" i="18"/>
  <c r="AD115" i="18"/>
  <c r="AE115" i="18"/>
  <c r="AF115" i="18"/>
  <c r="AG115" i="18"/>
  <c r="A116" i="18"/>
  <c r="S116" i="18"/>
  <c r="V116" i="18"/>
  <c r="W116" i="18"/>
  <c r="X116" i="18"/>
  <c r="AH116" i="18" s="1"/>
  <c r="Y116" i="18"/>
  <c r="Z116" i="18"/>
  <c r="AA116" i="18"/>
  <c r="AB116" i="18"/>
  <c r="AC116" i="18"/>
  <c r="AD116" i="18"/>
  <c r="AE116" i="18"/>
  <c r="AF116" i="18"/>
  <c r="AG116" i="18"/>
  <c r="A117" i="18"/>
  <c r="S117" i="18"/>
  <c r="V117" i="18"/>
  <c r="W117" i="18"/>
  <c r="X117" i="18"/>
  <c r="AH117" i="18" s="1"/>
  <c r="Y117" i="18"/>
  <c r="Z117" i="18"/>
  <c r="AA117" i="18"/>
  <c r="AB117" i="18"/>
  <c r="AC117" i="18"/>
  <c r="AD117" i="18"/>
  <c r="AE117" i="18"/>
  <c r="AF117" i="18"/>
  <c r="AG117" i="18"/>
  <c r="A118" i="18"/>
  <c r="S118" i="18"/>
  <c r="V118" i="18"/>
  <c r="W118" i="18"/>
  <c r="X118" i="18"/>
  <c r="AH118" i="18" s="1"/>
  <c r="Y118" i="18"/>
  <c r="Z118" i="18"/>
  <c r="AA118" i="18"/>
  <c r="AB118" i="18"/>
  <c r="AC118" i="18"/>
  <c r="AD118" i="18"/>
  <c r="AE118" i="18"/>
  <c r="AF118" i="18"/>
  <c r="AG118" i="18"/>
  <c r="A119" i="18"/>
  <c r="S119" i="18"/>
  <c r="V119" i="18"/>
  <c r="W119" i="18"/>
  <c r="X119" i="18"/>
  <c r="AH119" i="18" s="1"/>
  <c r="Y119" i="18"/>
  <c r="Z119" i="18"/>
  <c r="AA119" i="18"/>
  <c r="AB119" i="18"/>
  <c r="AC119" i="18"/>
  <c r="AD119" i="18"/>
  <c r="AE119" i="18"/>
  <c r="AF119" i="18"/>
  <c r="AG119" i="18"/>
  <c r="A120" i="18"/>
  <c r="S120" i="18"/>
  <c r="V120" i="18"/>
  <c r="W120" i="18"/>
  <c r="X120" i="18"/>
  <c r="Y120" i="18"/>
  <c r="Z120" i="18"/>
  <c r="AA120" i="18"/>
  <c r="AB120" i="18"/>
  <c r="AC120" i="18"/>
  <c r="AD120" i="18"/>
  <c r="AE120" i="18"/>
  <c r="AF120" i="18"/>
  <c r="AG120" i="18"/>
  <c r="A121" i="18"/>
  <c r="S121" i="18"/>
  <c r="V121" i="18"/>
  <c r="W121" i="18"/>
  <c r="X121" i="18"/>
  <c r="Y121" i="18"/>
  <c r="Z121" i="18"/>
  <c r="AA121" i="18"/>
  <c r="AB121" i="18"/>
  <c r="AC121" i="18"/>
  <c r="AD121" i="18"/>
  <c r="AE121" i="18"/>
  <c r="AF121" i="18"/>
  <c r="AG121" i="18"/>
  <c r="A122" i="18"/>
  <c r="S122" i="18"/>
  <c r="V122" i="18"/>
  <c r="W122" i="18"/>
  <c r="AH122" i="18" s="1"/>
  <c r="X122" i="18"/>
  <c r="Y122" i="18"/>
  <c r="Z122" i="18"/>
  <c r="AA122" i="18"/>
  <c r="AB122" i="18"/>
  <c r="AC122" i="18"/>
  <c r="AD122" i="18"/>
  <c r="AE122" i="18"/>
  <c r="AF122" i="18"/>
  <c r="AG122" i="18"/>
  <c r="A123" i="18"/>
  <c r="S123" i="18"/>
  <c r="V123" i="18"/>
  <c r="W123" i="18"/>
  <c r="X123" i="18"/>
  <c r="AH123" i="18" s="1"/>
  <c r="Y123" i="18"/>
  <c r="Z123" i="18"/>
  <c r="AA123" i="18"/>
  <c r="AB123" i="18"/>
  <c r="AC123" i="18"/>
  <c r="AD123" i="18"/>
  <c r="AE123" i="18"/>
  <c r="AF123" i="18"/>
  <c r="AG123" i="18"/>
  <c r="A124" i="18"/>
  <c r="S124" i="18"/>
  <c r="V124" i="18"/>
  <c r="W124" i="18"/>
  <c r="X124" i="18"/>
  <c r="AH124" i="18" s="1"/>
  <c r="Y124" i="18"/>
  <c r="Z124" i="18"/>
  <c r="AA124" i="18"/>
  <c r="AB124" i="18"/>
  <c r="AC124" i="18"/>
  <c r="AD124" i="18"/>
  <c r="AE124" i="18"/>
  <c r="AF124" i="18"/>
  <c r="AG124" i="18"/>
  <c r="A125" i="18"/>
  <c r="S125" i="18"/>
  <c r="V125" i="18"/>
  <c r="W125" i="18"/>
  <c r="AH125" i="18" s="1"/>
  <c r="X125" i="18"/>
  <c r="Y125" i="18"/>
  <c r="Z125" i="18"/>
  <c r="AA125" i="18"/>
  <c r="AB125" i="18"/>
  <c r="AC125" i="18"/>
  <c r="AD125" i="18"/>
  <c r="AE125" i="18"/>
  <c r="AF125" i="18"/>
  <c r="AG125" i="18"/>
  <c r="A126" i="18"/>
  <c r="S126" i="18"/>
  <c r="V126" i="18"/>
  <c r="W126" i="18"/>
  <c r="X126" i="18"/>
  <c r="Y126" i="18"/>
  <c r="Z126" i="18"/>
  <c r="AA126" i="18"/>
  <c r="AB126" i="18"/>
  <c r="AC126" i="18"/>
  <c r="AD126" i="18"/>
  <c r="AE126" i="18"/>
  <c r="AF126" i="18"/>
  <c r="AG126" i="18"/>
  <c r="A127" i="18"/>
  <c r="S127" i="18"/>
  <c r="V127" i="18"/>
  <c r="W127" i="18"/>
  <c r="AH127" i="18" s="1"/>
  <c r="X127" i="18"/>
  <c r="Y127" i="18"/>
  <c r="Z127" i="18"/>
  <c r="AA127" i="18"/>
  <c r="AB127" i="18"/>
  <c r="AC127" i="18"/>
  <c r="AD127" i="18"/>
  <c r="AE127" i="18"/>
  <c r="AF127" i="18"/>
  <c r="AG127" i="18"/>
  <c r="A128" i="18"/>
  <c r="S128" i="18"/>
  <c r="V128" i="18"/>
  <c r="W128" i="18"/>
  <c r="X128" i="18"/>
  <c r="Y128" i="18"/>
  <c r="Z128" i="18"/>
  <c r="AA128" i="18"/>
  <c r="AB128" i="18"/>
  <c r="AC128" i="18"/>
  <c r="AH128" i="18" s="1"/>
  <c r="AD128" i="18"/>
  <c r="AE128" i="18"/>
  <c r="AF128" i="18"/>
  <c r="AG128" i="18"/>
  <c r="A129" i="18"/>
  <c r="S129" i="18"/>
  <c r="V129" i="18"/>
  <c r="W129" i="18"/>
  <c r="AH129" i="18" s="1"/>
  <c r="X129" i="18"/>
  <c r="Y129" i="18"/>
  <c r="Z129" i="18"/>
  <c r="AA129" i="18"/>
  <c r="AB129" i="18"/>
  <c r="AC129" i="18"/>
  <c r="AD129" i="18"/>
  <c r="AE129" i="18"/>
  <c r="AF129" i="18"/>
  <c r="AG129" i="18"/>
  <c r="A130" i="18"/>
  <c r="S130" i="18"/>
  <c r="V130" i="18"/>
  <c r="W130" i="18"/>
  <c r="X130" i="18"/>
  <c r="AH130" i="18" s="1"/>
  <c r="Y130" i="18"/>
  <c r="Z130" i="18"/>
  <c r="AA130" i="18"/>
  <c r="AB130" i="18"/>
  <c r="AC130" i="18"/>
  <c r="AD130" i="18"/>
  <c r="AE130" i="18"/>
  <c r="AF130" i="18"/>
  <c r="AG130" i="18"/>
  <c r="A131" i="18"/>
  <c r="S131" i="18"/>
  <c r="V131" i="18"/>
  <c r="W131" i="18"/>
  <c r="X131" i="18"/>
  <c r="Y131" i="18"/>
  <c r="Z131" i="18"/>
  <c r="AA131" i="18"/>
  <c r="AB131" i="18"/>
  <c r="AC131" i="18"/>
  <c r="AD131" i="18"/>
  <c r="AE131" i="18"/>
  <c r="AF131" i="18"/>
  <c r="AG131" i="18"/>
  <c r="AH131" i="18"/>
  <c r="A132" i="18"/>
  <c r="S132" i="18"/>
  <c r="V132" i="18"/>
  <c r="W132" i="18"/>
  <c r="X132" i="18"/>
  <c r="AH132" i="18" s="1"/>
  <c r="Y132" i="18"/>
  <c r="Z132" i="18"/>
  <c r="AA132" i="18"/>
  <c r="AB132" i="18"/>
  <c r="AC132" i="18"/>
  <c r="AD132" i="18"/>
  <c r="AE132" i="18"/>
  <c r="AF132" i="18"/>
  <c r="AG132" i="18"/>
  <c r="A133" i="18"/>
  <c r="S133" i="18"/>
  <c r="V133" i="18"/>
  <c r="W133" i="18"/>
  <c r="X133" i="18"/>
  <c r="Y133" i="18"/>
  <c r="AH133" i="18" s="1"/>
  <c r="Z133" i="18"/>
  <c r="AA133" i="18"/>
  <c r="AB133" i="18"/>
  <c r="AC133" i="18"/>
  <c r="AD133" i="18"/>
  <c r="AE133" i="18"/>
  <c r="AF133" i="18"/>
  <c r="AG133" i="18"/>
  <c r="A134" i="18"/>
  <c r="S134" i="18"/>
  <c r="V134" i="18"/>
  <c r="W134" i="18"/>
  <c r="AH134" i="18" s="1"/>
  <c r="X134" i="18"/>
  <c r="Y134" i="18"/>
  <c r="Z134" i="18"/>
  <c r="AA134" i="18"/>
  <c r="AB134" i="18"/>
  <c r="AC134" i="18"/>
  <c r="AD134" i="18"/>
  <c r="AE134" i="18"/>
  <c r="AF134" i="18"/>
  <c r="AG134" i="18"/>
  <c r="A135" i="18"/>
  <c r="S135" i="18"/>
  <c r="V135" i="18"/>
  <c r="W135" i="18"/>
  <c r="AH135" i="18" s="1"/>
  <c r="X135" i="18"/>
  <c r="Y135" i="18"/>
  <c r="Z135" i="18"/>
  <c r="AA135" i="18"/>
  <c r="AB135" i="18"/>
  <c r="AC135" i="18"/>
  <c r="AD135" i="18"/>
  <c r="AE135" i="18"/>
  <c r="AF135" i="18"/>
  <c r="AG135" i="18"/>
  <c r="A136" i="18"/>
  <c r="S136" i="18"/>
  <c r="V136" i="18"/>
  <c r="W136" i="18"/>
  <c r="X136" i="18"/>
  <c r="AH136" i="18" s="1"/>
  <c r="Y136" i="18"/>
  <c r="Z136" i="18"/>
  <c r="AA136" i="18"/>
  <c r="AB136" i="18"/>
  <c r="AC136" i="18"/>
  <c r="AD136" i="18"/>
  <c r="AE136" i="18"/>
  <c r="AF136" i="18"/>
  <c r="AG136" i="18"/>
  <c r="A137" i="18"/>
  <c r="S137" i="18"/>
  <c r="V137" i="18"/>
  <c r="W137" i="18"/>
  <c r="X137" i="18"/>
  <c r="Y137" i="18"/>
  <c r="AH137" i="18" s="1"/>
  <c r="Z137" i="18"/>
  <c r="AA137" i="18"/>
  <c r="AB137" i="18"/>
  <c r="AC137" i="18"/>
  <c r="AD137" i="18"/>
  <c r="AE137" i="18"/>
  <c r="AF137" i="18"/>
  <c r="AG137" i="18"/>
  <c r="A138" i="18"/>
  <c r="D138" i="18"/>
  <c r="S138" i="18"/>
  <c r="V138" i="18"/>
  <c r="W138" i="18"/>
  <c r="X138" i="18"/>
  <c r="Y138" i="18"/>
  <c r="Z138" i="18"/>
  <c r="AA138" i="18"/>
  <c r="AB138" i="18"/>
  <c r="AC138" i="18"/>
  <c r="AD138" i="18"/>
  <c r="AE138" i="18"/>
  <c r="AF138" i="18"/>
  <c r="AG138" i="18"/>
  <c r="AH138" i="18"/>
  <c r="A139" i="18"/>
  <c r="S139" i="18"/>
  <c r="V139" i="18"/>
  <c r="W139" i="18"/>
  <c r="X139" i="18"/>
  <c r="AH139" i="18" s="1"/>
  <c r="Y139" i="18"/>
  <c r="Y155" i="18" s="1"/>
  <c r="Z139" i="18"/>
  <c r="AA139" i="18"/>
  <c r="AB139" i="18"/>
  <c r="AB155" i="18" s="1"/>
  <c r="AC139" i="18"/>
  <c r="AC155" i="18" s="1"/>
  <c r="AD139" i="18"/>
  <c r="AE139" i="18"/>
  <c r="AF139" i="18"/>
  <c r="AF155" i="18" s="1"/>
  <c r="AG139" i="18"/>
  <c r="AG155" i="18" s="1"/>
  <c r="A140" i="18"/>
  <c r="S140" i="18"/>
  <c r="V140" i="18"/>
  <c r="W140" i="18"/>
  <c r="X140" i="18"/>
  <c r="Y140" i="18"/>
  <c r="AH140" i="18" s="1"/>
  <c r="Z140" i="18"/>
  <c r="AA140" i="18"/>
  <c r="AB140" i="18"/>
  <c r="AC140" i="18"/>
  <c r="AD140" i="18"/>
  <c r="AE140" i="18"/>
  <c r="AF140" i="18"/>
  <c r="AG140" i="18"/>
  <c r="A141" i="18"/>
  <c r="S141" i="18"/>
  <c r="V141" i="18"/>
  <c r="W141" i="18"/>
  <c r="X141" i="18"/>
  <c r="Y141" i="18"/>
  <c r="Z141" i="18"/>
  <c r="AA141" i="18"/>
  <c r="AB141" i="18"/>
  <c r="AC141" i="18"/>
  <c r="AD141" i="18"/>
  <c r="AE141" i="18"/>
  <c r="AF141" i="18"/>
  <c r="AG141" i="18"/>
  <c r="AH141" i="18"/>
  <c r="A142" i="18"/>
  <c r="S142" i="18"/>
  <c r="V142" i="18"/>
  <c r="W142" i="18"/>
  <c r="AH142" i="18" s="1"/>
  <c r="X142" i="18"/>
  <c r="Y142" i="18"/>
  <c r="Z142" i="18"/>
  <c r="AA142" i="18"/>
  <c r="AB142" i="18"/>
  <c r="AC142" i="18"/>
  <c r="AD142" i="18"/>
  <c r="AE142" i="18"/>
  <c r="AF142" i="18"/>
  <c r="AG142" i="18"/>
  <c r="A143" i="18"/>
  <c r="S143" i="18"/>
  <c r="V143" i="18"/>
  <c r="W143" i="18"/>
  <c r="X143" i="18"/>
  <c r="AH143" i="18" s="1"/>
  <c r="Y143" i="18"/>
  <c r="Z143" i="18"/>
  <c r="AA143" i="18"/>
  <c r="AB143" i="18"/>
  <c r="AC143" i="18"/>
  <c r="AD143" i="18"/>
  <c r="AE143" i="18"/>
  <c r="AF143" i="18"/>
  <c r="AG143" i="18"/>
  <c r="A144" i="18"/>
  <c r="S144" i="18"/>
  <c r="V144" i="18"/>
  <c r="W144" i="18"/>
  <c r="X144" i="18"/>
  <c r="Y144" i="18"/>
  <c r="Z144" i="18"/>
  <c r="AA144" i="18"/>
  <c r="AB144" i="18"/>
  <c r="AC144" i="18"/>
  <c r="AD144" i="18"/>
  <c r="AE144" i="18"/>
  <c r="AF144" i="18"/>
  <c r="AG144" i="18"/>
  <c r="AH144" i="18"/>
  <c r="A145" i="18"/>
  <c r="S145" i="18"/>
  <c r="V145" i="18"/>
  <c r="W145" i="18"/>
  <c r="X145" i="18"/>
  <c r="AH145" i="18" s="1"/>
  <c r="Y145" i="18"/>
  <c r="Z145" i="18"/>
  <c r="AA145" i="18"/>
  <c r="AB145" i="18"/>
  <c r="AC145" i="18"/>
  <c r="AD145" i="18"/>
  <c r="AE145" i="18"/>
  <c r="AF145" i="18"/>
  <c r="AG145" i="18"/>
  <c r="A146" i="18"/>
  <c r="S146" i="18"/>
  <c r="V146" i="18"/>
  <c r="W146" i="18"/>
  <c r="X146" i="18"/>
  <c r="Y146" i="18"/>
  <c r="Z146" i="18"/>
  <c r="AA146" i="18"/>
  <c r="AB146" i="18"/>
  <c r="AC146" i="18"/>
  <c r="AD146" i="18"/>
  <c r="AE146" i="18"/>
  <c r="AF146" i="18"/>
  <c r="AG146" i="18"/>
  <c r="AH146" i="18"/>
  <c r="A147" i="18"/>
  <c r="S147" i="18"/>
  <c r="V147" i="18"/>
  <c r="W147" i="18"/>
  <c r="X147" i="18"/>
  <c r="AH147" i="18" s="1"/>
  <c r="Y147" i="18"/>
  <c r="Z147" i="18"/>
  <c r="AA147" i="18"/>
  <c r="AB147" i="18"/>
  <c r="AC147" i="18"/>
  <c r="AD147" i="18"/>
  <c r="AE147" i="18"/>
  <c r="AF147" i="18"/>
  <c r="AG147" i="18"/>
  <c r="A148" i="18"/>
  <c r="S148" i="18"/>
  <c r="V148" i="18"/>
  <c r="W148" i="18"/>
  <c r="X148" i="18"/>
  <c r="Y148" i="18"/>
  <c r="Z148" i="18"/>
  <c r="AA148" i="18"/>
  <c r="AB148" i="18"/>
  <c r="AC148" i="18"/>
  <c r="AD148" i="18"/>
  <c r="AE148" i="18"/>
  <c r="AF148" i="18"/>
  <c r="AG148" i="18"/>
  <c r="AH148" i="18"/>
  <c r="A149" i="18"/>
  <c r="S149" i="18"/>
  <c r="V149" i="18"/>
  <c r="W149" i="18"/>
  <c r="X149" i="18"/>
  <c r="AH149" i="18" s="1"/>
  <c r="Y149" i="18"/>
  <c r="Z149" i="18"/>
  <c r="AA149" i="18"/>
  <c r="AB149" i="18"/>
  <c r="AC149" i="18"/>
  <c r="AD149" i="18"/>
  <c r="AE149" i="18"/>
  <c r="AF149" i="18"/>
  <c r="AG149" i="18"/>
  <c r="A150" i="18"/>
  <c r="S150" i="18"/>
  <c r="V150" i="18"/>
  <c r="W150" i="18"/>
  <c r="X150" i="18"/>
  <c r="Y150" i="18"/>
  <c r="Z150" i="18"/>
  <c r="AA150" i="18"/>
  <c r="AB150" i="18"/>
  <c r="AC150" i="18"/>
  <c r="AD150" i="18"/>
  <c r="AE150" i="18"/>
  <c r="AF150" i="18"/>
  <c r="AG150" i="18"/>
  <c r="AH150" i="18"/>
  <c r="A151" i="18"/>
  <c r="S151" i="18"/>
  <c r="V151" i="18"/>
  <c r="W151" i="18"/>
  <c r="X151" i="18"/>
  <c r="AH151" i="18" s="1"/>
  <c r="Y151" i="18"/>
  <c r="Z151" i="18"/>
  <c r="AA151" i="18"/>
  <c r="AB151" i="18"/>
  <c r="AC151" i="18"/>
  <c r="AD151" i="18"/>
  <c r="AE151" i="18"/>
  <c r="AF151" i="18"/>
  <c r="AG151" i="18"/>
  <c r="A152" i="18"/>
  <c r="S152" i="18"/>
  <c r="V152" i="18"/>
  <c r="W152" i="18"/>
  <c r="X152" i="18"/>
  <c r="Y152" i="18"/>
  <c r="Z152" i="18"/>
  <c r="AA152" i="18"/>
  <c r="AB152" i="18"/>
  <c r="AC152" i="18"/>
  <c r="AD152" i="18"/>
  <c r="AE152" i="18"/>
  <c r="AF152" i="18"/>
  <c r="AG152" i="18"/>
  <c r="AH152" i="18"/>
  <c r="A153" i="18"/>
  <c r="S153" i="18"/>
  <c r="V153" i="18"/>
  <c r="W153" i="18"/>
  <c r="X153" i="18"/>
  <c r="AH153" i="18" s="1"/>
  <c r="Y153" i="18"/>
  <c r="Z153" i="18"/>
  <c r="AA153" i="18"/>
  <c r="AB153" i="18"/>
  <c r="AC153" i="18"/>
  <c r="AD153" i="18"/>
  <c r="AE153" i="18"/>
  <c r="AF153" i="18"/>
  <c r="AG153" i="18"/>
  <c r="AH154" i="18"/>
  <c r="G155" i="18"/>
  <c r="H155" i="18"/>
  <c r="S155" i="18" s="1"/>
  <c r="I155" i="18"/>
  <c r="J155" i="18"/>
  <c r="K155" i="18"/>
  <c r="L155" i="18"/>
  <c r="M155" i="18"/>
  <c r="N155" i="18"/>
  <c r="O155" i="18"/>
  <c r="P155" i="18"/>
  <c r="Q155" i="18"/>
  <c r="R155" i="18"/>
  <c r="V155" i="18"/>
  <c r="W155" i="18"/>
  <c r="Z155" i="18"/>
  <c r="AA155" i="18"/>
  <c r="AD155" i="18"/>
  <c r="AE155" i="18"/>
  <c r="AQ155" i="18"/>
  <c r="AQ157" i="18" s="1"/>
  <c r="A160" i="18"/>
  <c r="S160" i="18"/>
  <c r="V160" i="18"/>
  <c r="W160" i="18"/>
  <c r="AH160" i="18" s="1"/>
  <c r="X160" i="18"/>
  <c r="Y160" i="18"/>
  <c r="Z160" i="18"/>
  <c r="AA160" i="18"/>
  <c r="AB160" i="18"/>
  <c r="AC160" i="18"/>
  <c r="AD160" i="18"/>
  <c r="AE160" i="18"/>
  <c r="AF160" i="18"/>
  <c r="AG160" i="18"/>
  <c r="AT160" i="18"/>
  <c r="A161" i="18"/>
  <c r="S161" i="18"/>
  <c r="V161" i="18"/>
  <c r="W161" i="18"/>
  <c r="X161" i="18"/>
  <c r="Y161" i="18"/>
  <c r="Y177" i="18" s="1"/>
  <c r="Z161" i="18"/>
  <c r="AA161" i="18"/>
  <c r="AB161" i="18"/>
  <c r="AC161" i="18"/>
  <c r="AC177" i="18" s="1"/>
  <c r="AD161" i="18"/>
  <c r="AE161" i="18"/>
  <c r="AF161" i="18"/>
  <c r="AG161" i="18"/>
  <c r="AG177" i="18" s="1"/>
  <c r="AT161" i="18"/>
  <c r="A162" i="18"/>
  <c r="S162" i="18"/>
  <c r="V162" i="18"/>
  <c r="W162" i="18"/>
  <c r="X162" i="18"/>
  <c r="Y162" i="18"/>
  <c r="Z162" i="18"/>
  <c r="AA162" i="18"/>
  <c r="AB162" i="18"/>
  <c r="AC162" i="18"/>
  <c r="AD162" i="18"/>
  <c r="AE162" i="18"/>
  <c r="AF162" i="18"/>
  <c r="AG162" i="18"/>
  <c r="AT162" i="18"/>
  <c r="AU162" i="18" s="1"/>
  <c r="AV162" i="18" s="1"/>
  <c r="A163" i="18"/>
  <c r="S163" i="18"/>
  <c r="V163" i="18"/>
  <c r="W163" i="18"/>
  <c r="X163" i="18"/>
  <c r="Y163" i="18"/>
  <c r="Z163" i="18"/>
  <c r="AA163" i="18"/>
  <c r="AB163" i="18"/>
  <c r="AC163" i="18"/>
  <c r="AD163" i="18"/>
  <c r="AE163" i="18"/>
  <c r="AF163" i="18"/>
  <c r="AG163" i="18"/>
  <c r="AT163" i="18"/>
  <c r="A164" i="18"/>
  <c r="S164" i="18"/>
  <c r="V164" i="18"/>
  <c r="W164" i="18"/>
  <c r="X164" i="18"/>
  <c r="Y164" i="18"/>
  <c r="Z164" i="18"/>
  <c r="AA164" i="18"/>
  <c r="AB164" i="18"/>
  <c r="AC164" i="18"/>
  <c r="AD164" i="18"/>
  <c r="AH164" i="18" s="1"/>
  <c r="AE164" i="18"/>
  <c r="AF164" i="18"/>
  <c r="AG164" i="18"/>
  <c r="AT164" i="18"/>
  <c r="A165" i="18"/>
  <c r="S165" i="18"/>
  <c r="V165" i="18"/>
  <c r="W165" i="18"/>
  <c r="X165" i="18"/>
  <c r="Y165" i="18"/>
  <c r="Z165" i="18"/>
  <c r="AA165" i="18"/>
  <c r="AB165" i="18"/>
  <c r="AC165" i="18"/>
  <c r="AD165" i="18"/>
  <c r="AE165" i="18"/>
  <c r="AF165" i="18"/>
  <c r="AG165" i="18"/>
  <c r="AT165" i="18"/>
  <c r="A166" i="18"/>
  <c r="S166" i="18"/>
  <c r="V166" i="18"/>
  <c r="W166" i="18"/>
  <c r="X166" i="18"/>
  <c r="Y166" i="18"/>
  <c r="AH166" i="18" s="1"/>
  <c r="Z166" i="18"/>
  <c r="AA166" i="18"/>
  <c r="AB166" i="18"/>
  <c r="AC166" i="18"/>
  <c r="AD166" i="18"/>
  <c r="AE166" i="18"/>
  <c r="AF166" i="18"/>
  <c r="AG166" i="18"/>
  <c r="AT166" i="18"/>
  <c r="A167" i="18"/>
  <c r="S167" i="18"/>
  <c r="V167" i="18"/>
  <c r="W167" i="18"/>
  <c r="X167" i="18"/>
  <c r="Y167" i="18"/>
  <c r="Z167" i="18"/>
  <c r="AA167" i="18"/>
  <c r="AB167" i="18"/>
  <c r="AC167" i="18"/>
  <c r="AD167" i="18"/>
  <c r="AE167" i="18"/>
  <c r="AF167" i="18"/>
  <c r="AG167" i="18"/>
  <c r="AT167" i="18"/>
  <c r="A168" i="18"/>
  <c r="S168" i="18"/>
  <c r="V168" i="18"/>
  <c r="W168" i="18"/>
  <c r="X168" i="18"/>
  <c r="Y168" i="18"/>
  <c r="AH168" i="18" s="1"/>
  <c r="Z168" i="18"/>
  <c r="AA168" i="18"/>
  <c r="AB168" i="18"/>
  <c r="AC168" i="18"/>
  <c r="AD168" i="18"/>
  <c r="AE168" i="18"/>
  <c r="AF168" i="18"/>
  <c r="AG168" i="18"/>
  <c r="AT168" i="18"/>
  <c r="A169" i="18"/>
  <c r="S169" i="18"/>
  <c r="V169" i="18"/>
  <c r="W169" i="18"/>
  <c r="AH169" i="18" s="1"/>
  <c r="X169" i="18"/>
  <c r="Y169" i="18"/>
  <c r="Z169" i="18"/>
  <c r="AA169" i="18"/>
  <c r="AB169" i="18"/>
  <c r="AC169" i="18"/>
  <c r="AD169" i="18"/>
  <c r="AE169" i="18"/>
  <c r="AF169" i="18"/>
  <c r="AG169" i="18"/>
  <c r="AT169" i="18"/>
  <c r="A170" i="18"/>
  <c r="S170" i="18"/>
  <c r="V170" i="18"/>
  <c r="W170" i="18"/>
  <c r="X170" i="18"/>
  <c r="Y170" i="18"/>
  <c r="Z170" i="18"/>
  <c r="AA170" i="18"/>
  <c r="AB170" i="18"/>
  <c r="AC170" i="18"/>
  <c r="AD170" i="18"/>
  <c r="AE170" i="18"/>
  <c r="AF170" i="18"/>
  <c r="AG170" i="18"/>
  <c r="AH170" i="18"/>
  <c r="AT170" i="18"/>
  <c r="A171" i="18"/>
  <c r="S171" i="18"/>
  <c r="V171" i="18"/>
  <c r="W171" i="18"/>
  <c r="X171" i="18"/>
  <c r="Y171" i="18"/>
  <c r="Z171" i="18"/>
  <c r="AA171" i="18"/>
  <c r="AB171" i="18"/>
  <c r="AC171" i="18"/>
  <c r="AD171" i="18"/>
  <c r="AE171" i="18"/>
  <c r="AF171" i="18"/>
  <c r="AG171" i="18"/>
  <c r="AT171" i="18"/>
  <c r="A172" i="18"/>
  <c r="S172" i="18"/>
  <c r="V172" i="18"/>
  <c r="W172" i="18"/>
  <c r="X172" i="18"/>
  <c r="Y172" i="18"/>
  <c r="Z172" i="18"/>
  <c r="AA172" i="18"/>
  <c r="AB172" i="18"/>
  <c r="AC172" i="18"/>
  <c r="AD172" i="18"/>
  <c r="AE172" i="18"/>
  <c r="AF172" i="18"/>
  <c r="AG172" i="18"/>
  <c r="AT172" i="18"/>
  <c r="A173" i="18"/>
  <c r="S173" i="18"/>
  <c r="V173" i="18"/>
  <c r="W173" i="18"/>
  <c r="X173" i="18"/>
  <c r="Y173" i="18"/>
  <c r="Z173" i="18"/>
  <c r="AA173" i="18"/>
  <c r="AB173" i="18"/>
  <c r="AC173" i="18"/>
  <c r="AD173" i="18"/>
  <c r="AE173" i="18"/>
  <c r="AF173" i="18"/>
  <c r="AG173" i="18"/>
  <c r="AH173" i="18"/>
  <c r="AQ173" i="18" s="1"/>
  <c r="AT173" i="18"/>
  <c r="A174" i="18"/>
  <c r="S174" i="18"/>
  <c r="V174" i="18"/>
  <c r="W174" i="18"/>
  <c r="AH174" i="18" s="1"/>
  <c r="X174" i="18"/>
  <c r="Y174" i="18"/>
  <c r="Z174" i="18"/>
  <c r="AA174" i="18"/>
  <c r="AB174" i="18"/>
  <c r="AC174" i="18"/>
  <c r="AD174" i="18"/>
  <c r="AE174" i="18"/>
  <c r="AE177" i="18" s="1"/>
  <c r="AF174" i="18"/>
  <c r="AG174" i="18"/>
  <c r="AT174" i="18"/>
  <c r="A175" i="18"/>
  <c r="S175" i="18"/>
  <c r="V175" i="18"/>
  <c r="W175" i="18"/>
  <c r="X175" i="18"/>
  <c r="Y175" i="18"/>
  <c r="Z175" i="18"/>
  <c r="AA175" i="18"/>
  <c r="AB175" i="18"/>
  <c r="AC175" i="18"/>
  <c r="AD175" i="18"/>
  <c r="AE175" i="18"/>
  <c r="AF175" i="18"/>
  <c r="AG175" i="18"/>
  <c r="AT175" i="18"/>
  <c r="AT176" i="18"/>
  <c r="AU176" i="18" s="1"/>
  <c r="AV176" i="18" s="1"/>
  <c r="G177" i="18"/>
  <c r="H177" i="18"/>
  <c r="I177" i="18"/>
  <c r="I189" i="18" s="1"/>
  <c r="J177" i="18"/>
  <c r="J189" i="18" s="1"/>
  <c r="K177" i="18"/>
  <c r="L177" i="18"/>
  <c r="M177" i="18"/>
  <c r="N177" i="18"/>
  <c r="N189" i="18" s="1"/>
  <c r="O177" i="18"/>
  <c r="P177" i="18"/>
  <c r="Q177" i="18"/>
  <c r="Q189" i="18" s="1"/>
  <c r="R177" i="18"/>
  <c r="R189" i="18" s="1"/>
  <c r="X177" i="18"/>
  <c r="AA177" i="18"/>
  <c r="AB177" i="18"/>
  <c r="AF177" i="18"/>
  <c r="A180" i="18"/>
  <c r="S180" i="18"/>
  <c r="G182" i="18"/>
  <c r="G189" i="18" s="1"/>
  <c r="H182" i="18"/>
  <c r="S182" i="18" s="1"/>
  <c r="AU182" i="18" s="1"/>
  <c r="I182" i="18"/>
  <c r="J182" i="18"/>
  <c r="K182" i="18"/>
  <c r="K189" i="18" s="1"/>
  <c r="L182" i="18"/>
  <c r="M182" i="18"/>
  <c r="N182" i="18"/>
  <c r="O182" i="18"/>
  <c r="O189" i="18" s="1"/>
  <c r="P182" i="18"/>
  <c r="Q182" i="18"/>
  <c r="R182" i="18"/>
  <c r="AS182" i="18"/>
  <c r="AT182" i="18"/>
  <c r="H184" i="18"/>
  <c r="I184" i="18"/>
  <c r="A185" i="18"/>
  <c r="S185" i="18"/>
  <c r="G187" i="18"/>
  <c r="H187" i="18"/>
  <c r="I187" i="18"/>
  <c r="J187" i="18"/>
  <c r="K187" i="18"/>
  <c r="L187" i="18"/>
  <c r="L189" i="18" s="1"/>
  <c r="M187" i="18"/>
  <c r="N187" i="18"/>
  <c r="O187" i="18"/>
  <c r="P187" i="18"/>
  <c r="P189" i="18" s="1"/>
  <c r="Q187" i="18"/>
  <c r="R187" i="18"/>
  <c r="AT187" i="18"/>
  <c r="M189" i="18"/>
  <c r="AI65" i="18" l="1"/>
  <c r="AI73" i="18"/>
  <c r="AI81" i="18"/>
  <c r="AI67" i="18"/>
  <c r="AI66" i="18"/>
  <c r="AI74" i="18"/>
  <c r="AI82" i="18"/>
  <c r="AI75" i="18"/>
  <c r="AI83" i="18"/>
  <c r="E26" i="13"/>
  <c r="AI77" i="18"/>
  <c r="AI85" i="18"/>
  <c r="AI64" i="18"/>
  <c r="AI80" i="18"/>
  <c r="AI68" i="18"/>
  <c r="AI76" i="18"/>
  <c r="AI84" i="18"/>
  <c r="AI69" i="18"/>
  <c r="AI70" i="18"/>
  <c r="AI78" i="18"/>
  <c r="AI86" i="18"/>
  <c r="AI72" i="18"/>
  <c r="AI71" i="18"/>
  <c r="AI79" i="18"/>
  <c r="AI87" i="18"/>
  <c r="E23" i="13"/>
  <c r="G23" i="13" s="1"/>
  <c r="E19" i="13"/>
  <c r="G19" i="13" s="1"/>
  <c r="I19" i="13" s="1"/>
  <c r="AU169" i="18"/>
  <c r="AV169" i="18" s="1"/>
  <c r="AU170" i="18"/>
  <c r="AV170" i="18" s="1"/>
  <c r="G82" i="13"/>
  <c r="Q82" i="13" s="1"/>
  <c r="G50" i="13"/>
  <c r="I50" i="13" s="1"/>
  <c r="G58" i="13"/>
  <c r="Q58" i="13" s="1"/>
  <c r="G66" i="13"/>
  <c r="Q66" i="13" s="1"/>
  <c r="G77" i="13"/>
  <c r="I77" i="13" s="1"/>
  <c r="G71" i="13"/>
  <c r="Q71" i="13" s="1"/>
  <c r="G76" i="13"/>
  <c r="Q76" i="13" s="1"/>
  <c r="G74" i="13"/>
  <c r="I74" i="13" s="1"/>
  <c r="AQ158" i="18"/>
  <c r="G87" i="13"/>
  <c r="I87" i="13" s="1"/>
  <c r="G55" i="13"/>
  <c r="I55" i="13" s="1"/>
  <c r="G34" i="13"/>
  <c r="Q34" i="13" s="1"/>
  <c r="G52" i="13"/>
  <c r="I52" i="13" s="1"/>
  <c r="G54" i="13"/>
  <c r="I54" i="13" s="1"/>
  <c r="G48" i="13"/>
  <c r="I48" i="13" s="1"/>
  <c r="G86" i="13"/>
  <c r="I86" i="13" s="1"/>
  <c r="G53" i="13"/>
  <c r="G36" i="13"/>
  <c r="I36" i="13" s="1"/>
  <c r="G20" i="13"/>
  <c r="I20" i="13" s="1"/>
  <c r="G43" i="13"/>
  <c r="G47" i="13"/>
  <c r="G56" i="13"/>
  <c r="G61" i="13"/>
  <c r="G65" i="13"/>
  <c r="G70" i="13"/>
  <c r="G28" i="13"/>
  <c r="G32" i="13"/>
  <c r="G41" i="13"/>
  <c r="G45" i="13"/>
  <c r="G51" i="13"/>
  <c r="G59" i="13"/>
  <c r="G63" i="13"/>
  <c r="G68" i="13"/>
  <c r="G75" i="13"/>
  <c r="G62" i="13"/>
  <c r="G67" i="13"/>
  <c r="G72" i="13"/>
  <c r="G39" i="13"/>
  <c r="I39" i="13" s="1"/>
  <c r="G29" i="13"/>
  <c r="G33" i="13"/>
  <c r="G42" i="13"/>
  <c r="G46" i="13"/>
  <c r="G60" i="13"/>
  <c r="G64" i="13"/>
  <c r="G69" i="13"/>
  <c r="G78" i="13"/>
  <c r="G21" i="13"/>
  <c r="I21" i="13" s="1"/>
  <c r="G22" i="13"/>
  <c r="I22" i="13" s="1"/>
  <c r="G17" i="13"/>
  <c r="I17" i="13" s="1"/>
  <c r="G18" i="13"/>
  <c r="I18" i="13" s="1"/>
  <c r="Q22" i="13"/>
  <c r="Q19" i="13"/>
  <c r="Q20" i="13"/>
  <c r="Q21" i="13"/>
  <c r="Q17" i="13"/>
  <c r="Q18" i="13"/>
  <c r="G24" i="13"/>
  <c r="AI42" i="19"/>
  <c r="AI21" i="19"/>
  <c r="AL20" i="19" s="1"/>
  <c r="AQ11" i="19"/>
  <c r="AQ21" i="19" s="1"/>
  <c r="AQ64" i="19" s="1"/>
  <c r="AH44" i="19"/>
  <c r="AW54" i="19"/>
  <c r="AV42" i="19"/>
  <c r="AW42" i="19" s="1"/>
  <c r="AV38" i="19"/>
  <c r="AW38" i="19" s="1"/>
  <c r="AI35" i="19"/>
  <c r="AI32" i="19"/>
  <c r="J64" i="19"/>
  <c r="T64" i="19" s="1"/>
  <c r="AV54" i="19"/>
  <c r="AU40" i="19"/>
  <c r="AV40" i="19" s="1"/>
  <c r="AW40" i="19" s="1"/>
  <c r="AU33" i="19"/>
  <c r="AV33" i="19" s="1"/>
  <c r="AW33" i="19" s="1"/>
  <c r="AU29" i="19"/>
  <c r="AV29" i="19" s="1"/>
  <c r="AW29" i="19" s="1"/>
  <c r="AW44" i="19" s="1"/>
  <c r="AU26" i="19"/>
  <c r="AV26" i="19" s="1"/>
  <c r="AU184" i="18"/>
  <c r="AV182" i="18"/>
  <c r="AV184" i="18" s="1"/>
  <c r="AU174" i="18"/>
  <c r="AV174" i="18" s="1"/>
  <c r="AQ174" i="18"/>
  <c r="S187" i="18"/>
  <c r="AU187" i="18" s="1"/>
  <c r="AH167" i="18"/>
  <c r="AU167" i="18" s="1"/>
  <c r="AV167" i="18" s="1"/>
  <c r="H189" i="18"/>
  <c r="W177" i="18"/>
  <c r="AH175" i="18"/>
  <c r="AU175" i="18" s="1"/>
  <c r="AV175" i="18" s="1"/>
  <c r="AH172" i="18"/>
  <c r="AQ172" i="18" s="1"/>
  <c r="AH171" i="18"/>
  <c r="AU164" i="18"/>
  <c r="AV164" i="18" s="1"/>
  <c r="AH163" i="18"/>
  <c r="AU163" i="18" s="1"/>
  <c r="AV163" i="18" s="1"/>
  <c r="AU161" i="18"/>
  <c r="AD177" i="18"/>
  <c r="Z177" i="18"/>
  <c r="V177" i="18"/>
  <c r="AM155" i="18"/>
  <c r="AK154" i="18"/>
  <c r="AU168" i="18"/>
  <c r="AV168" i="18" s="1"/>
  <c r="AS134" i="18"/>
  <c r="S189" i="18"/>
  <c r="S177" i="18"/>
  <c r="AU173" i="18"/>
  <c r="AV173" i="18" s="1"/>
  <c r="AU166" i="18"/>
  <c r="AV166" i="18" s="1"/>
  <c r="AH165" i="18"/>
  <c r="AU165" i="18" s="1"/>
  <c r="AV165" i="18" s="1"/>
  <c r="AU160" i="18"/>
  <c r="AV160" i="18" s="1"/>
  <c r="AH126" i="18"/>
  <c r="AH108" i="18"/>
  <c r="AH155" i="18" s="1"/>
  <c r="AS90" i="18"/>
  <c r="AS86" i="18"/>
  <c r="AS84" i="18"/>
  <c r="AS82" i="18"/>
  <c r="AS80" i="18"/>
  <c r="AS78" i="18"/>
  <c r="AS76" i="18"/>
  <c r="X155" i="18"/>
  <c r="AS113" i="18"/>
  <c r="AH106" i="18"/>
  <c r="AS106" i="18" s="1"/>
  <c r="AS100" i="18"/>
  <c r="AH111" i="18"/>
  <c r="AS111" i="18" s="1"/>
  <c r="AS104" i="18"/>
  <c r="AS87" i="18"/>
  <c r="AS85" i="18"/>
  <c r="AS83" i="18"/>
  <c r="AS81" i="18"/>
  <c r="AS79" i="18"/>
  <c r="AS77" i="18"/>
  <c r="AS75" i="18"/>
  <c r="AS73" i="18"/>
  <c r="AH121" i="18"/>
  <c r="AH120" i="18"/>
  <c r="AH109" i="18"/>
  <c r="AS109" i="18" s="1"/>
  <c r="AS99" i="18"/>
  <c r="AS74" i="18"/>
  <c r="AS72" i="18"/>
  <c r="AH64" i="18"/>
  <c r="AH63" i="18"/>
  <c r="AS63" i="18" s="1"/>
  <c r="S55" i="18"/>
  <c r="AM16" i="18"/>
  <c r="AS16" i="18"/>
  <c r="AM14" i="18"/>
  <c r="AS14" i="18"/>
  <c r="AG55" i="18"/>
  <c r="AC55" i="18"/>
  <c r="AH52" i="18"/>
  <c r="Y55" i="18"/>
  <c r="AH47" i="18"/>
  <c r="X49" i="18"/>
  <c r="AH46" i="18"/>
  <c r="AS46" i="18" s="1"/>
  <c r="Y5" i="18"/>
  <c r="K5" i="18"/>
  <c r="AH71" i="18"/>
  <c r="AH70" i="18"/>
  <c r="AH69" i="18"/>
  <c r="AH68" i="18"/>
  <c r="AH67" i="18"/>
  <c r="AH66" i="18"/>
  <c r="AH65" i="18"/>
  <c r="AH61" i="18"/>
  <c r="AS61" i="18" s="1"/>
  <c r="AH53" i="18"/>
  <c r="AH44" i="18"/>
  <c r="AS44" i="18" s="1"/>
  <c r="AH43" i="18"/>
  <c r="AS43" i="18" s="1"/>
  <c r="AH42" i="18"/>
  <c r="AS42" i="18" s="1"/>
  <c r="AM15" i="18"/>
  <c r="AS15" i="18"/>
  <c r="AM13" i="18"/>
  <c r="AS13" i="18"/>
  <c r="AS32" i="18"/>
  <c r="AS31" i="18"/>
  <c r="AS30" i="18"/>
  <c r="AS29" i="18"/>
  <c r="AS28" i="18"/>
  <c r="AS27" i="18"/>
  <c r="AS26" i="18"/>
  <c r="AS25" i="18"/>
  <c r="AS24" i="18"/>
  <c r="Q77" i="13" l="1"/>
  <c r="E25" i="13"/>
  <c r="AS50" i="18" s="1"/>
  <c r="Q50" i="13"/>
  <c r="I82" i="13"/>
  <c r="I66" i="13"/>
  <c r="I71" i="13"/>
  <c r="Q74" i="13"/>
  <c r="I58" i="13"/>
  <c r="I76" i="13"/>
  <c r="Q87" i="13"/>
  <c r="AM157" i="18"/>
  <c r="AM158" i="18"/>
  <c r="E88" i="13"/>
  <c r="AS159" i="18" s="1"/>
  <c r="Q55" i="13"/>
  <c r="I34" i="13"/>
  <c r="I78" i="13"/>
  <c r="Q78" i="13"/>
  <c r="Q48" i="13"/>
  <c r="Q52" i="13"/>
  <c r="Q36" i="13"/>
  <c r="G35" i="13"/>
  <c r="G44" i="13"/>
  <c r="G27" i="13"/>
  <c r="G30" i="13"/>
  <c r="G49" i="13"/>
  <c r="G31" i="13"/>
  <c r="G38" i="13"/>
  <c r="G85" i="13"/>
  <c r="G57" i="13"/>
  <c r="G37" i="13"/>
  <c r="G84" i="13"/>
  <c r="G40" i="13"/>
  <c r="G80" i="13"/>
  <c r="G83" i="13"/>
  <c r="G26" i="13"/>
  <c r="AS35" i="19"/>
  <c r="AS44" i="19" s="1"/>
  <c r="AI44" i="19"/>
  <c r="AW26" i="19"/>
  <c r="AV44" i="19"/>
  <c r="AI155" i="18"/>
  <c r="AI157" i="18"/>
  <c r="AM53" i="18"/>
  <c r="AS53" i="18"/>
  <c r="AS67" i="18"/>
  <c r="AS71" i="18"/>
  <c r="AS64" i="18"/>
  <c r="AH177" i="18"/>
  <c r="AQ171" i="18"/>
  <c r="AQ177" i="18" s="1"/>
  <c r="AQ189" i="18" s="1"/>
  <c r="AS65" i="18"/>
  <c r="AS66" i="18"/>
  <c r="AM52" i="18"/>
  <c r="AM55" i="18" s="1"/>
  <c r="AS52" i="18"/>
  <c r="AH55" i="18"/>
  <c r="AS68" i="18"/>
  <c r="Z5" i="18"/>
  <c r="L5" i="18"/>
  <c r="AH49" i="18"/>
  <c r="AM47" i="18"/>
  <c r="AM49" i="18" s="1"/>
  <c r="AS47" i="18"/>
  <c r="AV161" i="18"/>
  <c r="AU171" i="18"/>
  <c r="AV171" i="18" s="1"/>
  <c r="AU172" i="18"/>
  <c r="AV172" i="18" s="1"/>
  <c r="AS69" i="18"/>
  <c r="AS108" i="18"/>
  <c r="AK155" i="18"/>
  <c r="AS70" i="18"/>
  <c r="AV187" i="18"/>
  <c r="AV190" i="18" s="1"/>
  <c r="AU190" i="18"/>
  <c r="E89" i="13" l="1"/>
  <c r="AU179" i="18"/>
  <c r="AM177" i="18"/>
  <c r="AM189" i="18"/>
  <c r="G88" i="13"/>
  <c r="I80" i="13"/>
  <c r="Q80" i="13"/>
  <c r="AL44" i="19"/>
  <c r="AS64" i="19"/>
  <c r="AO155" i="18"/>
  <c r="AI189" i="18"/>
  <c r="AV179" i="18"/>
  <c r="M5" i="18"/>
  <c r="AA5" i="18"/>
  <c r="AI177" i="18"/>
  <c r="AH189" i="18"/>
  <c r="AO157" i="18" l="1"/>
  <c r="AB5" i="18"/>
  <c r="N5" i="18"/>
  <c r="AO158" i="18" l="1"/>
  <c r="AO177" i="18" s="1"/>
  <c r="AO189" i="18" s="1"/>
  <c r="AS189" i="18" s="1"/>
  <c r="AC5" i="18"/>
  <c r="O5" i="18"/>
  <c r="AD5" i="18" l="1"/>
  <c r="P5" i="18"/>
  <c r="Q5" i="18" l="1"/>
  <c r="AE5" i="18"/>
  <c r="AF5" i="18" l="1"/>
  <c r="R5" i="18"/>
  <c r="AG5" i="18" s="1"/>
  <c r="B63" i="4" l="1"/>
  <c r="B64" i="4" s="1"/>
  <c r="N107" i="13" l="1"/>
  <c r="H107" i="13"/>
  <c r="G107" i="13"/>
  <c r="N106" i="13"/>
  <c r="H106" i="13"/>
  <c r="G106" i="13"/>
  <c r="N104" i="13"/>
  <c r="H104" i="13"/>
  <c r="G104" i="13"/>
  <c r="N103" i="13"/>
  <c r="H103" i="13"/>
  <c r="G103" i="13"/>
  <c r="N100" i="13"/>
  <c r="H100" i="13"/>
  <c r="G100" i="13"/>
  <c r="H85" i="13"/>
  <c r="N84" i="13"/>
  <c r="Q84" i="13" s="1"/>
  <c r="H84" i="13"/>
  <c r="N83" i="13"/>
  <c r="Q83" i="13" s="1"/>
  <c r="I83" i="13"/>
  <c r="N79" i="13"/>
  <c r="Q79" i="13" s="1"/>
  <c r="H79" i="13"/>
  <c r="I79" i="13" s="1"/>
  <c r="N75" i="13"/>
  <c r="Q75" i="13" s="1"/>
  <c r="H75" i="13"/>
  <c r="N72" i="13"/>
  <c r="Q72" i="13" s="1"/>
  <c r="N70" i="13"/>
  <c r="Q70" i="13" s="1"/>
  <c r="H70" i="13"/>
  <c r="N69" i="13"/>
  <c r="Q69" i="13" s="1"/>
  <c r="H69" i="13"/>
  <c r="I69" i="13" s="1"/>
  <c r="N68" i="13"/>
  <c r="Q68" i="13" s="1"/>
  <c r="H68" i="13"/>
  <c r="N67" i="13"/>
  <c r="Q67" i="13" s="1"/>
  <c r="H67" i="13"/>
  <c r="I67" i="13" s="1"/>
  <c r="N65" i="13"/>
  <c r="Q65" i="13" s="1"/>
  <c r="H65" i="13"/>
  <c r="N64" i="13"/>
  <c r="Q64" i="13" s="1"/>
  <c r="H64" i="13"/>
  <c r="N63" i="13"/>
  <c r="Q63" i="13" s="1"/>
  <c r="H63" i="13"/>
  <c r="N62" i="13"/>
  <c r="Q62" i="13" s="1"/>
  <c r="H62" i="13"/>
  <c r="N61" i="13"/>
  <c r="Q61" i="13" s="1"/>
  <c r="H61" i="13"/>
  <c r="N60" i="13"/>
  <c r="Q60" i="13" s="1"/>
  <c r="H60" i="13"/>
  <c r="I60" i="13" s="1"/>
  <c r="N59" i="13"/>
  <c r="Q59" i="13" s="1"/>
  <c r="H59" i="13"/>
  <c r="H57" i="13"/>
  <c r="I57" i="13" s="1"/>
  <c r="H56" i="13"/>
  <c r="H53" i="13"/>
  <c r="H51" i="13"/>
  <c r="H49" i="13"/>
  <c r="H47" i="13"/>
  <c r="I47" i="13" s="1"/>
  <c r="H46" i="13"/>
  <c r="H45" i="13"/>
  <c r="H44" i="13"/>
  <c r="H43" i="13"/>
  <c r="H42" i="13"/>
  <c r="H41" i="13"/>
  <c r="I41" i="13" s="1"/>
  <c r="N40" i="13"/>
  <c r="Q40" i="13" s="1"/>
  <c r="H40" i="13"/>
  <c r="H38" i="13"/>
  <c r="N37" i="13"/>
  <c r="Q57" i="13" s="1"/>
  <c r="H37" i="13"/>
  <c r="N35" i="13"/>
  <c r="H35" i="13"/>
  <c r="N33" i="13"/>
  <c r="H32" i="13"/>
  <c r="H31" i="13"/>
  <c r="N30" i="13"/>
  <c r="N54" i="13" s="1"/>
  <c r="Q54" i="13" s="1"/>
  <c r="H30" i="13"/>
  <c r="H29" i="13"/>
  <c r="N28" i="13"/>
  <c r="N29" i="13" s="1"/>
  <c r="H28" i="13"/>
  <c r="I28" i="13" s="1"/>
  <c r="H27" i="13"/>
  <c r="N26" i="13"/>
  <c r="H26" i="13"/>
  <c r="N24" i="13"/>
  <c r="Q24" i="13" s="1"/>
  <c r="H24" i="13"/>
  <c r="I24" i="13" s="1"/>
  <c r="Q23" i="13"/>
  <c r="H23" i="13"/>
  <c r="I23" i="13" s="1"/>
  <c r="N16" i="13"/>
  <c r="N15" i="13"/>
  <c r="Q15" i="13" s="1"/>
  <c r="H15" i="13"/>
  <c r="H14" i="13"/>
  <c r="N13" i="13"/>
  <c r="H13" i="13"/>
  <c r="N12" i="13"/>
  <c r="Q12" i="13" s="1"/>
  <c r="H11" i="13"/>
  <c r="N10" i="13"/>
  <c r="H10" i="13"/>
  <c r="N9" i="13"/>
  <c r="Q9" i="13" s="1"/>
  <c r="H9" i="13"/>
  <c r="I53" i="13" l="1"/>
  <c r="I106" i="13"/>
  <c r="N51" i="13"/>
  <c r="Q51" i="13" s="1"/>
  <c r="N11" i="13"/>
  <c r="Q11" i="13" s="1"/>
  <c r="N14" i="13"/>
  <c r="Q14" i="13" s="1"/>
  <c r="Q16" i="13"/>
  <c r="I100" i="13"/>
  <c r="I104" i="13"/>
  <c r="I107" i="13"/>
  <c r="I26" i="13"/>
  <c r="I30" i="13"/>
  <c r="I45" i="13"/>
  <c r="I49" i="13"/>
  <c r="I64" i="13"/>
  <c r="I65" i="13"/>
  <c r="I75" i="13"/>
  <c r="I33" i="13"/>
  <c r="I38" i="13"/>
  <c r="I51" i="13"/>
  <c r="I27" i="13"/>
  <c r="I31" i="13"/>
  <c r="I56" i="13"/>
  <c r="I61" i="13"/>
  <c r="I63" i="13"/>
  <c r="I70" i="13"/>
  <c r="I84" i="13"/>
  <c r="I43" i="13"/>
  <c r="I72" i="13"/>
  <c r="I35" i="13"/>
  <c r="I46" i="13"/>
  <c r="I59" i="13"/>
  <c r="I68" i="13"/>
  <c r="I29" i="13"/>
  <c r="I32" i="13"/>
  <c r="I37" i="13"/>
  <c r="I40" i="13"/>
  <c r="I42" i="13"/>
  <c r="I44" i="13"/>
  <c r="I62" i="13"/>
  <c r="N85" i="13"/>
  <c r="Q29" i="13"/>
  <c r="Q26" i="13"/>
  <c r="N27" i="13"/>
  <c r="Q27" i="13" s="1"/>
  <c r="Q10" i="13"/>
  <c r="Q13" i="13"/>
  <c r="Q37" i="13"/>
  <c r="N38" i="13"/>
  <c r="I103" i="13"/>
  <c r="Q28" i="13"/>
  <c r="N45" i="13"/>
  <c r="Q45" i="13" s="1"/>
  <c r="N53" i="13"/>
  <c r="Q53" i="13" s="1"/>
  <c r="N31" i="13"/>
  <c r="N32" i="13" s="1"/>
  <c r="Q30" i="13"/>
  <c r="N56" i="13"/>
  <c r="Q56" i="13" s="1"/>
  <c r="N47" i="13"/>
  <c r="Q47" i="13" s="1"/>
  <c r="Q35" i="13"/>
  <c r="N44" i="13"/>
  <c r="Q44" i="13" s="1"/>
  <c r="N46" i="13"/>
  <c r="Q46" i="13" s="1"/>
  <c r="Q33" i="13"/>
  <c r="N43" i="13"/>
  <c r="Q43" i="13" s="1"/>
  <c r="N49" i="13"/>
  <c r="Q49" i="13" s="1"/>
  <c r="N42" i="13"/>
  <c r="Q42" i="13" s="1"/>
  <c r="N41" i="13"/>
  <c r="Q41" i="13" s="1"/>
  <c r="I85" i="13"/>
  <c r="Q25" i="13" l="1"/>
  <c r="I88" i="13"/>
  <c r="Q85" i="13"/>
  <c r="Q86" i="13"/>
  <c r="Q38" i="13"/>
  <c r="N39" i="13"/>
  <c r="Q39" i="13" s="1"/>
  <c r="Q31" i="13"/>
  <c r="Q32" i="13" l="1"/>
  <c r="Q88" i="13" s="1"/>
  <c r="Q89" i="13" l="1"/>
  <c r="B8" i="4" l="1"/>
  <c r="B9" i="4"/>
  <c r="B10" i="4"/>
  <c r="B11" i="4"/>
  <c r="F11" i="13" s="1"/>
  <c r="G11" i="13" s="1"/>
  <c r="I11" i="13" s="1"/>
  <c r="D10" i="4" l="1"/>
  <c r="C9" i="4"/>
  <c r="E9" i="4"/>
  <c r="G9" i="4"/>
  <c r="F10" i="4"/>
  <c r="C10" i="4"/>
  <c r="D9" i="4"/>
  <c r="F9" i="4"/>
  <c r="H9" i="4"/>
  <c r="C11" i="4"/>
  <c r="H11" i="4"/>
  <c r="E10" i="4"/>
  <c r="G10" i="4"/>
  <c r="H10" i="4"/>
  <c r="C8" i="4"/>
  <c r="D8" i="4"/>
  <c r="E8" i="4"/>
  <c r="F8" i="4"/>
  <c r="G8" i="4"/>
  <c r="H8" i="4"/>
  <c r="G11" i="4" l="1"/>
  <c r="F11" i="4"/>
  <c r="E11" i="4"/>
  <c r="D11" i="4"/>
  <c r="B58" i="4" l="1"/>
  <c r="C57" i="4"/>
  <c r="C56" i="4"/>
  <c r="B14" i="4"/>
  <c r="B13" i="4"/>
  <c r="B12" i="4"/>
  <c r="F15" i="13" l="1"/>
  <c r="G15" i="13" s="1"/>
  <c r="I15" i="13" s="1"/>
  <c r="F16" i="13"/>
  <c r="G16" i="13" s="1"/>
  <c r="I16" i="13" s="1"/>
  <c r="F9" i="13"/>
  <c r="G9" i="13" s="1"/>
  <c r="F10" i="13"/>
  <c r="G10" i="13" s="1"/>
  <c r="I10" i="13" s="1"/>
  <c r="F12" i="13"/>
  <c r="G12" i="13" s="1"/>
  <c r="I12" i="13" s="1"/>
  <c r="G13" i="13"/>
  <c r="I13" i="13" s="1"/>
  <c r="E124" i="13"/>
  <c r="C58" i="4"/>
  <c r="B61" i="4"/>
  <c r="D51" i="12"/>
  <c r="H13" i="4"/>
  <c r="G13" i="4"/>
  <c r="F13" i="4"/>
  <c r="E13" i="4"/>
  <c r="D13" i="4"/>
  <c r="C13" i="4"/>
  <c r="H12" i="4"/>
  <c r="C12" i="4"/>
  <c r="G12" i="4"/>
  <c r="F12" i="4"/>
  <c r="E12" i="4"/>
  <c r="D12" i="4"/>
  <c r="H14" i="4"/>
  <c r="G14" i="4"/>
  <c r="F14" i="4"/>
  <c r="E14" i="4"/>
  <c r="D14" i="4"/>
  <c r="C14" i="4"/>
  <c r="G59" i="4"/>
  <c r="G61" i="4" s="1"/>
  <c r="I9" i="13" l="1"/>
  <c r="E51" i="12"/>
  <c r="F51" i="12"/>
  <c r="G14" i="13"/>
  <c r="I14" i="13" s="1"/>
  <c r="B62" i="4"/>
  <c r="F122" i="13"/>
  <c r="G25" i="13" l="1"/>
  <c r="E115" i="13" s="1"/>
  <c r="I25" i="13"/>
  <c r="I89" i="13"/>
  <c r="E116" i="13" s="1"/>
  <c r="J81" i="13" l="1"/>
  <c r="K81" i="13" s="1"/>
  <c r="L81" i="13" s="1"/>
  <c r="M81" i="13" s="1"/>
  <c r="O81" i="13" s="1"/>
  <c r="J94" i="13"/>
  <c r="K94" i="13" s="1"/>
  <c r="L94" i="13" s="1"/>
  <c r="J95" i="13"/>
  <c r="K95" i="13" s="1"/>
  <c r="L95" i="13" s="1"/>
  <c r="J96" i="13"/>
  <c r="K96" i="13" s="1"/>
  <c r="L96" i="13" s="1"/>
  <c r="J98" i="13"/>
  <c r="K98" i="13" s="1"/>
  <c r="L98" i="13" s="1"/>
  <c r="J97" i="13"/>
  <c r="K97" i="13" s="1"/>
  <c r="L97" i="13" s="1"/>
  <c r="J7" i="13"/>
  <c r="J8" i="13"/>
  <c r="K8" i="13" s="1"/>
  <c r="L8" i="13" s="1"/>
  <c r="J101" i="13"/>
  <c r="K101" i="13" s="1"/>
  <c r="L101" i="13" s="1"/>
  <c r="M101" i="13" s="1"/>
  <c r="D48" i="12" s="1"/>
  <c r="J99" i="13"/>
  <c r="K99" i="13" s="1"/>
  <c r="L99" i="13" s="1"/>
  <c r="J102" i="13"/>
  <c r="K102" i="13" s="1"/>
  <c r="L102" i="13" s="1"/>
  <c r="O102" i="13" s="1"/>
  <c r="J105" i="13"/>
  <c r="K105" i="13" s="1"/>
  <c r="L105" i="13" s="1"/>
  <c r="J87" i="13"/>
  <c r="K87" i="13" s="1"/>
  <c r="L87" i="13" s="1"/>
  <c r="M87" i="13" s="1"/>
  <c r="O87" i="13" s="1"/>
  <c r="J74" i="13"/>
  <c r="K74" i="13" s="1"/>
  <c r="L74" i="13" s="1"/>
  <c r="M74" i="13" s="1"/>
  <c r="O74" i="13" s="1"/>
  <c r="J76" i="13"/>
  <c r="K76" i="13" s="1"/>
  <c r="L76" i="13" s="1"/>
  <c r="M76" i="13" s="1"/>
  <c r="O76" i="13" s="1"/>
  <c r="J71" i="13"/>
  <c r="K71" i="13" s="1"/>
  <c r="L71" i="13" s="1"/>
  <c r="M71" i="13" s="1"/>
  <c r="O71" i="13" s="1"/>
  <c r="J34" i="13"/>
  <c r="K34" i="13" s="1"/>
  <c r="L34" i="13" s="1"/>
  <c r="M34" i="13" s="1"/>
  <c r="O34" i="13" s="1"/>
  <c r="J77" i="13"/>
  <c r="K77" i="13" s="1"/>
  <c r="L77" i="13" s="1"/>
  <c r="M77" i="13" s="1"/>
  <c r="O77" i="13" s="1"/>
  <c r="J66" i="13"/>
  <c r="K66" i="13" s="1"/>
  <c r="L66" i="13" s="1"/>
  <c r="M66" i="13" s="1"/>
  <c r="O66" i="13" s="1"/>
  <c r="J58" i="13"/>
  <c r="K58" i="13" s="1"/>
  <c r="L58" i="13" s="1"/>
  <c r="M58" i="13" s="1"/>
  <c r="O58" i="13" s="1"/>
  <c r="J50" i="13"/>
  <c r="K50" i="13" s="1"/>
  <c r="L50" i="13" s="1"/>
  <c r="M50" i="13" s="1"/>
  <c r="O50" i="13" s="1"/>
  <c r="J82" i="13"/>
  <c r="K82" i="13" s="1"/>
  <c r="L82" i="13" s="1"/>
  <c r="M82" i="13" s="1"/>
  <c r="O82" i="13" s="1"/>
  <c r="J48" i="13"/>
  <c r="K48" i="13" s="1"/>
  <c r="L48" i="13" s="1"/>
  <c r="M48" i="13" s="1"/>
  <c r="O48" i="13" s="1"/>
  <c r="J54" i="13"/>
  <c r="K54" i="13" s="1"/>
  <c r="L54" i="13" s="1"/>
  <c r="M54" i="13" s="1"/>
  <c r="O54" i="13" s="1"/>
  <c r="J36" i="13"/>
  <c r="K36" i="13" s="1"/>
  <c r="L36" i="13" s="1"/>
  <c r="M36" i="13" s="1"/>
  <c r="O36" i="13" s="1"/>
  <c r="J52" i="13"/>
  <c r="K52" i="13" s="1"/>
  <c r="L52" i="13" s="1"/>
  <c r="M52" i="13" s="1"/>
  <c r="O52" i="13" s="1"/>
  <c r="J53" i="13"/>
  <c r="K53" i="13" s="1"/>
  <c r="L53" i="13" s="1"/>
  <c r="M53" i="13" s="1"/>
  <c r="O53" i="13" s="1"/>
  <c r="J55" i="13"/>
  <c r="K55" i="13" s="1"/>
  <c r="L55" i="13" s="1"/>
  <c r="M55" i="13" s="1"/>
  <c r="O55" i="13" s="1"/>
  <c r="J86" i="13"/>
  <c r="K86" i="13" s="1"/>
  <c r="L86" i="13" s="1"/>
  <c r="J78" i="13"/>
  <c r="K78" i="13" s="1"/>
  <c r="L78" i="13" s="1"/>
  <c r="M78" i="13" s="1"/>
  <c r="O78" i="13" s="1"/>
  <c r="J80" i="13"/>
  <c r="K80" i="13" s="1"/>
  <c r="L80" i="13" s="1"/>
  <c r="M80" i="13" s="1"/>
  <c r="O80" i="13" s="1"/>
  <c r="J39" i="13"/>
  <c r="K39" i="13" s="1"/>
  <c r="L39" i="13" s="1"/>
  <c r="M39" i="13" s="1"/>
  <c r="O39" i="13" s="1"/>
  <c r="AA25" i="13"/>
  <c r="J19" i="13"/>
  <c r="K19" i="13" s="1"/>
  <c r="L19" i="13" s="1"/>
  <c r="M19" i="13" s="1"/>
  <c r="O19" i="13" s="1"/>
  <c r="J20" i="13"/>
  <c r="K20" i="13" s="1"/>
  <c r="L20" i="13" s="1"/>
  <c r="M20" i="13" s="1"/>
  <c r="O20" i="13" s="1"/>
  <c r="T20" i="13" s="1"/>
  <c r="J17" i="13"/>
  <c r="K17" i="13" s="1"/>
  <c r="L17" i="13" s="1"/>
  <c r="M17" i="13" s="1"/>
  <c r="O17" i="13" s="1"/>
  <c r="J21" i="13"/>
  <c r="K21" i="13" s="1"/>
  <c r="L21" i="13" s="1"/>
  <c r="M21" i="13" s="1"/>
  <c r="O21" i="13" s="1"/>
  <c r="J18" i="13"/>
  <c r="K18" i="13" s="1"/>
  <c r="L18" i="13" s="1"/>
  <c r="M18" i="13" s="1"/>
  <c r="O18" i="13" s="1"/>
  <c r="J22" i="13"/>
  <c r="K22" i="13" s="1"/>
  <c r="L22" i="13" s="1"/>
  <c r="M22" i="13" s="1"/>
  <c r="O22" i="13" s="1"/>
  <c r="J64" i="13"/>
  <c r="K64" i="13" s="1"/>
  <c r="L64" i="13" s="1"/>
  <c r="M64" i="13" s="1"/>
  <c r="O64" i="13" s="1"/>
  <c r="T64" i="13" s="1"/>
  <c r="J37" i="13"/>
  <c r="K37" i="13" s="1"/>
  <c r="L37" i="13" s="1"/>
  <c r="M37" i="13" s="1"/>
  <c r="O37" i="13" s="1"/>
  <c r="T37" i="13" s="1"/>
  <c r="J100" i="13"/>
  <c r="K100" i="13" s="1"/>
  <c r="L100" i="13" s="1"/>
  <c r="J10" i="13"/>
  <c r="K10" i="13" s="1"/>
  <c r="L10" i="13" s="1"/>
  <c r="M10" i="13" s="1"/>
  <c r="AA10" i="13" s="1"/>
  <c r="J70" i="13"/>
  <c r="K70" i="13" s="1"/>
  <c r="L70" i="13" s="1"/>
  <c r="M70" i="13" s="1"/>
  <c r="O70" i="13" s="1"/>
  <c r="T70" i="13" s="1"/>
  <c r="J13" i="13"/>
  <c r="K13" i="13" s="1"/>
  <c r="L13" i="13" s="1"/>
  <c r="M13" i="13" s="1"/>
  <c r="AA13" i="13" s="1"/>
  <c r="J62" i="13"/>
  <c r="K62" i="13" s="1"/>
  <c r="L62" i="13" s="1"/>
  <c r="M62" i="13" s="1"/>
  <c r="O62" i="13" s="1"/>
  <c r="T62" i="13" s="1"/>
  <c r="J57" i="13"/>
  <c r="K57" i="13" s="1"/>
  <c r="L57" i="13" s="1"/>
  <c r="M57" i="13" s="1"/>
  <c r="O57" i="13" s="1"/>
  <c r="J107" i="13"/>
  <c r="K107" i="13" s="1"/>
  <c r="L107" i="13" s="1"/>
  <c r="J11" i="13"/>
  <c r="K11" i="13" s="1"/>
  <c r="L11" i="13" s="1"/>
  <c r="M11" i="13" s="1"/>
  <c r="O11" i="13" s="1"/>
  <c r="J68" i="13"/>
  <c r="K68" i="13" s="1"/>
  <c r="L68" i="13" s="1"/>
  <c r="M68" i="13" s="1"/>
  <c r="O68" i="13" s="1"/>
  <c r="J83" i="13"/>
  <c r="K83" i="13" s="1"/>
  <c r="L83" i="13" s="1"/>
  <c r="M83" i="13" s="1"/>
  <c r="J38" i="13"/>
  <c r="K38" i="13" s="1"/>
  <c r="L38" i="13" s="1"/>
  <c r="M38" i="13" s="1"/>
  <c r="O38" i="13" s="1"/>
  <c r="J30" i="13"/>
  <c r="K30" i="13" s="1"/>
  <c r="L30" i="13" s="1"/>
  <c r="M30" i="13" s="1"/>
  <c r="AA30" i="13" s="1"/>
  <c r="J32" i="13"/>
  <c r="K32" i="13" s="1"/>
  <c r="L32" i="13" s="1"/>
  <c r="M32" i="13" s="1"/>
  <c r="O32" i="13" s="1"/>
  <c r="T32" i="13" s="1"/>
  <c r="J41" i="13"/>
  <c r="K41" i="13" s="1"/>
  <c r="L41" i="13" s="1"/>
  <c r="M41" i="13" s="1"/>
  <c r="O41" i="13" s="1"/>
  <c r="J103" i="13"/>
  <c r="K103" i="13" s="1"/>
  <c r="L103" i="13" s="1"/>
  <c r="J27" i="13"/>
  <c r="K27" i="13" s="1"/>
  <c r="L27" i="13" s="1"/>
  <c r="M27" i="13" s="1"/>
  <c r="O27" i="13" s="1"/>
  <c r="J31" i="13"/>
  <c r="K31" i="13" s="1"/>
  <c r="L31" i="13" s="1"/>
  <c r="M31" i="13" s="1"/>
  <c r="O31" i="13" s="1"/>
  <c r="J61" i="13"/>
  <c r="K61" i="13" s="1"/>
  <c r="L61" i="13" s="1"/>
  <c r="M61" i="13" s="1"/>
  <c r="O61" i="13" s="1"/>
  <c r="J75" i="13"/>
  <c r="K75" i="13" s="1"/>
  <c r="L75" i="13" s="1"/>
  <c r="M75" i="13" s="1"/>
  <c r="O75" i="13" s="1"/>
  <c r="J24" i="13"/>
  <c r="K24" i="13" s="1"/>
  <c r="L24" i="13" s="1"/>
  <c r="M24" i="13" s="1"/>
  <c r="J23" i="13"/>
  <c r="K23" i="13" s="1"/>
  <c r="L23" i="13" s="1"/>
  <c r="M23" i="13" s="1"/>
  <c r="J16" i="13"/>
  <c r="K16" i="13" s="1"/>
  <c r="L16" i="13" s="1"/>
  <c r="M16" i="13" s="1"/>
  <c r="O16" i="13" s="1"/>
  <c r="J42" i="13"/>
  <c r="K42" i="13" s="1"/>
  <c r="L42" i="13" s="1"/>
  <c r="M42" i="13" s="1"/>
  <c r="O42" i="13" s="1"/>
  <c r="V42" i="13" s="1"/>
  <c r="W42" i="13" s="1"/>
  <c r="X42" i="13" s="1"/>
  <c r="J106" i="13"/>
  <c r="K106" i="13" s="1"/>
  <c r="L106" i="13" s="1"/>
  <c r="J60" i="13"/>
  <c r="K60" i="13" s="1"/>
  <c r="L60" i="13" s="1"/>
  <c r="M60" i="13" s="1"/>
  <c r="O60" i="13" s="1"/>
  <c r="J43" i="13"/>
  <c r="K43" i="13" s="1"/>
  <c r="L43" i="13" s="1"/>
  <c r="M43" i="13" s="1"/>
  <c r="O43" i="13" s="1"/>
  <c r="J12" i="13"/>
  <c r="K12" i="13" s="1"/>
  <c r="L12" i="13" s="1"/>
  <c r="M12" i="13" s="1"/>
  <c r="J40" i="13"/>
  <c r="K40" i="13" s="1"/>
  <c r="L40" i="13" s="1"/>
  <c r="M40" i="13" s="1"/>
  <c r="J14" i="13"/>
  <c r="K14" i="13" s="1"/>
  <c r="L14" i="13" s="1"/>
  <c r="M14" i="13" s="1"/>
  <c r="O14" i="13" s="1"/>
  <c r="J47" i="13"/>
  <c r="K47" i="13" s="1"/>
  <c r="L47" i="13" s="1"/>
  <c r="M47" i="13" s="1"/>
  <c r="O47" i="13" s="1"/>
  <c r="J84" i="13"/>
  <c r="K84" i="13" s="1"/>
  <c r="L84" i="13" s="1"/>
  <c r="M84" i="13" s="1"/>
  <c r="O84" i="13" s="1"/>
  <c r="J9" i="13"/>
  <c r="J26" i="13"/>
  <c r="J104" i="13"/>
  <c r="K104" i="13" s="1"/>
  <c r="L104" i="13" s="1"/>
  <c r="J79" i="13"/>
  <c r="K79" i="13" s="1"/>
  <c r="L79" i="13" s="1"/>
  <c r="M79" i="13" s="1"/>
  <c r="D119" i="12" s="1"/>
  <c r="J65" i="13"/>
  <c r="K65" i="13" s="1"/>
  <c r="L65" i="13" s="1"/>
  <c r="M65" i="13" s="1"/>
  <c r="O65" i="13" s="1"/>
  <c r="J44" i="13"/>
  <c r="K44" i="13" s="1"/>
  <c r="L44" i="13" s="1"/>
  <c r="M44" i="13" s="1"/>
  <c r="O44" i="13" s="1"/>
  <c r="J28" i="13"/>
  <c r="K28" i="13" s="1"/>
  <c r="L28" i="13" s="1"/>
  <c r="M28" i="13" s="1"/>
  <c r="D55" i="12" s="1"/>
  <c r="F55" i="12" s="1"/>
  <c r="J35" i="13"/>
  <c r="K35" i="13" s="1"/>
  <c r="L35" i="13" s="1"/>
  <c r="M35" i="13" s="1"/>
  <c r="J46" i="13"/>
  <c r="K46" i="13" s="1"/>
  <c r="L46" i="13" s="1"/>
  <c r="M46" i="13" s="1"/>
  <c r="O46" i="13" s="1"/>
  <c r="J51" i="13"/>
  <c r="K51" i="13" s="1"/>
  <c r="L51" i="13" s="1"/>
  <c r="M51" i="13" s="1"/>
  <c r="O51" i="13" s="1"/>
  <c r="J85" i="13"/>
  <c r="K85" i="13" s="1"/>
  <c r="L85" i="13" s="1"/>
  <c r="J33" i="13"/>
  <c r="K33" i="13" s="1"/>
  <c r="L33" i="13" s="1"/>
  <c r="M33" i="13" s="1"/>
  <c r="O33" i="13" s="1"/>
  <c r="J67" i="13"/>
  <c r="K67" i="13" s="1"/>
  <c r="L67" i="13" s="1"/>
  <c r="M67" i="13" s="1"/>
  <c r="O67" i="13" s="1"/>
  <c r="J15" i="13"/>
  <c r="K15" i="13" s="1"/>
  <c r="L15" i="13" s="1"/>
  <c r="M15" i="13" s="1"/>
  <c r="D25" i="12" s="1"/>
  <c r="F25" i="12" s="1"/>
  <c r="J59" i="13"/>
  <c r="K59" i="13" s="1"/>
  <c r="L59" i="13" s="1"/>
  <c r="M59" i="13" s="1"/>
  <c r="O59" i="13" s="1"/>
  <c r="T59" i="13" s="1"/>
  <c r="J29" i="13"/>
  <c r="K29" i="13" s="1"/>
  <c r="L29" i="13" s="1"/>
  <c r="M29" i="13" s="1"/>
  <c r="O29" i="13" s="1"/>
  <c r="J56" i="13"/>
  <c r="K56" i="13" s="1"/>
  <c r="L56" i="13" s="1"/>
  <c r="M56" i="13" s="1"/>
  <c r="O56" i="13" s="1"/>
  <c r="J45" i="13"/>
  <c r="K45" i="13" s="1"/>
  <c r="L45" i="13" s="1"/>
  <c r="M45" i="13" s="1"/>
  <c r="O45" i="13" s="1"/>
  <c r="J69" i="13"/>
  <c r="K69" i="13" s="1"/>
  <c r="L69" i="13" s="1"/>
  <c r="M69" i="13" s="1"/>
  <c r="O69" i="13" s="1"/>
  <c r="J72" i="13"/>
  <c r="K72" i="13" s="1"/>
  <c r="L72" i="13" s="1"/>
  <c r="M72" i="13" s="1"/>
  <c r="O72" i="13" s="1"/>
  <c r="J63" i="13"/>
  <c r="K63" i="13" s="1"/>
  <c r="L63" i="13" s="1"/>
  <c r="M63" i="13" s="1"/>
  <c r="O63" i="13" s="1"/>
  <c r="AA88" i="13"/>
  <c r="J49" i="13"/>
  <c r="K49" i="13" s="1"/>
  <c r="L49" i="13" s="1"/>
  <c r="M49" i="13" s="1"/>
  <c r="O49" i="13" s="1"/>
  <c r="G89" i="13"/>
  <c r="AA81" i="13" l="1"/>
  <c r="V81" i="13"/>
  <c r="T81" i="13"/>
  <c r="O97" i="13"/>
  <c r="M97" i="13"/>
  <c r="D15" i="12" s="1"/>
  <c r="M98" i="13"/>
  <c r="D16" i="12" s="1"/>
  <c r="O98" i="13"/>
  <c r="O96" i="13"/>
  <c r="M96" i="13"/>
  <c r="D14" i="12" s="1"/>
  <c r="O95" i="13"/>
  <c r="M95" i="13"/>
  <c r="D13" i="12" s="1"/>
  <c r="O94" i="13"/>
  <c r="M94" i="13"/>
  <c r="D12" i="12" s="1"/>
  <c r="M8" i="13"/>
  <c r="D20" i="12" s="1"/>
  <c r="K7" i="13"/>
  <c r="J25" i="13"/>
  <c r="O101" i="13"/>
  <c r="D80" i="12"/>
  <c r="D93" i="12" s="1"/>
  <c r="F93" i="12" s="1"/>
  <c r="D99" i="12"/>
  <c r="D114" i="12" s="1"/>
  <c r="O99" i="13"/>
  <c r="M99" i="13"/>
  <c r="D35" i="12" s="1"/>
  <c r="F48" i="12"/>
  <c r="E48" i="12"/>
  <c r="D120" i="12"/>
  <c r="AA68" i="13"/>
  <c r="M102" i="13"/>
  <c r="D41" i="12" s="1"/>
  <c r="F41" i="12" s="1"/>
  <c r="M105" i="13"/>
  <c r="O105" i="13"/>
  <c r="D34" i="12"/>
  <c r="M85" i="13"/>
  <c r="O85" i="13" s="1"/>
  <c r="K26" i="13"/>
  <c r="K88" i="13" s="1"/>
  <c r="J88" i="13"/>
  <c r="K9" i="13"/>
  <c r="M86" i="13"/>
  <c r="O86" i="13" s="1"/>
  <c r="V87" i="13"/>
  <c r="W87" i="13" s="1"/>
  <c r="T87" i="13"/>
  <c r="AA87" i="13"/>
  <c r="V74" i="13"/>
  <c r="W74" i="13" s="1"/>
  <c r="X74" i="13" s="1"/>
  <c r="T74" i="13"/>
  <c r="AA74" i="13"/>
  <c r="AA76" i="13"/>
  <c r="V76" i="13"/>
  <c r="W76" i="13" s="1"/>
  <c r="X76" i="13" s="1"/>
  <c r="T76" i="13"/>
  <c r="AA71" i="13"/>
  <c r="V71" i="13"/>
  <c r="W71" i="13" s="1"/>
  <c r="X71" i="13" s="1"/>
  <c r="T71" i="13"/>
  <c r="AA34" i="13"/>
  <c r="V34" i="13"/>
  <c r="W34" i="13" s="1"/>
  <c r="X34" i="13" s="1"/>
  <c r="T34" i="13"/>
  <c r="V77" i="13"/>
  <c r="W77" i="13" s="1"/>
  <c r="X77" i="13" s="1"/>
  <c r="T77" i="13"/>
  <c r="AA77" i="13"/>
  <c r="AA66" i="13"/>
  <c r="V66" i="13"/>
  <c r="W66" i="13" s="1"/>
  <c r="X66" i="13" s="1"/>
  <c r="T66" i="13"/>
  <c r="AA58" i="13"/>
  <c r="V58" i="13"/>
  <c r="T58" i="13"/>
  <c r="V50" i="13"/>
  <c r="W50" i="13" s="1"/>
  <c r="X50" i="13" s="1"/>
  <c r="T50" i="13"/>
  <c r="AA50" i="13"/>
  <c r="AA82" i="13"/>
  <c r="V82" i="13"/>
  <c r="W82" i="13" s="1"/>
  <c r="X82" i="13" s="1"/>
  <c r="T82" i="13"/>
  <c r="V80" i="13"/>
  <c r="W80" i="13" s="1"/>
  <c r="X80" i="13" s="1"/>
  <c r="T80" i="13"/>
  <c r="V78" i="13"/>
  <c r="W78" i="13" s="1"/>
  <c r="X78" i="13" s="1"/>
  <c r="T78" i="13"/>
  <c r="AA78" i="13"/>
  <c r="AA80" i="13"/>
  <c r="AA48" i="13"/>
  <c r="V48" i="13"/>
  <c r="W48" i="13" s="1"/>
  <c r="X48" i="13" s="1"/>
  <c r="T48" i="13"/>
  <c r="D56" i="12"/>
  <c r="AA64" i="13"/>
  <c r="AA62" i="13"/>
  <c r="D18" i="12"/>
  <c r="F18" i="12" s="1"/>
  <c r="AA54" i="13"/>
  <c r="V54" i="13"/>
  <c r="W54" i="13" s="1"/>
  <c r="X54" i="13" s="1"/>
  <c r="T54" i="13"/>
  <c r="AA36" i="13"/>
  <c r="V36" i="13"/>
  <c r="W36" i="13" s="1"/>
  <c r="X36" i="13" s="1"/>
  <c r="T36" i="13"/>
  <c r="AA57" i="13"/>
  <c r="T52" i="13"/>
  <c r="V52" i="13"/>
  <c r="W52" i="13" s="1"/>
  <c r="X52" i="13" s="1"/>
  <c r="AA53" i="13"/>
  <c r="V55" i="13"/>
  <c r="W55" i="13" s="1"/>
  <c r="X55" i="13" s="1"/>
  <c r="T55" i="13"/>
  <c r="AA55" i="13"/>
  <c r="V53" i="13"/>
  <c r="W53" i="13" s="1"/>
  <c r="X53" i="13" s="1"/>
  <c r="T53" i="13"/>
  <c r="AA52" i="13"/>
  <c r="O30" i="13"/>
  <c r="T30" i="13" s="1"/>
  <c r="AA75" i="13"/>
  <c r="O10" i="13"/>
  <c r="V10" i="13" s="1"/>
  <c r="W10" i="13" s="1"/>
  <c r="X10" i="13" s="1"/>
  <c r="AA31" i="13"/>
  <c r="AA39" i="13"/>
  <c r="V39" i="13"/>
  <c r="W39" i="13" s="1"/>
  <c r="X39" i="13" s="1"/>
  <c r="T39" i="13"/>
  <c r="AA41" i="13"/>
  <c r="AA32" i="13"/>
  <c r="AA20" i="13"/>
  <c r="AA44" i="13"/>
  <c r="V64" i="13"/>
  <c r="W64" i="13" s="1"/>
  <c r="X64" i="13" s="1"/>
  <c r="AA59" i="13"/>
  <c r="AA14" i="13"/>
  <c r="AA27" i="13"/>
  <c r="AA60" i="13"/>
  <c r="AA45" i="13"/>
  <c r="AA46" i="13"/>
  <c r="AA18" i="13"/>
  <c r="T18" i="13"/>
  <c r="V18" i="13"/>
  <c r="W18" i="13" s="1"/>
  <c r="X18" i="13" s="1"/>
  <c r="V20" i="13"/>
  <c r="W20" i="13" s="1"/>
  <c r="X20" i="13" s="1"/>
  <c r="V21" i="13"/>
  <c r="W21" i="13" s="1"/>
  <c r="X21" i="13" s="1"/>
  <c r="T21" i="13"/>
  <c r="V19" i="13"/>
  <c r="W19" i="13" s="1"/>
  <c r="X19" i="13" s="1"/>
  <c r="T19" i="13"/>
  <c r="AA22" i="13"/>
  <c r="T17" i="13"/>
  <c r="V17" i="13"/>
  <c r="W17" i="13" s="1"/>
  <c r="X17" i="13" s="1"/>
  <c r="AA17" i="13"/>
  <c r="AA21" i="13"/>
  <c r="V22" i="13"/>
  <c r="W22" i="13" s="1"/>
  <c r="X22" i="13" s="1"/>
  <c r="T22" i="13"/>
  <c r="AA19" i="13"/>
  <c r="V62" i="13"/>
  <c r="W62" i="13" s="1"/>
  <c r="X62" i="13" s="1"/>
  <c r="AA37" i="13"/>
  <c r="AA47" i="13"/>
  <c r="V37" i="13"/>
  <c r="W37" i="13" s="1"/>
  <c r="X37" i="13" s="1"/>
  <c r="AA11" i="13"/>
  <c r="O13" i="13"/>
  <c r="V13" i="13" s="1"/>
  <c r="W13" i="13" s="1"/>
  <c r="X13" i="13" s="1"/>
  <c r="V59" i="13"/>
  <c r="W59" i="13" s="1"/>
  <c r="X59" i="13" s="1"/>
  <c r="AA67" i="13"/>
  <c r="AA65" i="13"/>
  <c r="AA49" i="13"/>
  <c r="AA42" i="13"/>
  <c r="V70" i="13"/>
  <c r="W70" i="13" s="1"/>
  <c r="X70" i="13" s="1"/>
  <c r="T42" i="13"/>
  <c r="AA43" i="13"/>
  <c r="AA70" i="13"/>
  <c r="AA61" i="13"/>
  <c r="D22" i="12"/>
  <c r="F22" i="12" s="1"/>
  <c r="V32" i="13"/>
  <c r="W32" i="13" s="1"/>
  <c r="X32" i="13" s="1"/>
  <c r="AA63" i="13"/>
  <c r="O100" i="13"/>
  <c r="M100" i="13"/>
  <c r="M107" i="13"/>
  <c r="D91" i="12" s="1"/>
  <c r="F91" i="12" s="1"/>
  <c r="O107" i="13"/>
  <c r="V68" i="13"/>
  <c r="W68" i="13" s="1"/>
  <c r="X68" i="13" s="1"/>
  <c r="T68" i="13"/>
  <c r="T57" i="13"/>
  <c r="V57" i="13"/>
  <c r="W57" i="13" s="1"/>
  <c r="X57" i="13" s="1"/>
  <c r="AA51" i="13"/>
  <c r="AA38" i="13"/>
  <c r="D59" i="12"/>
  <c r="F59" i="12" s="1"/>
  <c r="V11" i="13"/>
  <c r="W11" i="13" s="1"/>
  <c r="X11" i="13" s="1"/>
  <c r="T11" i="13"/>
  <c r="AA83" i="13"/>
  <c r="O83" i="13"/>
  <c r="V41" i="13"/>
  <c r="W41" i="13" s="1"/>
  <c r="X41" i="13" s="1"/>
  <c r="T41" i="13"/>
  <c r="O103" i="13"/>
  <c r="M103" i="13"/>
  <c r="AA79" i="13"/>
  <c r="O79" i="13"/>
  <c r="V47" i="13"/>
  <c r="W47" i="13" s="1"/>
  <c r="X47" i="13" s="1"/>
  <c r="T47" i="13"/>
  <c r="AA23" i="13"/>
  <c r="O23" i="13"/>
  <c r="D32" i="12"/>
  <c r="D31" i="12"/>
  <c r="F31" i="12" s="1"/>
  <c r="D30" i="12"/>
  <c r="F30" i="12" s="1"/>
  <c r="D33" i="12"/>
  <c r="F33" i="12" s="1"/>
  <c r="T31" i="13"/>
  <c r="V31" i="13"/>
  <c r="W31" i="13" s="1"/>
  <c r="X31" i="13" s="1"/>
  <c r="O104" i="13"/>
  <c r="M104" i="13"/>
  <c r="V14" i="13"/>
  <c r="W14" i="13" s="1"/>
  <c r="X14" i="13" s="1"/>
  <c r="T14" i="13"/>
  <c r="AA40" i="13"/>
  <c r="O40" i="13"/>
  <c r="D60" i="12"/>
  <c r="F60" i="12" s="1"/>
  <c r="AA12" i="13"/>
  <c r="O12" i="13"/>
  <c r="D21" i="12"/>
  <c r="F21" i="12" s="1"/>
  <c r="O106" i="13"/>
  <c r="M106" i="13"/>
  <c r="D23" i="12"/>
  <c r="F23" i="12" s="1"/>
  <c r="AA24" i="13"/>
  <c r="O24" i="13"/>
  <c r="D8" i="12"/>
  <c r="F8" i="12" s="1"/>
  <c r="T27" i="13"/>
  <c r="V27" i="13"/>
  <c r="W27" i="13" s="1"/>
  <c r="X27" i="13" s="1"/>
  <c r="V43" i="13"/>
  <c r="W43" i="13" s="1"/>
  <c r="X43" i="13" s="1"/>
  <c r="T43" i="13"/>
  <c r="T75" i="13"/>
  <c r="V75" i="13"/>
  <c r="W75" i="13" s="1"/>
  <c r="X75" i="13" s="1"/>
  <c r="AA84" i="13"/>
  <c r="D83" i="12"/>
  <c r="D19" i="12"/>
  <c r="F19" i="12" s="1"/>
  <c r="V60" i="13"/>
  <c r="W60" i="13" s="1"/>
  <c r="X60" i="13" s="1"/>
  <c r="T60" i="13"/>
  <c r="AA16" i="13"/>
  <c r="D26" i="12"/>
  <c r="F26" i="12" s="1"/>
  <c r="T61" i="13"/>
  <c r="V61" i="13"/>
  <c r="W61" i="13" s="1"/>
  <c r="X61" i="13" s="1"/>
  <c r="T67" i="13"/>
  <c r="V67" i="13"/>
  <c r="W67" i="13" s="1"/>
  <c r="X67" i="13" s="1"/>
  <c r="V51" i="13"/>
  <c r="W51" i="13" s="1"/>
  <c r="X51" i="13" s="1"/>
  <c r="T51" i="13"/>
  <c r="T44" i="13"/>
  <c r="V44" i="13"/>
  <c r="W44" i="13" s="1"/>
  <c r="X44" i="13" s="1"/>
  <c r="AA56" i="13"/>
  <c r="AA29" i="13"/>
  <c r="T84" i="13"/>
  <c r="V84" i="13"/>
  <c r="W84" i="13" s="1"/>
  <c r="X84" i="13" s="1"/>
  <c r="D27" i="12"/>
  <c r="F27" i="12" s="1"/>
  <c r="AA33" i="13"/>
  <c r="D57" i="12"/>
  <c r="F57" i="12" s="1"/>
  <c r="T46" i="13"/>
  <c r="V46" i="13"/>
  <c r="W46" i="13" s="1"/>
  <c r="X46" i="13" s="1"/>
  <c r="T65" i="13"/>
  <c r="V65" i="13"/>
  <c r="W65" i="13" s="1"/>
  <c r="X65" i="13" s="1"/>
  <c r="AA15" i="13"/>
  <c r="O15" i="13"/>
  <c r="AA35" i="13"/>
  <c r="O35" i="13"/>
  <c r="D58" i="12"/>
  <c r="F58" i="12" s="1"/>
  <c r="AA28" i="13"/>
  <c r="O28" i="13"/>
  <c r="T33" i="13"/>
  <c r="V33" i="13"/>
  <c r="W33" i="13" s="1"/>
  <c r="X33" i="13" s="1"/>
  <c r="AA72" i="13"/>
  <c r="AA69" i="13"/>
  <c r="V38" i="13"/>
  <c r="W38" i="13" s="1"/>
  <c r="X38" i="13" s="1"/>
  <c r="T38" i="13"/>
  <c r="T56" i="13"/>
  <c r="V56" i="13"/>
  <c r="W56" i="13" s="1"/>
  <c r="X56" i="13" s="1"/>
  <c r="T29" i="13"/>
  <c r="V29" i="13"/>
  <c r="W29" i="13" s="1"/>
  <c r="X29" i="13" s="1"/>
  <c r="V45" i="13"/>
  <c r="W45" i="13" s="1"/>
  <c r="X45" i="13" s="1"/>
  <c r="T45" i="13"/>
  <c r="T69" i="13"/>
  <c r="V69" i="13"/>
  <c r="W69" i="13" s="1"/>
  <c r="X69" i="13" s="1"/>
  <c r="V63" i="13"/>
  <c r="W63" i="13" s="1"/>
  <c r="X63" i="13" s="1"/>
  <c r="T63" i="13"/>
  <c r="V49" i="13"/>
  <c r="W49" i="13" s="1"/>
  <c r="X49" i="13" s="1"/>
  <c r="T49" i="13"/>
  <c r="V72" i="13"/>
  <c r="W72" i="13" s="1"/>
  <c r="X72" i="13" s="1"/>
  <c r="T72" i="13"/>
  <c r="W81" i="13" l="1"/>
  <c r="X81" i="13" s="1"/>
  <c r="AA8" i="13"/>
  <c r="F14" i="12"/>
  <c r="E14" i="12"/>
  <c r="P96" i="13" s="1"/>
  <c r="F16" i="12"/>
  <c r="E16" i="12"/>
  <c r="P98" i="13" s="1"/>
  <c r="F12" i="12"/>
  <c r="E12" i="12"/>
  <c r="P94" i="13" s="1"/>
  <c r="F15" i="12"/>
  <c r="E15" i="12"/>
  <c r="P97" i="13" s="1"/>
  <c r="F13" i="12"/>
  <c r="E13" i="12"/>
  <c r="P95" i="13" s="1"/>
  <c r="O8" i="13"/>
  <c r="V8" i="13" s="1"/>
  <c r="W8" i="13" s="1"/>
  <c r="X8" i="13" s="1"/>
  <c r="E20" i="12"/>
  <c r="P8" i="13" s="1"/>
  <c r="R8" i="13" s="1"/>
  <c r="S8" i="13" s="1"/>
  <c r="F20" i="12"/>
  <c r="L7" i="13"/>
  <c r="K25" i="13"/>
  <c r="K89" i="13" s="1"/>
  <c r="F80" i="12"/>
  <c r="E35" i="12"/>
  <c r="P99" i="13" s="1"/>
  <c r="F35" i="12"/>
  <c r="D100" i="12"/>
  <c r="E99" i="12"/>
  <c r="P81" i="13" s="1"/>
  <c r="R81" i="13" s="1"/>
  <c r="S81" i="13" s="1"/>
  <c r="F99" i="12"/>
  <c r="E120" i="12"/>
  <c r="F120" i="12"/>
  <c r="F119" i="12"/>
  <c r="E119" i="12"/>
  <c r="T13" i="13"/>
  <c r="D86" i="12"/>
  <c r="D95" i="12" s="1"/>
  <c r="F95" i="12" s="1"/>
  <c r="AA86" i="13"/>
  <c r="E41" i="12"/>
  <c r="P102" i="13" s="1"/>
  <c r="AA85" i="13"/>
  <c r="L26" i="13"/>
  <c r="L88" i="13" s="1"/>
  <c r="E34" i="12"/>
  <c r="P22" i="13" s="1"/>
  <c r="F34" i="12"/>
  <c r="D94" i="12"/>
  <c r="F94" i="12" s="1"/>
  <c r="F83" i="12"/>
  <c r="E32" i="12"/>
  <c r="P20" i="13" s="1"/>
  <c r="F32" i="12"/>
  <c r="D102" i="12"/>
  <c r="F102" i="12" s="1"/>
  <c r="F56" i="12"/>
  <c r="T10" i="13"/>
  <c r="V30" i="13"/>
  <c r="W30" i="13" s="1"/>
  <c r="X30" i="13" s="1"/>
  <c r="V86" i="13"/>
  <c r="W86" i="13" s="1"/>
  <c r="X86" i="13" s="1"/>
  <c r="T86" i="13"/>
  <c r="V85" i="13"/>
  <c r="W85" i="13" s="1"/>
  <c r="X85" i="13" s="1"/>
  <c r="T85" i="13"/>
  <c r="L9" i="13"/>
  <c r="X87" i="13"/>
  <c r="W58" i="13"/>
  <c r="X58" i="13" s="1"/>
  <c r="J89" i="13"/>
  <c r="D40" i="12"/>
  <c r="D39" i="12"/>
  <c r="F39" i="12" s="1"/>
  <c r="D38" i="12"/>
  <c r="D76" i="12" s="1"/>
  <c r="F76" i="12" s="1"/>
  <c r="T83" i="13"/>
  <c r="V83" i="13"/>
  <c r="W83" i="13" s="1"/>
  <c r="X83" i="13" s="1"/>
  <c r="V40" i="13"/>
  <c r="W40" i="13" s="1"/>
  <c r="X40" i="13" s="1"/>
  <c r="T40" i="13"/>
  <c r="T12" i="13"/>
  <c r="V12" i="13"/>
  <c r="W12" i="13" s="1"/>
  <c r="X12" i="13" s="1"/>
  <c r="T16" i="13"/>
  <c r="V16" i="13"/>
  <c r="W16" i="13" s="1"/>
  <c r="X16" i="13" s="1"/>
  <c r="T24" i="13"/>
  <c r="V24" i="13"/>
  <c r="W24" i="13" s="1"/>
  <c r="T79" i="13"/>
  <c r="V79" i="13"/>
  <c r="W79" i="13" s="1"/>
  <c r="X79" i="13" s="1"/>
  <c r="T23" i="13"/>
  <c r="V23" i="13"/>
  <c r="W23" i="13" s="1"/>
  <c r="X23" i="13" s="1"/>
  <c r="T15" i="13"/>
  <c r="V15" i="13"/>
  <c r="W15" i="13" s="1"/>
  <c r="X15" i="13" s="1"/>
  <c r="T35" i="13"/>
  <c r="V35" i="13"/>
  <c r="W35" i="13" s="1"/>
  <c r="X35" i="13" s="1"/>
  <c r="T28" i="13"/>
  <c r="V28" i="13"/>
  <c r="W28" i="13" s="1"/>
  <c r="X28" i="13" s="1"/>
  <c r="E27" i="12"/>
  <c r="P19" i="13" s="1"/>
  <c r="E23" i="12"/>
  <c r="P18" i="13" s="1"/>
  <c r="E25" i="12"/>
  <c r="E93" i="12"/>
  <c r="E21" i="12"/>
  <c r="E26" i="12"/>
  <c r="P16" i="13" s="1"/>
  <c r="E22" i="12"/>
  <c r="E18" i="12"/>
  <c r="E19" i="12"/>
  <c r="Z81" i="13" l="1"/>
  <c r="Y81" i="13"/>
  <c r="U81" i="13"/>
  <c r="Y8" i="13"/>
  <c r="Z8" i="13"/>
  <c r="T8" i="13"/>
  <c r="U8" i="13" s="1"/>
  <c r="M7" i="13"/>
  <c r="D11" i="12" s="1"/>
  <c r="L25" i="13"/>
  <c r="L89" i="13" s="1"/>
  <c r="X24" i="13"/>
  <c r="F100" i="12"/>
  <c r="E100" i="12"/>
  <c r="F86" i="12"/>
  <c r="M26" i="13"/>
  <c r="AA26" i="13" s="1"/>
  <c r="E94" i="12"/>
  <c r="D89" i="12"/>
  <c r="F89" i="12" s="1"/>
  <c r="F38" i="12"/>
  <c r="D47" i="12"/>
  <c r="F47" i="12" s="1"/>
  <c r="F40" i="12"/>
  <c r="M9" i="13"/>
  <c r="R18" i="13"/>
  <c r="Z18" i="13"/>
  <c r="R19" i="13"/>
  <c r="Z19" i="13"/>
  <c r="P17" i="13"/>
  <c r="P13" i="13"/>
  <c r="P10" i="13"/>
  <c r="P12" i="13"/>
  <c r="P15" i="13"/>
  <c r="E38" i="12"/>
  <c r="E76" i="12" s="1"/>
  <c r="E39" i="12"/>
  <c r="P101" i="13" s="1"/>
  <c r="E40" i="12"/>
  <c r="E8" i="12"/>
  <c r="F11" i="12" l="1"/>
  <c r="E11" i="12"/>
  <c r="O7" i="13"/>
  <c r="AA7" i="13"/>
  <c r="E47" i="12"/>
  <c r="D54" i="12"/>
  <c r="F54" i="12" s="1"/>
  <c r="O26" i="13"/>
  <c r="T26" i="13" s="1"/>
  <c r="T88" i="13" s="1"/>
  <c r="D112" i="12"/>
  <c r="F112" i="12" s="1"/>
  <c r="AA9" i="13"/>
  <c r="D17" i="12"/>
  <c r="O9" i="13"/>
  <c r="U18" i="13"/>
  <c r="S18" i="13"/>
  <c r="Y18" i="13" s="1"/>
  <c r="S19" i="13"/>
  <c r="Y19" i="13" s="1"/>
  <c r="U19" i="13"/>
  <c r="R17" i="13"/>
  <c r="Z17" i="13"/>
  <c r="R16" i="13"/>
  <c r="Z16" i="13"/>
  <c r="R15" i="13"/>
  <c r="Z15" i="13"/>
  <c r="P14" i="13"/>
  <c r="R13" i="13"/>
  <c r="Z13" i="13"/>
  <c r="P24" i="13"/>
  <c r="R12" i="13"/>
  <c r="Z12" i="13"/>
  <c r="P11" i="13"/>
  <c r="R10" i="13"/>
  <c r="Z10" i="13"/>
  <c r="P79" i="13"/>
  <c r="P100" i="13"/>
  <c r="E57" i="12"/>
  <c r="P34" i="13" s="1"/>
  <c r="D73" i="12"/>
  <c r="F73" i="12" s="1"/>
  <c r="D108" i="12"/>
  <c r="D103" i="12"/>
  <c r="F103" i="12" s="1"/>
  <c r="D65" i="12"/>
  <c r="F65" i="12" s="1"/>
  <c r="E59" i="12"/>
  <c r="D67" i="12"/>
  <c r="F67" i="12" s="1"/>
  <c r="D105" i="12"/>
  <c r="F105" i="12" s="1"/>
  <c r="D110" i="12"/>
  <c r="E60" i="12"/>
  <c r="P50" i="13" s="1"/>
  <c r="D68" i="12"/>
  <c r="F68" i="12" s="1"/>
  <c r="E55" i="12"/>
  <c r="P52" i="13" s="1"/>
  <c r="D71" i="12"/>
  <c r="F71" i="12" s="1"/>
  <c r="D63" i="12"/>
  <c r="E30" i="12"/>
  <c r="R20" i="13" s="1"/>
  <c r="E31" i="12"/>
  <c r="E33" i="12"/>
  <c r="P21" i="13" s="1"/>
  <c r="E58" i="12"/>
  <c r="D74" i="12"/>
  <c r="D109" i="12"/>
  <c r="D104" i="12"/>
  <c r="F104" i="12" s="1"/>
  <c r="D66" i="12"/>
  <c r="E56" i="12"/>
  <c r="P54" i="13" s="1"/>
  <c r="D72" i="12"/>
  <c r="D64" i="12"/>
  <c r="D107" i="12"/>
  <c r="P7" i="13" l="1"/>
  <c r="R7" i="13" s="1"/>
  <c r="S7" i="13" s="1"/>
  <c r="V7" i="13"/>
  <c r="T7" i="13"/>
  <c r="E112" i="12"/>
  <c r="P82" i="13" s="1"/>
  <c r="V26" i="13"/>
  <c r="W26" i="13" s="1"/>
  <c r="W88" i="13" s="1"/>
  <c r="E109" i="12"/>
  <c r="F109" i="12"/>
  <c r="E107" i="12"/>
  <c r="F107" i="12"/>
  <c r="E66" i="12"/>
  <c r="P74" i="13" s="1"/>
  <c r="F66" i="12"/>
  <c r="E64" i="12"/>
  <c r="P65" i="13" s="1"/>
  <c r="F64" i="12"/>
  <c r="E63" i="12"/>
  <c r="P63" i="13" s="1"/>
  <c r="F63" i="12"/>
  <c r="E108" i="12"/>
  <c r="F108" i="12"/>
  <c r="E17" i="12"/>
  <c r="P9" i="13" s="1"/>
  <c r="R9" i="13" s="1"/>
  <c r="F17" i="12"/>
  <c r="E72" i="12"/>
  <c r="P69" i="13" s="1"/>
  <c r="F72" i="12"/>
  <c r="E74" i="12"/>
  <c r="F74" i="12"/>
  <c r="E110" i="12"/>
  <c r="F110" i="12"/>
  <c r="U20" i="13"/>
  <c r="S20" i="13"/>
  <c r="T9" i="13"/>
  <c r="V9" i="13"/>
  <c r="W9" i="13" s="1"/>
  <c r="P48" i="13"/>
  <c r="R48" i="13" s="1"/>
  <c r="Z50" i="13"/>
  <c r="R50" i="13"/>
  <c r="P55" i="13"/>
  <c r="Z55" i="13" s="1"/>
  <c r="P36" i="13"/>
  <c r="Z36" i="13" s="1"/>
  <c r="P39" i="13"/>
  <c r="R39" i="13" s="1"/>
  <c r="R52" i="13"/>
  <c r="Z52" i="13"/>
  <c r="R22" i="13"/>
  <c r="U22" i="13" s="1"/>
  <c r="Z22" i="13"/>
  <c r="R21" i="13"/>
  <c r="Z21" i="13"/>
  <c r="Z20" i="13"/>
  <c r="S17" i="13"/>
  <c r="Y17" i="13" s="1"/>
  <c r="U17" i="13"/>
  <c r="E71" i="12"/>
  <c r="E89" i="12"/>
  <c r="E73" i="12"/>
  <c r="P78" i="13" s="1"/>
  <c r="E91" i="12"/>
  <c r="P87" i="13" s="1"/>
  <c r="E86" i="12"/>
  <c r="D87" i="12"/>
  <c r="E95" i="12"/>
  <c r="E83" i="12"/>
  <c r="P84" i="13" s="1"/>
  <c r="P85" i="13" s="1"/>
  <c r="D84" i="12"/>
  <c r="P45" i="13"/>
  <c r="P31" i="13"/>
  <c r="P44" i="13"/>
  <c r="P53" i="13"/>
  <c r="P32" i="13"/>
  <c r="P30" i="13"/>
  <c r="P28" i="13"/>
  <c r="P29" i="13"/>
  <c r="P43" i="13"/>
  <c r="R24" i="13"/>
  <c r="Z24" i="13"/>
  <c r="R14" i="13"/>
  <c r="Z14" i="13"/>
  <c r="P23" i="13"/>
  <c r="P49" i="13"/>
  <c r="P37" i="13"/>
  <c r="P57" i="13"/>
  <c r="P38" i="13"/>
  <c r="S10" i="13"/>
  <c r="Y10" i="13" s="1"/>
  <c r="U10" i="13"/>
  <c r="S15" i="13"/>
  <c r="Y15" i="13" s="1"/>
  <c r="U15" i="13"/>
  <c r="P46" i="13"/>
  <c r="P33" i="13"/>
  <c r="R11" i="13"/>
  <c r="Z11" i="13"/>
  <c r="P47" i="13"/>
  <c r="P35" i="13"/>
  <c r="P56" i="13"/>
  <c r="P103" i="13"/>
  <c r="P40" i="13"/>
  <c r="S12" i="13"/>
  <c r="Y12" i="13" s="1"/>
  <c r="U12" i="13"/>
  <c r="S13" i="13"/>
  <c r="Y13" i="13" s="1"/>
  <c r="U13" i="13"/>
  <c r="S16" i="13"/>
  <c r="Y16" i="13" s="1"/>
  <c r="U16" i="13"/>
  <c r="R79" i="13"/>
  <c r="Z79" i="13"/>
  <c r="E105" i="12"/>
  <c r="E103" i="12"/>
  <c r="E68" i="12"/>
  <c r="E67" i="12"/>
  <c r="E104" i="12"/>
  <c r="E102" i="12"/>
  <c r="E65" i="12"/>
  <c r="P71" i="13" s="1"/>
  <c r="Z71" i="13" s="1"/>
  <c r="P80" i="13" l="1"/>
  <c r="Z80" i="13" s="1"/>
  <c r="X26" i="13"/>
  <c r="X88" i="13" s="1"/>
  <c r="U7" i="13"/>
  <c r="T25" i="13"/>
  <c r="T89" i="13" s="1"/>
  <c r="W7" i="13"/>
  <c r="Z7" i="13"/>
  <c r="P106" i="13"/>
  <c r="X9" i="13"/>
  <c r="S9" i="13"/>
  <c r="P62" i="13"/>
  <c r="R62" i="13" s="1"/>
  <c r="P72" i="13"/>
  <c r="R72" i="13" s="1"/>
  <c r="P66" i="13"/>
  <c r="Z66" i="13" s="1"/>
  <c r="P68" i="13"/>
  <c r="R68" i="13" s="1"/>
  <c r="P67" i="13"/>
  <c r="R67" i="13" s="1"/>
  <c r="R80" i="13"/>
  <c r="U80" i="13" s="1"/>
  <c r="E87" i="12"/>
  <c r="P105" i="13" s="1"/>
  <c r="F87" i="12"/>
  <c r="E84" i="12"/>
  <c r="F84" i="12"/>
  <c r="U9" i="13"/>
  <c r="Z9" i="13"/>
  <c r="Z74" i="13"/>
  <c r="R74" i="13"/>
  <c r="P76" i="13"/>
  <c r="P77" i="13"/>
  <c r="R77" i="13" s="1"/>
  <c r="R71" i="13"/>
  <c r="S71" i="13" s="1"/>
  <c r="Y71" i="13" s="1"/>
  <c r="Z48" i="13"/>
  <c r="Z34" i="13"/>
  <c r="R34" i="13"/>
  <c r="S50" i="13"/>
  <c r="Y50" i="13" s="1"/>
  <c r="U50" i="13"/>
  <c r="P64" i="13"/>
  <c r="Z64" i="13" s="1"/>
  <c r="P86" i="13"/>
  <c r="R86" i="13" s="1"/>
  <c r="R78" i="13"/>
  <c r="Z78" i="13"/>
  <c r="U48" i="13"/>
  <c r="S48" i="13"/>
  <c r="Y48" i="13" s="1"/>
  <c r="R55" i="13"/>
  <c r="U55" i="13" s="1"/>
  <c r="Z54" i="13"/>
  <c r="R54" i="13"/>
  <c r="R36" i="13"/>
  <c r="U36" i="13" s="1"/>
  <c r="Z39" i="13"/>
  <c r="S52" i="13"/>
  <c r="Y52" i="13" s="1"/>
  <c r="U52" i="13"/>
  <c r="R53" i="13"/>
  <c r="Z53" i="13"/>
  <c r="U39" i="13"/>
  <c r="S39" i="13"/>
  <c r="Y39" i="13" s="1"/>
  <c r="S21" i="13"/>
  <c r="Y21" i="13" s="1"/>
  <c r="U21" i="13"/>
  <c r="Y20" i="13"/>
  <c r="S22" i="13"/>
  <c r="Y22" i="13" s="1"/>
  <c r="Z84" i="13"/>
  <c r="R84" i="13"/>
  <c r="U84" i="13" s="1"/>
  <c r="P70" i="13"/>
  <c r="R35" i="13"/>
  <c r="Z35" i="13"/>
  <c r="R69" i="13"/>
  <c r="Z69" i="13"/>
  <c r="R57" i="13"/>
  <c r="Z57" i="13"/>
  <c r="R43" i="13"/>
  <c r="Z43" i="13"/>
  <c r="R30" i="13"/>
  <c r="Z30" i="13"/>
  <c r="R31" i="13"/>
  <c r="Z31" i="13"/>
  <c r="P75" i="13"/>
  <c r="R47" i="13"/>
  <c r="Z47" i="13"/>
  <c r="R37" i="13"/>
  <c r="Z37" i="13"/>
  <c r="R65" i="13"/>
  <c r="Z65" i="13"/>
  <c r="S14" i="13"/>
  <c r="Y14" i="13" s="1"/>
  <c r="U14" i="13"/>
  <c r="R29" i="13"/>
  <c r="Z29" i="13"/>
  <c r="R32" i="13"/>
  <c r="Z32" i="13"/>
  <c r="P104" i="13"/>
  <c r="R33" i="13"/>
  <c r="Z33" i="13"/>
  <c r="R63" i="13"/>
  <c r="Z63" i="13"/>
  <c r="R23" i="13"/>
  <c r="R25" i="13" s="1"/>
  <c r="Z23" i="13"/>
  <c r="R85" i="13"/>
  <c r="Z85" i="13"/>
  <c r="R45" i="13"/>
  <c r="Z45" i="13"/>
  <c r="R40" i="13"/>
  <c r="Z40" i="13"/>
  <c r="R56" i="13"/>
  <c r="Z56" i="13"/>
  <c r="S11" i="13"/>
  <c r="Y11" i="13" s="1"/>
  <c r="U11" i="13"/>
  <c r="R46" i="13"/>
  <c r="Z46" i="13"/>
  <c r="R38" i="13"/>
  <c r="Z38" i="13"/>
  <c r="R49" i="13"/>
  <c r="Z49" i="13"/>
  <c r="S24" i="13"/>
  <c r="Y24" i="13" s="1"/>
  <c r="U24" i="13"/>
  <c r="R28" i="13"/>
  <c r="Z28" i="13"/>
  <c r="R44" i="13"/>
  <c r="Z44" i="13"/>
  <c r="S79" i="13"/>
  <c r="U79" i="13"/>
  <c r="D62" i="12"/>
  <c r="D70" i="12"/>
  <c r="E54" i="12"/>
  <c r="X7" i="13" l="1"/>
  <c r="W25" i="13"/>
  <c r="W89" i="13" s="1"/>
  <c r="Y9" i="13"/>
  <c r="Z62" i="13"/>
  <c r="Z72" i="13"/>
  <c r="Z67" i="13"/>
  <c r="S80" i="13"/>
  <c r="Y80" i="13" s="1"/>
  <c r="Z68" i="13"/>
  <c r="E70" i="12"/>
  <c r="P61" i="13" s="1"/>
  <c r="F70" i="12"/>
  <c r="F62" i="12"/>
  <c r="Z87" i="13"/>
  <c r="R87" i="13"/>
  <c r="S74" i="13"/>
  <c r="Y74" i="13" s="1"/>
  <c r="U74" i="13"/>
  <c r="Z77" i="13"/>
  <c r="U71" i="13"/>
  <c r="Z76" i="13"/>
  <c r="R76" i="13"/>
  <c r="S34" i="13"/>
  <c r="Y34" i="13" s="1"/>
  <c r="U34" i="13"/>
  <c r="S77" i="13"/>
  <c r="Y77" i="13" s="1"/>
  <c r="U77" i="13"/>
  <c r="R66" i="13"/>
  <c r="S66" i="13" s="1"/>
  <c r="Y66" i="13" s="1"/>
  <c r="R64" i="13"/>
  <c r="S64" i="13" s="1"/>
  <c r="Y64" i="13" s="1"/>
  <c r="Z86" i="13"/>
  <c r="Z82" i="13"/>
  <c r="R82" i="13"/>
  <c r="S78" i="13"/>
  <c r="Y78" i="13" s="1"/>
  <c r="U78" i="13"/>
  <c r="S55" i="13"/>
  <c r="Y55" i="13" s="1"/>
  <c r="S36" i="13"/>
  <c r="Y36" i="13" s="1"/>
  <c r="U54" i="13"/>
  <c r="S54" i="13"/>
  <c r="Y54" i="13" s="1"/>
  <c r="S53" i="13"/>
  <c r="Y53" i="13" s="1"/>
  <c r="U53" i="13"/>
  <c r="S86" i="13"/>
  <c r="Y86" i="13" s="1"/>
  <c r="U86" i="13"/>
  <c r="S84" i="13"/>
  <c r="Y84" i="13" s="1"/>
  <c r="E62" i="12"/>
  <c r="R75" i="13"/>
  <c r="Z75" i="13"/>
  <c r="R70" i="13"/>
  <c r="Z70" i="13"/>
  <c r="P27" i="13"/>
  <c r="P26" i="13"/>
  <c r="P42" i="13"/>
  <c r="P41" i="13"/>
  <c r="P51" i="13"/>
  <c r="S44" i="13"/>
  <c r="Y44" i="13" s="1"/>
  <c r="U44" i="13"/>
  <c r="S38" i="13"/>
  <c r="Y38" i="13" s="1"/>
  <c r="U38" i="13"/>
  <c r="S46" i="13"/>
  <c r="Y46" i="13" s="1"/>
  <c r="U46" i="13"/>
  <c r="S56" i="13"/>
  <c r="Y56" i="13" s="1"/>
  <c r="U56" i="13"/>
  <c r="S85" i="13"/>
  <c r="Y85" i="13" s="1"/>
  <c r="U85" i="13"/>
  <c r="S33" i="13"/>
  <c r="Y33" i="13" s="1"/>
  <c r="U33" i="13"/>
  <c r="S29" i="13"/>
  <c r="Y29" i="13" s="1"/>
  <c r="U29" i="13"/>
  <c r="S37" i="13"/>
  <c r="Y37" i="13" s="1"/>
  <c r="U37" i="13"/>
  <c r="S30" i="13"/>
  <c r="Y30" i="13" s="1"/>
  <c r="U30" i="13"/>
  <c r="S67" i="13"/>
  <c r="Y67" i="13" s="1"/>
  <c r="U67" i="13"/>
  <c r="S28" i="13"/>
  <c r="Y28" i="13" s="1"/>
  <c r="U28" i="13"/>
  <c r="S49" i="13"/>
  <c r="Y49" i="13" s="1"/>
  <c r="U49" i="13"/>
  <c r="S68" i="13"/>
  <c r="Y68" i="13" s="1"/>
  <c r="U68" i="13"/>
  <c r="S40" i="13"/>
  <c r="Y40" i="13" s="1"/>
  <c r="U40" i="13"/>
  <c r="S45" i="13"/>
  <c r="Y45" i="13" s="1"/>
  <c r="U45" i="13"/>
  <c r="S23" i="13"/>
  <c r="Y23" i="13" s="1"/>
  <c r="U23" i="13"/>
  <c r="U25" i="13" s="1"/>
  <c r="S63" i="13"/>
  <c r="Y63" i="13" s="1"/>
  <c r="U63" i="13"/>
  <c r="S72" i="13"/>
  <c r="Y72" i="13" s="1"/>
  <c r="U72" i="13"/>
  <c r="S32" i="13"/>
  <c r="Y32" i="13" s="1"/>
  <c r="U32" i="13"/>
  <c r="S65" i="13"/>
  <c r="Y65" i="13" s="1"/>
  <c r="U65" i="13"/>
  <c r="S62" i="13"/>
  <c r="Y62" i="13" s="1"/>
  <c r="U62" i="13"/>
  <c r="S47" i="13"/>
  <c r="Y47" i="13" s="1"/>
  <c r="U47" i="13"/>
  <c r="S31" i="13"/>
  <c r="Y31" i="13" s="1"/>
  <c r="U31" i="13"/>
  <c r="S43" i="13"/>
  <c r="Y43" i="13" s="1"/>
  <c r="U43" i="13"/>
  <c r="S57" i="13"/>
  <c r="Y57" i="13" s="1"/>
  <c r="U57" i="13"/>
  <c r="S69" i="13"/>
  <c r="Y69" i="13" s="1"/>
  <c r="U69" i="13"/>
  <c r="S35" i="13"/>
  <c r="Y35" i="13" s="1"/>
  <c r="U35" i="13"/>
  <c r="Y79" i="13"/>
  <c r="Y7" i="13" l="1"/>
  <c r="X25" i="13"/>
  <c r="X89" i="13" s="1"/>
  <c r="S25" i="13"/>
  <c r="E114" i="12"/>
  <c r="P107" i="13" s="1"/>
  <c r="F114" i="12"/>
  <c r="U87" i="13"/>
  <c r="S87" i="13"/>
  <c r="Y87" i="13" s="1"/>
  <c r="U64" i="13"/>
  <c r="S76" i="13"/>
  <c r="Y76" i="13" s="1"/>
  <c r="U76" i="13"/>
  <c r="U66" i="13"/>
  <c r="P59" i="13"/>
  <c r="Z59" i="13" s="1"/>
  <c r="P58" i="13"/>
  <c r="S82" i="13"/>
  <c r="Y82" i="13" s="1"/>
  <c r="U82" i="13"/>
  <c r="P60" i="13"/>
  <c r="Z60" i="13" s="1"/>
  <c r="E80" i="12"/>
  <c r="P83" i="13" s="1"/>
  <c r="D81" i="12"/>
  <c r="R61" i="13"/>
  <c r="Z61" i="13"/>
  <c r="R42" i="13"/>
  <c r="Z42" i="13"/>
  <c r="S70" i="13"/>
  <c r="Y70" i="13" s="1"/>
  <c r="U70" i="13"/>
  <c r="R51" i="13"/>
  <c r="Z51" i="13"/>
  <c r="R26" i="13"/>
  <c r="Z26" i="13"/>
  <c r="R41" i="13"/>
  <c r="Z41" i="13"/>
  <c r="R27" i="13"/>
  <c r="Z27" i="13"/>
  <c r="S75" i="13"/>
  <c r="Y75" i="13" s="1"/>
  <c r="U75" i="13"/>
  <c r="Y25" i="13" l="1"/>
  <c r="E118" i="13"/>
  <c r="E81" i="12"/>
  <c r="F81" i="12"/>
  <c r="R59" i="13"/>
  <c r="U59" i="13" s="1"/>
  <c r="B69" i="4"/>
  <c r="B73" i="4"/>
  <c r="B74" i="4" s="1"/>
  <c r="R58" i="13"/>
  <c r="Z58" i="13"/>
  <c r="R60" i="13"/>
  <c r="S60" i="13" s="1"/>
  <c r="Y60" i="13" s="1"/>
  <c r="R83" i="13"/>
  <c r="Z83" i="13"/>
  <c r="S61" i="13"/>
  <c r="Y61" i="13" s="1"/>
  <c r="U61" i="13"/>
  <c r="S51" i="13"/>
  <c r="Y51" i="13" s="1"/>
  <c r="U51" i="13"/>
  <c r="S41" i="13"/>
  <c r="Y41" i="13" s="1"/>
  <c r="U41" i="13"/>
  <c r="S26" i="13"/>
  <c r="U26" i="13"/>
  <c r="S27" i="13"/>
  <c r="Y27" i="13" s="1"/>
  <c r="U27" i="13"/>
  <c r="S42" i="13"/>
  <c r="Y42" i="13" s="1"/>
  <c r="U42" i="13"/>
  <c r="F118" i="13" l="1"/>
  <c r="S59" i="13"/>
  <c r="Y59" i="13" s="1"/>
  <c r="R88" i="13"/>
  <c r="R89" i="13" s="1"/>
  <c r="S58" i="13"/>
  <c r="Y58" i="13" s="1"/>
  <c r="U58" i="13"/>
  <c r="U60" i="13"/>
  <c r="U83" i="13"/>
  <c r="S83" i="13"/>
  <c r="Y83" i="13" s="1"/>
  <c r="Y26" i="13"/>
  <c r="U88" i="13" l="1"/>
  <c r="U89" i="13" s="1"/>
  <c r="S88" i="13"/>
  <c r="E119" i="13" s="1"/>
  <c r="E120" i="13" s="1"/>
  <c r="Y88" i="13" l="1"/>
  <c r="S89" i="13"/>
  <c r="Y89" i="13" s="1"/>
  <c r="E127" i="13"/>
  <c r="F119" i="13"/>
  <c r="B70" i="4"/>
  <c r="C70" i="4" s="1"/>
  <c r="AZ9" i="18"/>
  <c r="AX2" i="18"/>
  <c r="AY2" i="19" s="1"/>
  <c r="AZ2" i="18" l="1"/>
  <c r="AT142" i="18" l="1"/>
  <c r="AU142" i="18" s="1"/>
  <c r="AV142" i="18" s="1"/>
  <c r="AT153" i="18"/>
  <c r="AU153" i="18" s="1"/>
  <c r="AV153" i="18" s="1"/>
  <c r="AT81" i="18"/>
  <c r="AU81" i="18" s="1"/>
  <c r="AV81" i="18" s="1"/>
  <c r="AT115" i="18"/>
  <c r="AU115" i="18" s="1"/>
  <c r="AV115" i="18" s="1"/>
  <c r="AT25" i="18"/>
  <c r="AU25" i="18" s="1"/>
  <c r="AV25" i="18" s="1"/>
  <c r="AT114" i="18"/>
  <c r="AU114" i="18" s="1"/>
  <c r="AV114" i="18" s="1"/>
  <c r="AT22" i="18"/>
  <c r="AU22" i="18" s="1"/>
  <c r="AV22" i="18" s="1"/>
  <c r="AT91" i="18"/>
  <c r="AU91" i="18" s="1"/>
  <c r="AV91" i="18" s="1"/>
  <c r="AT75" i="18"/>
  <c r="AU75" i="18" s="1"/>
  <c r="AV75" i="18" s="1"/>
  <c r="AT47" i="18"/>
  <c r="AU47" i="18" s="1"/>
  <c r="AV47" i="18" s="1"/>
  <c r="AT133" i="18"/>
  <c r="AU133" i="18" s="1"/>
  <c r="AV133" i="18" s="1"/>
  <c r="AT131" i="18"/>
  <c r="AU131" i="18" s="1"/>
  <c r="AV131" i="18" s="1"/>
  <c r="AT123" i="18"/>
  <c r="AU123" i="18" s="1"/>
  <c r="AV123" i="18" s="1"/>
  <c r="AT33" i="18"/>
  <c r="AU33" i="18" s="1"/>
  <c r="AV33" i="18" s="1"/>
  <c r="AT110" i="18"/>
  <c r="AU110" i="18" s="1"/>
  <c r="AV110" i="18" s="1"/>
  <c r="AT108" i="18"/>
  <c r="AU108" i="18" s="1"/>
  <c r="AV108" i="18" s="1"/>
  <c r="AT136" i="18"/>
  <c r="AU136" i="18" s="1"/>
  <c r="AV136" i="18" s="1"/>
  <c r="AT147" i="18"/>
  <c r="AU147" i="18" s="1"/>
  <c r="AV147" i="18" s="1"/>
  <c r="AT53" i="18"/>
  <c r="AU53" i="18" s="1"/>
  <c r="AV53" i="18" s="1"/>
  <c r="AT129" i="18"/>
  <c r="AU129" i="18" s="1"/>
  <c r="AV129" i="18" s="1"/>
  <c r="AT125" i="18"/>
  <c r="AU125" i="18" s="1"/>
  <c r="AV125" i="18" s="1"/>
  <c r="AT105" i="18"/>
  <c r="AU105" i="18" s="1"/>
  <c r="AV105" i="18" s="1"/>
  <c r="AT96" i="18"/>
  <c r="AU96" i="18" s="1"/>
  <c r="AV96" i="18" s="1"/>
  <c r="AT140" i="18"/>
  <c r="AU140" i="18" s="1"/>
  <c r="AV140" i="18" s="1"/>
  <c r="AT93" i="18"/>
  <c r="AU93" i="18" s="1"/>
  <c r="AV93" i="18" s="1"/>
  <c r="AT67" i="18"/>
  <c r="AU67" i="18" s="1"/>
  <c r="AV67" i="18" s="1"/>
  <c r="AT83" i="18"/>
  <c r="AU83" i="18" s="1"/>
  <c r="AV83" i="18" s="1"/>
  <c r="AT27" i="18"/>
  <c r="AU27" i="18" s="1"/>
  <c r="AV27" i="18" s="1"/>
  <c r="AT72" i="18"/>
  <c r="AU72" i="18" s="1"/>
  <c r="AV72" i="18" s="1"/>
  <c r="AT65" i="18"/>
  <c r="AU65" i="18" s="1"/>
  <c r="AV65" i="18" s="1"/>
  <c r="AT127" i="18"/>
  <c r="AU127" i="18" s="1"/>
  <c r="AV127" i="18" s="1"/>
  <c r="AT86" i="18"/>
  <c r="AU86" i="18" s="1"/>
  <c r="AV86" i="18" s="1"/>
  <c r="AT74" i="18"/>
  <c r="AU74" i="18" s="1"/>
  <c r="AV74" i="18" s="1"/>
  <c r="AT38" i="18"/>
  <c r="AU38" i="18" s="1"/>
  <c r="AV38" i="18" s="1"/>
  <c r="AT76" i="18"/>
  <c r="AU76" i="18" s="1"/>
  <c r="AV76" i="18" s="1"/>
  <c r="AT89" i="18"/>
  <c r="AU89" i="18" s="1"/>
  <c r="AV89" i="18" s="1"/>
  <c r="AT31" i="18"/>
  <c r="AU31" i="18" s="1"/>
  <c r="AV31" i="18" s="1"/>
  <c r="AT152" i="18"/>
  <c r="AU152" i="18" s="1"/>
  <c r="AV152" i="18" s="1"/>
  <c r="AT98" i="18"/>
  <c r="AU98" i="18" s="1"/>
  <c r="AV98" i="18" s="1"/>
  <c r="AT101" i="18"/>
  <c r="AU101" i="18" s="1"/>
  <c r="AV101" i="18" s="1"/>
  <c r="AT94" i="18"/>
  <c r="AU94" i="18" s="1"/>
  <c r="AV94" i="18" s="1"/>
  <c r="AT14" i="18"/>
  <c r="AU14" i="18" s="1"/>
  <c r="AV14" i="18" s="1"/>
  <c r="AT35" i="18"/>
  <c r="AU35" i="18" s="1"/>
  <c r="AV35" i="18" s="1"/>
  <c r="AT39" i="18"/>
  <c r="AU39" i="18" s="1"/>
  <c r="AV39" i="18" s="1"/>
  <c r="AT44" i="18"/>
  <c r="AU44" i="18" s="1"/>
  <c r="AV44" i="18" s="1"/>
  <c r="AT138" i="18"/>
  <c r="AU138" i="18" s="1"/>
  <c r="AV138" i="18" s="1"/>
  <c r="AT29" i="18"/>
  <c r="AU29" i="18" s="1"/>
  <c r="AV29" i="18" s="1"/>
  <c r="AT21" i="18"/>
  <c r="AU21" i="18" s="1"/>
  <c r="AV21" i="18" s="1"/>
  <c r="AT88" i="18"/>
  <c r="AU88" i="18" s="1"/>
  <c r="AV88" i="18" s="1"/>
  <c r="AT154" i="18"/>
  <c r="AU154" i="18" s="1"/>
  <c r="AV154" i="18" s="1"/>
  <c r="AT71" i="18"/>
  <c r="AU71" i="18" s="1"/>
  <c r="AV71" i="18" s="1"/>
  <c r="AT146" i="18"/>
  <c r="AU146" i="18" s="1"/>
  <c r="AV146" i="18" s="1"/>
  <c r="AT149" i="18"/>
  <c r="AU149" i="18" s="1"/>
  <c r="AV149" i="18" s="1"/>
  <c r="AT78" i="18"/>
  <c r="AU78" i="18" s="1"/>
  <c r="AV78" i="18" s="1"/>
  <c r="AT143" i="18"/>
  <c r="AU143" i="18" s="1"/>
  <c r="AV143" i="18" s="1"/>
  <c r="AT36" i="18"/>
  <c r="AU36" i="18" s="1"/>
  <c r="AV36" i="18" s="1"/>
  <c r="AT107" i="18"/>
  <c r="AU107" i="18" s="1"/>
  <c r="AV107" i="18" s="1"/>
  <c r="AT82" i="18"/>
  <c r="AU82" i="18" s="1"/>
  <c r="AV82" i="18" s="1"/>
  <c r="AT134" i="18"/>
  <c r="AU134" i="18" s="1"/>
  <c r="AV134" i="18" s="1"/>
  <c r="AT79" i="18"/>
  <c r="AU79" i="18" s="1"/>
  <c r="AV79" i="18" s="1"/>
  <c r="AT28" i="18"/>
  <c r="AU28" i="18" s="1"/>
  <c r="AV28" i="18" s="1"/>
  <c r="AT43" i="18"/>
  <c r="AU43" i="18" s="1"/>
  <c r="AV43" i="18" s="1"/>
  <c r="AT61" i="18"/>
  <c r="AU61" i="18" s="1"/>
  <c r="AT130" i="18"/>
  <c r="AU130" i="18" s="1"/>
  <c r="AV130" i="18" s="1"/>
  <c r="AT128" i="18"/>
  <c r="AU128" i="18" s="1"/>
  <c r="AV128" i="18" s="1"/>
  <c r="AT17" i="18"/>
  <c r="AU17" i="18" s="1"/>
  <c r="AV17" i="18" s="1"/>
  <c r="AT62" i="18"/>
  <c r="AU62" i="18" s="1"/>
  <c r="AV62" i="18" s="1"/>
  <c r="AT18" i="18"/>
  <c r="AU18" i="18" s="1"/>
  <c r="AV18" i="18" s="1"/>
  <c r="AT90" i="18"/>
  <c r="AU90" i="18" s="1"/>
  <c r="AV90" i="18" s="1"/>
  <c r="AT40" i="18"/>
  <c r="AU40" i="18" s="1"/>
  <c r="AV40" i="18" s="1"/>
  <c r="AT19" i="18"/>
  <c r="AU19" i="18" s="1"/>
  <c r="AV19" i="18" s="1"/>
  <c r="AT34" i="18"/>
  <c r="AU34" i="18" s="1"/>
  <c r="AV34" i="18" s="1"/>
  <c r="AT84" i="18"/>
  <c r="AU84" i="18" s="1"/>
  <c r="AV84" i="18" s="1"/>
  <c r="AT16" i="18"/>
  <c r="AU16" i="18" s="1"/>
  <c r="AV16" i="18" s="1"/>
  <c r="AT85" i="18"/>
  <c r="AU85" i="18" s="1"/>
  <c r="AV85" i="18" s="1"/>
  <c r="AT20" i="18"/>
  <c r="AU20" i="18" s="1"/>
  <c r="AV20" i="18" s="1"/>
  <c r="AT106" i="18"/>
  <c r="AU106" i="18" s="1"/>
  <c r="AV106" i="18" s="1"/>
  <c r="AT103" i="18"/>
  <c r="AU103" i="18" s="1"/>
  <c r="AV103" i="18" s="1"/>
  <c r="AT73" i="18"/>
  <c r="AU73" i="18" s="1"/>
  <c r="AV73" i="18" s="1"/>
  <c r="AT15" i="18"/>
  <c r="AU15" i="18" s="1"/>
  <c r="AV15" i="18" s="1"/>
  <c r="AT113" i="18"/>
  <c r="AU113" i="18" s="1"/>
  <c r="AV113" i="18" s="1"/>
  <c r="AT111" i="18"/>
  <c r="AU111" i="18" s="1"/>
  <c r="AV111" i="18" s="1"/>
  <c r="AT42" i="18"/>
  <c r="AU42" i="18" s="1"/>
  <c r="AV42" i="18" s="1"/>
  <c r="AT80" i="18"/>
  <c r="AU80" i="18" s="1"/>
  <c r="AV80" i="18" s="1"/>
  <c r="AT37" i="18"/>
  <c r="AU37" i="18" s="1"/>
  <c r="AV37" i="18" s="1"/>
  <c r="AT92" i="18"/>
  <c r="AU92" i="18" s="1"/>
  <c r="AV92" i="18" s="1"/>
  <c r="AT118" i="18"/>
  <c r="AU118" i="18" s="1"/>
  <c r="AV118" i="18" s="1"/>
  <c r="AT135" i="18"/>
  <c r="AU135" i="18" s="1"/>
  <c r="AV135" i="18" s="1"/>
  <c r="AT151" i="18"/>
  <c r="AU151" i="18" s="1"/>
  <c r="AV151" i="18" s="1"/>
  <c r="AT69" i="18"/>
  <c r="AU69" i="18" s="1"/>
  <c r="AV69" i="18" s="1"/>
  <c r="AT95" i="18"/>
  <c r="AU95" i="18" s="1"/>
  <c r="AV95" i="18" s="1"/>
  <c r="AT45" i="18"/>
  <c r="AU45" i="18" s="1"/>
  <c r="AV45" i="18" s="1"/>
  <c r="AT100" i="18"/>
  <c r="AU100" i="18" s="1"/>
  <c r="AV100" i="18" s="1"/>
  <c r="AT87" i="18"/>
  <c r="AU87" i="18" s="1"/>
  <c r="AV87" i="18" s="1"/>
  <c r="AT68" i="18"/>
  <c r="AU68" i="18" s="1"/>
  <c r="AV68" i="18" s="1"/>
  <c r="AT104" i="18"/>
  <c r="AU104" i="18" s="1"/>
  <c r="AV104" i="18" s="1"/>
  <c r="AT32" i="18"/>
  <c r="AU32" i="18" s="1"/>
  <c r="AV32" i="18" s="1"/>
  <c r="AT70" i="18"/>
  <c r="AU70" i="18" s="1"/>
  <c r="AV70" i="18" s="1"/>
  <c r="AT141" i="18"/>
  <c r="AU141" i="18" s="1"/>
  <c r="AV141" i="18" s="1"/>
  <c r="AT26" i="18"/>
  <c r="AU26" i="18" s="1"/>
  <c r="AV26" i="18" s="1"/>
  <c r="AT41" i="18"/>
  <c r="AU41" i="18" s="1"/>
  <c r="AV41" i="18" s="1"/>
  <c r="AT117" i="18"/>
  <c r="AU117" i="18" s="1"/>
  <c r="AV117" i="18" s="1"/>
  <c r="AT112" i="18"/>
  <c r="AU112" i="18" s="1"/>
  <c r="AV112" i="18" s="1"/>
  <c r="AT132" i="18"/>
  <c r="AU132" i="18" s="1"/>
  <c r="AV132" i="18" s="1"/>
  <c r="AT145" i="18"/>
  <c r="AU145" i="18" s="1"/>
  <c r="AV145" i="18" s="1"/>
  <c r="AT30" i="18"/>
  <c r="AU30" i="18" s="1"/>
  <c r="AV30" i="18" s="1"/>
  <c r="AT77" i="18"/>
  <c r="AU77" i="18" s="1"/>
  <c r="AV77" i="18" s="1"/>
  <c r="AT109" i="18"/>
  <c r="AU109" i="18" s="1"/>
  <c r="AV109" i="18" s="1"/>
  <c r="AT150" i="18"/>
  <c r="AU150" i="18" s="1"/>
  <c r="AV150" i="18" s="1"/>
  <c r="AT120" i="18"/>
  <c r="AU120" i="18" s="1"/>
  <c r="AV120" i="18" s="1"/>
  <c r="AT124" i="18"/>
  <c r="AU124" i="18" s="1"/>
  <c r="AV124" i="18" s="1"/>
  <c r="AT119" i="18"/>
  <c r="AU119" i="18" s="1"/>
  <c r="AV119" i="18" s="1"/>
  <c r="AT63" i="18"/>
  <c r="AU63" i="18" s="1"/>
  <c r="AV63" i="18" s="1"/>
  <c r="AT99" i="18"/>
  <c r="AU99" i="18" s="1"/>
  <c r="AV99" i="18" s="1"/>
  <c r="BA2" i="19"/>
  <c r="AT137" i="18"/>
  <c r="AU137" i="18" s="1"/>
  <c r="AV137" i="18" s="1"/>
  <c r="AT116" i="18"/>
  <c r="AU116" i="18" s="1"/>
  <c r="AV116" i="18" s="1"/>
  <c r="AT46" i="18"/>
  <c r="AU46" i="18" s="1"/>
  <c r="AV46" i="18" s="1"/>
  <c r="AT121" i="18"/>
  <c r="AU121" i="18" s="1"/>
  <c r="AV121" i="18" s="1"/>
  <c r="AT144" i="18"/>
  <c r="AU144" i="18" s="1"/>
  <c r="AV144" i="18" s="1"/>
  <c r="AT13" i="18"/>
  <c r="AU13" i="18" s="1"/>
  <c r="AT64" i="18"/>
  <c r="AU64" i="18" s="1"/>
  <c r="AV64" i="18" s="1"/>
  <c r="AT126" i="18"/>
  <c r="AU126" i="18" s="1"/>
  <c r="AV126" i="18" s="1"/>
  <c r="AT52" i="18"/>
  <c r="AU52" i="18" s="1"/>
  <c r="AT122" i="18"/>
  <c r="AU122" i="18" s="1"/>
  <c r="AV122" i="18" s="1"/>
  <c r="AT23" i="18"/>
  <c r="AU23" i="18" s="1"/>
  <c r="AV23" i="18" s="1"/>
  <c r="AT139" i="18"/>
  <c r="AU139" i="18" s="1"/>
  <c r="AV139" i="18" s="1"/>
  <c r="AT66" i="18"/>
  <c r="AU66" i="18" s="1"/>
  <c r="AV66" i="18" s="1"/>
  <c r="AT24" i="18"/>
  <c r="AU24" i="18" s="1"/>
  <c r="AV24" i="18" s="1"/>
  <c r="AT148" i="18"/>
  <c r="AU148" i="18" s="1"/>
  <c r="AV148" i="18" s="1"/>
  <c r="AT102" i="18"/>
  <c r="AU102" i="18" s="1"/>
  <c r="AV102" i="18" s="1"/>
  <c r="AT97" i="18"/>
  <c r="AU97" i="18" s="1"/>
  <c r="AV97" i="18" s="1"/>
  <c r="AV13" i="18" l="1"/>
  <c r="AV49" i="18" s="1"/>
  <c r="AU49" i="18"/>
  <c r="AV52" i="18"/>
  <c r="AV55" i="18" s="1"/>
  <c r="AU55" i="18"/>
  <c r="AU17" i="19"/>
  <c r="AV17" i="19" s="1"/>
  <c r="AW17" i="19" s="1"/>
  <c r="AU47" i="19"/>
  <c r="AU18" i="19"/>
  <c r="AV18" i="19" s="1"/>
  <c r="AW18" i="19" s="1"/>
  <c r="AU19" i="19"/>
  <c r="AV19" i="19" s="1"/>
  <c r="AW19" i="19" s="1"/>
  <c r="AU14" i="19"/>
  <c r="AV14" i="19" s="1"/>
  <c r="AW14" i="19" s="1"/>
  <c r="AU15" i="19"/>
  <c r="AV15" i="19" s="1"/>
  <c r="AW15" i="19" s="1"/>
  <c r="AU52" i="19"/>
  <c r="AU12" i="19"/>
  <c r="AV12" i="19" s="1"/>
  <c r="AW12" i="19" s="1"/>
  <c r="AU16" i="19"/>
  <c r="AV16" i="19" s="1"/>
  <c r="AW16" i="19" s="1"/>
  <c r="AU13" i="19"/>
  <c r="AV13" i="19" s="1"/>
  <c r="AW13" i="19" s="1"/>
  <c r="AU11" i="19"/>
  <c r="AV11" i="19" s="1"/>
  <c r="AV61" i="18"/>
  <c r="AV155" i="18" s="1"/>
  <c r="AU155" i="18"/>
  <c r="AV195" i="18" l="1"/>
  <c r="AU195" i="18"/>
  <c r="AW11" i="19"/>
  <c r="AW21" i="19" s="1"/>
  <c r="AW71" i="19" s="1"/>
  <c r="AV196" i="18" s="1"/>
  <c r="AV21" i="19"/>
  <c r="AV71" i="19" s="1"/>
  <c r="AU196" i="18" s="1"/>
  <c r="AU197" i="18" l="1"/>
  <c r="AZ8" i="18" s="1"/>
  <c r="AZ10" i="18" s="1"/>
  <c r="AV197" i="18"/>
  <c r="BA2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E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Artem Savka</author>
  </authors>
  <commentList>
    <comment ref="AL13" authorId="0" shapeId="0" xr:uid="{CAB90D10-1ECA-4781-9F13-FAC8BAF9557A}">
      <text>
        <r>
          <rPr>
            <b/>
            <sz val="9"/>
            <color indexed="81"/>
            <rFont val="Tahoma"/>
            <family val="2"/>
          </rPr>
          <t>Artem Savka:</t>
        </r>
        <r>
          <rPr>
            <sz val="9"/>
            <color indexed="81"/>
            <rFont val="Tahoma"/>
            <family val="2"/>
          </rPr>
          <t xml:space="preserve">
8/25: Remove 20-32 carts from Container Count, b/c these are CUST OWNED</t>
        </r>
      </text>
    </comment>
    <comment ref="AL14" authorId="0" shapeId="0" xr:uid="{546BAE27-D391-46AA-A219-54ADD12D8F25}">
      <text>
        <r>
          <rPr>
            <b/>
            <sz val="9"/>
            <color indexed="81"/>
            <rFont val="Tahoma"/>
            <family val="2"/>
          </rPr>
          <t>Artem Savka:</t>
        </r>
        <r>
          <rPr>
            <sz val="9"/>
            <color indexed="81"/>
            <rFont val="Tahoma"/>
            <family val="2"/>
          </rPr>
          <t xml:space="preserve">
8/25: Remove 20-32 carts from Container Count, b/c these are CUST OWNED</t>
        </r>
      </text>
    </comment>
  </commentList>
</comments>
</file>

<file path=xl/sharedStrings.xml><?xml version="1.0" encoding="utf-8"?>
<sst xmlns="http://schemas.openxmlformats.org/spreadsheetml/2006/main" count="1369" uniqueCount="671">
  <si>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</si>
  <si>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</si>
  <si>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</si>
  <si>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</si>
  <si>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</si>
  <si>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</si>
  <si>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</si>
  <si>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</si>
  <si>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</si>
  <si>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</si>
  <si>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</si>
  <si>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</si>
  <si>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</si>
  <si>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</si>
  <si>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</si>
  <si>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</si>
  <si>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</si>
  <si>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</si>
  <si>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</si>
  <si>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</si>
  <si>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</si>
  <si>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</si>
  <si>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</si>
  <si>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</si>
  <si>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</si>
  <si>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</si>
  <si>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</si>
  <si>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</si>
  <si>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</si>
  <si>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</si>
  <si>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</si>
  <si>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</si>
  <si>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</si>
  <si>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</si>
  <si>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</si>
  <si>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</si>
  <si>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</si>
  <si>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</si>
  <si>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</si>
  <si>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</si>
  <si>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</si>
  <si>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</si>
  <si>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</si>
  <si>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Revised Tariff Rate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</si>
  <si>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</si>
  <si>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</si>
  <si>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</si>
  <si>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</si>
  <si>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</si>
  <si>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</si>
  <si>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</si>
  <si>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</si>
  <si>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</si>
  <si>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</si>
  <si>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</si>
  <si>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</si>
  <si>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</si>
  <si>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</si>
  <si>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</si>
  <si>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</si>
  <si>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</si>
  <si>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</si>
  <si>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</si>
  <si>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</si>
  <si>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</si>
  <si>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</si>
  <si>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</si>
  <si>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</si>
  <si>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</si>
  <si>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</si>
  <si>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</si>
  <si>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</si>
  <si>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</si>
  <si>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</si>
  <si>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</si>
  <si>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</si>
  <si>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</si>
  <si>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</si>
  <si>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</si>
  <si>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</si>
  <si>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</si>
  <si>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</si>
  <si>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</si>
  <si>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</si>
  <si>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</si>
  <si>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</si>
  <si>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</si>
  <si>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Revenue</t>
  </si>
  <si>
    <t>Customers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</si>
  <si>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</si>
  <si>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</si>
  <si>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</si>
  <si>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</si>
  <si>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</si>
  <si>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</si>
  <si>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</si>
  <si>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</si>
  <si>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</si>
  <si>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</si>
  <si>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Service Code</t>
  </si>
  <si>
    <t>Service Code Description</t>
  </si>
  <si>
    <t>* not on meeks - calculated by staff</t>
  </si>
  <si>
    <t>6 yd container (2)</t>
  </si>
  <si>
    <t>4 yd container (2)</t>
  </si>
  <si>
    <t>3 yd container (2)</t>
  </si>
  <si>
    <t>1.5 yd container (2)</t>
  </si>
  <si>
    <t>Transfer Station</t>
  </si>
  <si>
    <t>1-35 GAL CART WEEKLY SVC</t>
  </si>
  <si>
    <t>1-60 GAL CART WEEKLY SVC</t>
  </si>
  <si>
    <t>2-60 GAL CARTS WEEKLY SVC</t>
  </si>
  <si>
    <t>1-32 GAL CAN-EOW SVC</t>
  </si>
  <si>
    <t>1-35 GAL CART EOW SVC</t>
  </si>
  <si>
    <t>1-60GAL CART EOW SVC</t>
  </si>
  <si>
    <t>2-60 GAL CARTS EOW SVC</t>
  </si>
  <si>
    <t>1-60 GAL CART MONTHLY SVC</t>
  </si>
  <si>
    <t>EXTRA CAN/BAGS</t>
  </si>
  <si>
    <t>OVERFILL/OVERWEIGHT CHG</t>
  </si>
  <si>
    <t>22A</t>
  </si>
  <si>
    <t>16A</t>
  </si>
  <si>
    <t>1YD CONT 1X WEEKLY</t>
  </si>
  <si>
    <t>1YD CONT 1xWEEKLY SVC</t>
  </si>
  <si>
    <t>1.5YD CONT 1X WEEKLY</t>
  </si>
  <si>
    <t>1.5YD CONT 2X WEEKLY</t>
  </si>
  <si>
    <t>2YD CONT 1X WEEKLY</t>
  </si>
  <si>
    <t>2YD CONT 1xWEEKLY SVC</t>
  </si>
  <si>
    <t>2YD CONT 2X WEEKLY</t>
  </si>
  <si>
    <t>3YD CONT 1X WEEKLY SVC</t>
  </si>
  <si>
    <t>4YD CONT 1X WEEKLY SVC</t>
  </si>
  <si>
    <t>6YD CONT 1XWEEKLY SVC</t>
  </si>
  <si>
    <t>6YD CONT 1X WEEKLY SVC</t>
  </si>
  <si>
    <t>8YD CONT 1X WEEKLY</t>
  </si>
  <si>
    <t>1YD CONT EOW SVC</t>
  </si>
  <si>
    <t>1YD CONT EVERY OTHER WK</t>
  </si>
  <si>
    <t>1.5YD CONT EVERY OTHER WK</t>
  </si>
  <si>
    <t>2YD CONT EOW SVC</t>
  </si>
  <si>
    <t>2YD CONT EVERY OTHER WK</t>
  </si>
  <si>
    <t>3YD CONT EOW SVC</t>
  </si>
  <si>
    <t>4YD CONT EOW SVC</t>
  </si>
  <si>
    <t>6YD CONT EVERY OTHER WK</t>
  </si>
  <si>
    <t>1YD CONT 1X MONTH SVC</t>
  </si>
  <si>
    <t>2YD CONT 1X MONTH SVC</t>
  </si>
  <si>
    <t>4YD CONT 1X MONTH SVC</t>
  </si>
  <si>
    <t>6YD CONT 1X MONTH SVC</t>
  </si>
  <si>
    <t>1YD CONT EXTRA P/U</t>
  </si>
  <si>
    <t>1YD CONTAINER EXTRA PU</t>
  </si>
  <si>
    <t>1YD TEMP CONT PU</t>
  </si>
  <si>
    <t>1.5YD CONT EXTRA P/U</t>
  </si>
  <si>
    <t>1.5YD CONTAINER EXTRA PU</t>
  </si>
  <si>
    <t>1.5YD TEMP CONT PU</t>
  </si>
  <si>
    <t>2YD CONT EXTRA P/U</t>
  </si>
  <si>
    <t>2YD CONTAINER EXTRA PU</t>
  </si>
  <si>
    <t>2YD TEMP CONT PU</t>
  </si>
  <si>
    <t>2YD TEMP CONTAINER PU</t>
  </si>
  <si>
    <t>3YD CONTAINER EXTRA PU</t>
  </si>
  <si>
    <t>4YD CONTAINER EXTRA PU</t>
  </si>
  <si>
    <t>6YD CONTAINER EXTRA PU</t>
  </si>
  <si>
    <t>4 YD COMPACTOR 1X WK</t>
  </si>
  <si>
    <t>1-32 GAL CAN WEEKLY SVC</t>
  </si>
  <si>
    <t>1-35 GAL CAN WEEKLY SVC</t>
  </si>
  <si>
    <t>1-60 GAL CART CMML WKLY</t>
  </si>
  <si>
    <t>2-60 GAL CAN WEEKLY SVC</t>
  </si>
  <si>
    <t>35A</t>
  </si>
  <si>
    <t>36A</t>
  </si>
  <si>
    <t>35 5A</t>
  </si>
  <si>
    <t>Tariff Rate</t>
  </si>
  <si>
    <t>20RW1</t>
  </si>
  <si>
    <t>60 Gal</t>
  </si>
  <si>
    <t>35RW1</t>
  </si>
  <si>
    <t>60RW1</t>
  </si>
  <si>
    <t>60RW2</t>
  </si>
  <si>
    <t>32RE1</t>
  </si>
  <si>
    <t>35RE1</t>
  </si>
  <si>
    <t>60RE1</t>
  </si>
  <si>
    <t>60RE2</t>
  </si>
  <si>
    <t>35RM1</t>
  </si>
  <si>
    <t>60RM1</t>
  </si>
  <si>
    <t>EXTRAR</t>
  </si>
  <si>
    <t>OFOWR</t>
  </si>
  <si>
    <t>CARRYRE</t>
  </si>
  <si>
    <t>CARRYOUT PER CAN-EOW</t>
  </si>
  <si>
    <t>CARRYRW</t>
  </si>
  <si>
    <t>CARRYOUT PER CAN-WKLY</t>
  </si>
  <si>
    <t>DRVNRW2</t>
  </si>
  <si>
    <t>DRVNRE2</t>
  </si>
  <si>
    <t>DRVNRW1</t>
  </si>
  <si>
    <t>DRVNRE1</t>
  </si>
  <si>
    <t>RDELCART</t>
  </si>
  <si>
    <t>RE-DELIVERY FEE-CART</t>
  </si>
  <si>
    <t>RCARRYOUT OVER 25</t>
  </si>
  <si>
    <t>RESI CARRYOUT FEE 25+ FT</t>
  </si>
  <si>
    <t>RCARRYOUT 5-25</t>
  </si>
  <si>
    <t>RESI CARRYOUT FEE 5-25 FT</t>
  </si>
  <si>
    <t>TRIPRCANS</t>
  </si>
  <si>
    <t>RETURN TRIP CHARGE - CANS</t>
  </si>
  <si>
    <t>RESTART</t>
  </si>
  <si>
    <t>SERVICE RESTART FEE</t>
  </si>
  <si>
    <t>F1YD1W</t>
  </si>
  <si>
    <t>R1YD1W</t>
  </si>
  <si>
    <t>F1.5YD1W</t>
  </si>
  <si>
    <t>F1.5YD2W</t>
  </si>
  <si>
    <t>F2YD1W</t>
  </si>
  <si>
    <t>R2YD1W</t>
  </si>
  <si>
    <t>F2YD2W</t>
  </si>
  <si>
    <t>F3YD1W</t>
  </si>
  <si>
    <t>F4YD1W</t>
  </si>
  <si>
    <t>R6YD1W</t>
  </si>
  <si>
    <t>F6YD1W</t>
  </si>
  <si>
    <t>F8YD1W</t>
  </si>
  <si>
    <t>R1YDEOW</t>
  </si>
  <si>
    <t>F1YDEOW</t>
  </si>
  <si>
    <t>F1.5YDEOW</t>
  </si>
  <si>
    <t>R2YDEOW</t>
  </si>
  <si>
    <t>F2YDEOW</t>
  </si>
  <si>
    <t>F3YDEOW</t>
  </si>
  <si>
    <t>F4YDEOW</t>
  </si>
  <si>
    <t>F6YDEOW</t>
  </si>
  <si>
    <t>F1YD1M</t>
  </si>
  <si>
    <t>F2YD1M</t>
  </si>
  <si>
    <t>R2YD1M</t>
  </si>
  <si>
    <t>F4YD1M</t>
  </si>
  <si>
    <t>F6YD1M</t>
  </si>
  <si>
    <t>F1YDEX</t>
  </si>
  <si>
    <t>R1YDEX</t>
  </si>
  <si>
    <t>F1YDTPU</t>
  </si>
  <si>
    <t>F1.5YDEX</t>
  </si>
  <si>
    <t>R1.5YDEX</t>
  </si>
  <si>
    <t>F1.5YDTPU</t>
  </si>
  <si>
    <t>F2YDEX</t>
  </si>
  <si>
    <t>R2YDEX</t>
  </si>
  <si>
    <t>F2YDTPU</t>
  </si>
  <si>
    <t>R2YDTPU</t>
  </si>
  <si>
    <t>F3YDEX</t>
  </si>
  <si>
    <t>F4YDEX</t>
  </si>
  <si>
    <t>R4YDEX</t>
  </si>
  <si>
    <t>F6YDEX</t>
  </si>
  <si>
    <t>FCP4YD1W</t>
  </si>
  <si>
    <t>32CW1</t>
  </si>
  <si>
    <t>35CW1</t>
  </si>
  <si>
    <t>60CW1</t>
  </si>
  <si>
    <t>60CW2</t>
  </si>
  <si>
    <t>CEXYD</t>
  </si>
  <si>
    <t>CMML EXTRA YARDAGE</t>
  </si>
  <si>
    <t>R1YDRENTM</t>
  </si>
  <si>
    <t>1YD CONTAINER RENT-MTHLY</t>
  </si>
  <si>
    <t>R1YDRENTTD</t>
  </si>
  <si>
    <t>1YD TEMP CONT RENT DAILY</t>
  </si>
  <si>
    <t>R1.5YDRENTTD</t>
  </si>
  <si>
    <t>R2YDRENTTD</t>
  </si>
  <si>
    <t>2 YD TEMP CONT RENT DAILY</t>
  </si>
  <si>
    <t>R2YDRENTM</t>
  </si>
  <si>
    <t>2YD CONTAINER RENT-MTHLY</t>
  </si>
  <si>
    <t>CCARRYOUT OVER 25</t>
  </si>
  <si>
    <t>COMM CARRYOUT FEE 25+ FT</t>
  </si>
  <si>
    <t>CCARRYOUT 5-25</t>
  </si>
  <si>
    <t>COMM CARRYOUT FEE 5-25 FT</t>
  </si>
  <si>
    <t>CTIME</t>
  </si>
  <si>
    <t>COMMERCIAL TIME CHARGE</t>
  </si>
  <si>
    <t>CGATE</t>
  </si>
  <si>
    <t>GATE CHARGE</t>
  </si>
  <si>
    <t>CLOCKEOW</t>
  </si>
  <si>
    <t>LOCK CHARGE - CONT EOW</t>
  </si>
  <si>
    <t>CLOCKWKLY</t>
  </si>
  <si>
    <t>LOCK CHARGE-CONTAINER WKL</t>
  </si>
  <si>
    <t>RDELTO8</t>
  </si>
  <si>
    <t>REDELIVERY FEE UP TO 8YDS</t>
  </si>
  <si>
    <t>RORELOCATE</t>
  </si>
  <si>
    <t>ROLL OFF RELOCATE</t>
  </si>
  <si>
    <t>Overweight</t>
  </si>
  <si>
    <t>35A &amp; 36A</t>
  </si>
  <si>
    <t>Murrey's Disposal Co. Inc. G-09</t>
  </si>
  <si>
    <t>Item 55, Pg. 16A</t>
  </si>
  <si>
    <t>Oversized Container</t>
  </si>
  <si>
    <t>Item 100, Pg. 22</t>
  </si>
  <si>
    <t>35 Gal Weekly</t>
  </si>
  <si>
    <t>60 Gal Weekly</t>
  </si>
  <si>
    <t>96 Gal Weekly</t>
  </si>
  <si>
    <t>35 Gal EOW</t>
  </si>
  <si>
    <t>60 Gal EOW</t>
  </si>
  <si>
    <t>96 Gal EOW</t>
  </si>
  <si>
    <t>35 Gal Monthly</t>
  </si>
  <si>
    <t>60 Gal Monthly</t>
  </si>
  <si>
    <t>96 Gal Monthly</t>
  </si>
  <si>
    <t>Item 100, Pg. 22A</t>
  </si>
  <si>
    <t>32 Gal Extra</t>
  </si>
  <si>
    <t>Mini-Can Extra</t>
  </si>
  <si>
    <t>35 Gal Extra</t>
  </si>
  <si>
    <t>60 Gal Extra</t>
  </si>
  <si>
    <t>Item 150, Pg. 28A</t>
  </si>
  <si>
    <t>Loose Material 1-4yd</t>
  </si>
  <si>
    <t>Loose Material per Yard</t>
  </si>
  <si>
    <t>Loose Material Min Charge</t>
  </si>
  <si>
    <t>Item 207, Pg. 32A</t>
  </si>
  <si>
    <t>Overfilled Container</t>
  </si>
  <si>
    <t>Item 230, Pg. 34</t>
  </si>
  <si>
    <t>City of Port Angeles</t>
  </si>
  <si>
    <t>Item 240, Pg. 35A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</si>
  <si>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</si>
  <si>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</si>
  <si>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</si>
  <si>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</si>
  <si>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</si>
  <si>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</si>
  <si>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</si>
  <si>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</si>
  <si>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</si>
  <si>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</si>
  <si>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</si>
  <si>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</si>
  <si>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</si>
  <si>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</si>
  <si>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</si>
  <si>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</si>
  <si>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</si>
  <si>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Item 240, Pg 35.5A</t>
  </si>
  <si>
    <t>35 Gal</t>
  </si>
  <si>
    <t>35 Gal - Temp</t>
  </si>
  <si>
    <t>60 Gal - Temp</t>
  </si>
  <si>
    <t>96 Gal</t>
  </si>
  <si>
    <t>96 Gal - Temp</t>
  </si>
  <si>
    <t>35 Gal - Minimum</t>
  </si>
  <si>
    <t>60 Gal - Minimum</t>
  </si>
  <si>
    <t>96 Gal - Minimum</t>
  </si>
  <si>
    <t>Item 245, Pg. 36A</t>
  </si>
  <si>
    <t>6  Yard</t>
  </si>
  <si>
    <t>Over-filled Container</t>
  </si>
  <si>
    <t>Extra Unit</t>
  </si>
  <si>
    <t>Item 255, Pg. 38 (4:1 Compaction Ratio)</t>
  </si>
  <si>
    <t>35 gallon Can</t>
  </si>
  <si>
    <t>8 YD Cont Extra PU</t>
  </si>
  <si>
    <t>60 gal Temp</t>
  </si>
  <si>
    <t>35 gal Temp</t>
  </si>
  <si>
    <t>96 gal Temp NEW</t>
  </si>
  <si>
    <t>Loose Yard</t>
  </si>
  <si>
    <t>32A</t>
  </si>
  <si>
    <t>28A</t>
  </si>
  <si>
    <t>Clallam County</t>
  </si>
  <si>
    <t>6  Yard - Special</t>
  </si>
  <si>
    <t>Each Additional Unit</t>
  </si>
  <si>
    <t>For tonnage information see -</t>
  </si>
  <si>
    <t>3 Yard - Temp</t>
  </si>
  <si>
    <t>4 Yard - Temp</t>
  </si>
  <si>
    <t>Roll-Off Tons</t>
  </si>
  <si>
    <t>Proposed Increase</t>
  </si>
  <si>
    <t>Extra yard</t>
  </si>
  <si>
    <t>dba Olympic Disposal</t>
  </si>
  <si>
    <t>Clallam Dump Fee Calc References</t>
  </si>
  <si>
    <t>Clallam Dump Fee Calculation</t>
  </si>
  <si>
    <t>Proposed Clallam Rates Effective</t>
  </si>
  <si>
    <t>Decrease</t>
  </si>
  <si>
    <t>Tariff Rate Decrease</t>
  </si>
  <si>
    <t>Company Decreased Revenue</t>
  </si>
  <si>
    <t>Revised Revenue Decrease</t>
  </si>
  <si>
    <t>We used regular 4 yard Decrease times 4 for compaction.</t>
  </si>
  <si>
    <t>provided by wcn</t>
  </si>
  <si>
    <t>New Rate per ton 1/1/20</t>
  </si>
  <si>
    <t>RESIDENTIAL SERVICES</t>
  </si>
  <si>
    <t>1-20 GAL CART WEEKLY SVC</t>
  </si>
  <si>
    <t>96RW1</t>
  </si>
  <si>
    <t>1-96 GAL CART WEEKLY SVC</t>
  </si>
  <si>
    <t>1-35 GAL MONTHLY</t>
  </si>
  <si>
    <t>96RE1</t>
  </si>
  <si>
    <t>1-96 GAL EOW</t>
  </si>
  <si>
    <t>96RM1</t>
  </si>
  <si>
    <t>1-96 GAL MONTHLY</t>
  </si>
  <si>
    <t>SP35-RES</t>
  </si>
  <si>
    <t>SPECIAL PICKUP 35GL RES</t>
  </si>
  <si>
    <t>SP60-RES</t>
  </si>
  <si>
    <t>SPECIAL PICKUP 60GL RES</t>
  </si>
  <si>
    <t>SP96-RES</t>
  </si>
  <si>
    <t>SPECIAL PICKUP 96GL RES</t>
  </si>
  <si>
    <t>F4TC-COM</t>
  </si>
  <si>
    <t>4 YD TEMP CONT PICKUP</t>
  </si>
  <si>
    <t>F1.5YD1M</t>
  </si>
  <si>
    <t>1.5YD CONT 1X MONTH SVC</t>
  </si>
  <si>
    <t>F3YD1M</t>
  </si>
  <si>
    <t>3YD CONT 1X MONTH SVC</t>
  </si>
  <si>
    <t>F4YD2W</t>
  </si>
  <si>
    <t>4YD CONT 2XWEEKLY SVC</t>
  </si>
  <si>
    <t>F6YD2W</t>
  </si>
  <si>
    <t>6YD CONT 2XWEEKLY SVC</t>
  </si>
  <si>
    <t>F3TC-COM</t>
  </si>
  <si>
    <t>3 YD TEMP CONT PICKUP</t>
  </si>
  <si>
    <t>F3YD2W</t>
  </si>
  <si>
    <t>3YD CONT 2X WEEKLY SVC</t>
  </si>
  <si>
    <t>F8YDEOW</t>
  </si>
  <si>
    <t>8YD CONT EVERY OTHER WEEK</t>
  </si>
  <si>
    <t>R4YD1W</t>
  </si>
  <si>
    <t>4YD CONT 1XWEEKLY SVC</t>
  </si>
  <si>
    <t>96CW1</t>
  </si>
  <si>
    <t>1-96 GL CART WEEKLY SVC</t>
  </si>
  <si>
    <t>R4YDEOW</t>
  </si>
  <si>
    <t>4 YD CONT EOW SVC</t>
  </si>
  <si>
    <t>ROLLW-COMM</t>
  </si>
  <si>
    <t>ROLLOUT COMM WKLY UP TO 2</t>
  </si>
  <si>
    <t>SP35-COM</t>
  </si>
  <si>
    <t>SPECIAL PICKUP 35GL COM</t>
  </si>
  <si>
    <t>SP1.5-COM</t>
  </si>
  <si>
    <t>SPECIAL PICKUP 1.5YD</t>
  </si>
  <si>
    <t>SP2-COM</t>
  </si>
  <si>
    <t>SPECIAL PICKUP 2YD</t>
  </si>
  <si>
    <t>SP1-COM</t>
  </si>
  <si>
    <t>SPECIAL PICKUP 1YD</t>
  </si>
  <si>
    <t>F2YDEXCO</t>
  </si>
  <si>
    <t>CUST OWN 2YD EXTRA PU</t>
  </si>
  <si>
    <t>SP6-COM</t>
  </si>
  <si>
    <t>SPECIAL PICKUP 6YD</t>
  </si>
  <si>
    <t>SP3-COM</t>
  </si>
  <si>
    <t>SPECIAL PICKUP 3YD</t>
  </si>
  <si>
    <t>R6YDEX</t>
  </si>
  <si>
    <t>6 YARD EXTRA</t>
  </si>
  <si>
    <t>SP4-COM</t>
  </si>
  <si>
    <t>SPECIAL PICKUP 4YD</t>
  </si>
  <si>
    <t>R1.5YDRENTM</t>
  </si>
  <si>
    <t>1.5YD CONTAINER RENT-MTH</t>
  </si>
  <si>
    <t>CEX</t>
  </si>
  <si>
    <t>EXTRA CANS</t>
  </si>
  <si>
    <t>Regulated</t>
  </si>
  <si>
    <t>Non-Regulated</t>
  </si>
  <si>
    <t>TOTAL REVENUE</t>
  </si>
  <si>
    <t>TOTAL SERVICE CHARGES</t>
  </si>
  <si>
    <t>LATE FEE</t>
  </si>
  <si>
    <t>FINCHG</t>
  </si>
  <si>
    <t/>
  </si>
  <si>
    <t>Service Charges</t>
  </si>
  <si>
    <t>TOTAL PASSTHROUGH DISPOSAL</t>
  </si>
  <si>
    <t>DISPOSAL FEE PER TON</t>
  </si>
  <si>
    <t>DISP</t>
  </si>
  <si>
    <t>PASSTHROUGH DISPOSAL</t>
  </si>
  <si>
    <t>TIME/STANDBY CHARGE</t>
  </si>
  <si>
    <t>ROWAIT</t>
  </si>
  <si>
    <t>30YD-RO</t>
  </si>
  <si>
    <t>RORENT30M</t>
  </si>
  <si>
    <t>30YD ROLL OFF-DAILY RENT</t>
  </si>
  <si>
    <t>RORENT30D</t>
  </si>
  <si>
    <t>20YD-RO</t>
  </si>
  <si>
    <t>20YD ROLL OFF-MNTHLY RENT</t>
  </si>
  <si>
    <t>RORENT20M</t>
  </si>
  <si>
    <t>20YD ROLL OFF-DAILY RENT</t>
  </si>
  <si>
    <t>RORENT20D</t>
  </si>
  <si>
    <t>ROLL OFF-MILEAGE</t>
  </si>
  <si>
    <t>ROMILE</t>
  </si>
  <si>
    <t>40 YD CUST OWNED HAUL</t>
  </si>
  <si>
    <t>ROHAUL40CO</t>
  </si>
  <si>
    <t>30YD ROLL OFF TEMP HAUL</t>
  </si>
  <si>
    <t>ROHAUL30T</t>
  </si>
  <si>
    <t>30YD ROLL OFF-HAUL</t>
  </si>
  <si>
    <t>ROHAUL30</t>
  </si>
  <si>
    <t>20YD ROLL OFF TEMP HAUL</t>
  </si>
  <si>
    <t>ROHAUL20T</t>
  </si>
  <si>
    <t>20YD ROLL OFF-HAUL</t>
  </si>
  <si>
    <t>ROHAUL20</t>
  </si>
  <si>
    <t>ROLL OFF-DELIVERY</t>
  </si>
  <si>
    <t>RODEL</t>
  </si>
  <si>
    <t>30YD-Comp</t>
  </si>
  <si>
    <t>30YD COMPACTOR-HAUL</t>
  </si>
  <si>
    <t>CPHAUL30</t>
  </si>
  <si>
    <t>20YD-Comp</t>
  </si>
  <si>
    <t>20YD COMPACTOR-HAUL</t>
  </si>
  <si>
    <t>CPHAUL20</t>
  </si>
  <si>
    <t>CONNECT/DISCONNECT</t>
  </si>
  <si>
    <t>CONNECTFEE</t>
  </si>
  <si>
    <t>DROP BOX HAULS/RENTAL</t>
  </si>
  <si>
    <t>DROP BOX SERVICES</t>
  </si>
  <si>
    <t>Containers</t>
  </si>
  <si>
    <t>TOTAL COMMERCIAL GARBAGE</t>
  </si>
  <si>
    <t>Carts</t>
  </si>
  <si>
    <t>35.5A</t>
  </si>
  <si>
    <t>CONTAINER 6YD RENT MNTHLY</t>
  </si>
  <si>
    <t>R6YDRENTM</t>
  </si>
  <si>
    <t>OVER 25FT ROLLOUT FOR CONTAINERS</t>
  </si>
  <si>
    <t>ADDTLPACK25</t>
  </si>
  <si>
    <t>1.5 YD TEMP CONT RENT DAI</t>
  </si>
  <si>
    <t>4 YD TEMP CONT RENT DAILY</t>
  </si>
  <si>
    <t>R4YDRENTTD</t>
  </si>
  <si>
    <t>3 YD TEMP CONT RENT DAILY</t>
  </si>
  <si>
    <t>R3YDRENTTD</t>
  </si>
  <si>
    <t>RETURN TRIP CHARGE - CONT</t>
  </si>
  <si>
    <t>CTRIP</t>
  </si>
  <si>
    <t>4YD</t>
  </si>
  <si>
    <t>2YD</t>
  </si>
  <si>
    <t>1YD</t>
  </si>
  <si>
    <t>CGATEEOW</t>
  </si>
  <si>
    <t>6YD</t>
  </si>
  <si>
    <t>4YD CONTAINER RENT-MTHLY</t>
  </si>
  <si>
    <t>R4YDRENTM</t>
  </si>
  <si>
    <t>3YD CONTAINER RENT-MTHLY</t>
  </si>
  <si>
    <t>R3YDRENTM</t>
  </si>
  <si>
    <t>8YD</t>
  </si>
  <si>
    <t>3YD</t>
  </si>
  <si>
    <t>1.5YD</t>
  </si>
  <si>
    <t>DELIVERY FEE 1YD TEMP</t>
  </si>
  <si>
    <t>DEL1TEMP-COM</t>
  </si>
  <si>
    <t>DELIVERY FEE 1.5YD TEMP</t>
  </si>
  <si>
    <t>DEL1.5TEMP-COM</t>
  </si>
  <si>
    <t>DELIVERY FEE 4YD TEMP</t>
  </si>
  <si>
    <t>DEL4TEMP-COM</t>
  </si>
  <si>
    <t>DELIVERY FEE 3YD TEMP</t>
  </si>
  <si>
    <t>DEL3TEMP-COM</t>
  </si>
  <si>
    <t>DELIVERY FEE 2YD TEMP</t>
  </si>
  <si>
    <t>DEL2TEMP-COM</t>
  </si>
  <si>
    <t>CLOCK</t>
  </si>
  <si>
    <t>COMMERCIAL GARBAGE</t>
  </si>
  <si>
    <t>COMMERCIAL SERVICES</t>
  </si>
  <si>
    <t>TOTAL RESIDENTIAL RECYCLING</t>
  </si>
  <si>
    <t>Recy</t>
  </si>
  <si>
    <t>RECYCLE PROGRAM WITH MSW</t>
  </si>
  <si>
    <t>recyrpre</t>
  </si>
  <si>
    <t>RECYCLE SERVICE ONLY</t>
  </si>
  <si>
    <t>recyonlypre</t>
  </si>
  <si>
    <t>RESIDENTIAL RECYCLING</t>
  </si>
  <si>
    <t>TOTAL RESIDENTIAL GARBAGE</t>
  </si>
  <si>
    <t>64RW1</t>
  </si>
  <si>
    <t>Rollout 25ft/can per pick up</t>
  </si>
  <si>
    <t>ROLLW-RESI</t>
  </si>
  <si>
    <t>ROLLOUT RESI MTHLY UP TO 25 FT</t>
  </si>
  <si>
    <t>ROLLM-RESI</t>
  </si>
  <si>
    <t>ROLLOUT RESI EOW UP TO 25</t>
  </si>
  <si>
    <t>ROLLE-RESI</t>
  </si>
  <si>
    <t>RGATE</t>
  </si>
  <si>
    <t>DRIVE IN OVER 250</t>
  </si>
  <si>
    <t>DRIVE IN UP TO 250</t>
  </si>
  <si>
    <t>DRIVE IN UP TO 250-MTHLY</t>
  </si>
  <si>
    <t>DRVNRM1</t>
  </si>
  <si>
    <t>DRIVE IN OVER 250-EOW</t>
  </si>
  <si>
    <t>DRIVE IN UP TO 250-EOW</t>
  </si>
  <si>
    <t>RESIDENTIAL GARBAGE</t>
  </si>
  <si>
    <t>Customer</t>
  </si>
  <si>
    <t>Page</t>
  </si>
  <si>
    <t>Monthly Rate</t>
  </si>
  <si>
    <t>Count</t>
  </si>
  <si>
    <t>Quantity</t>
  </si>
  <si>
    <t>Average</t>
  </si>
  <si>
    <t>Tariff</t>
  </si>
  <si>
    <t>Drop Box</t>
  </si>
  <si>
    <t>Container</t>
  </si>
  <si>
    <t>Cart</t>
  </si>
  <si>
    <t>August 1, 2022 - July 31, 2023</t>
  </si>
  <si>
    <t>Clallam Regulated Price Out</t>
  </si>
  <si>
    <t>Murrey's Disposal Co., Inc. G-9</t>
  </si>
  <si>
    <t>ROLL OFF HAUL (MILL)</t>
  </si>
  <si>
    <t>ROMILL-C</t>
  </si>
  <si>
    <t>ROMILL - W</t>
  </si>
  <si>
    <t>30YD CUST OWNED R/O HAUL</t>
  </si>
  <si>
    <t>ROHAUL30CO</t>
  </si>
  <si>
    <t>25YD COMPACTOR-HAUL</t>
  </si>
  <si>
    <t>CPHAUL25</t>
  </si>
  <si>
    <t>15YD COMPACTOR-HAUL</t>
  </si>
  <si>
    <t>CPHAUL15</t>
  </si>
  <si>
    <t>30YD ROLL OFF-MNTHLY RENT</t>
  </si>
  <si>
    <t>7/1/23 - 7/31/23</t>
  </si>
  <si>
    <t>8/1/22 - 6/30/23</t>
  </si>
  <si>
    <t>2023 vs 2019 Change</t>
  </si>
  <si>
    <t>CITYPA-M</t>
  </si>
  <si>
    <t>Murrey's Disposal Co.</t>
  </si>
  <si>
    <t>CityPA-M Total</t>
  </si>
  <si>
    <t>Clallam Total</t>
  </si>
  <si>
    <t>Change in Revenue</t>
  </si>
  <si>
    <t>Proposed Annual Revenue</t>
  </si>
  <si>
    <t>GATE CHARGE EOW</t>
  </si>
  <si>
    <t>CLOCK ON CALL</t>
  </si>
  <si>
    <t>RESI GATE CHARGE</t>
  </si>
  <si>
    <t>Difference</t>
  </si>
  <si>
    <t>Rev Requirement - LG</t>
  </si>
  <si>
    <t>Proposed Annual Rev</t>
  </si>
  <si>
    <t>Revenue Requirement Calc</t>
  </si>
  <si>
    <t>Change in Annual Revenue</t>
  </si>
  <si>
    <t>Proposed Tariff Rate</t>
  </si>
  <si>
    <t>Adjusted Customer Count</t>
  </si>
  <si>
    <t>.</t>
  </si>
  <si>
    <t>Area Total</t>
  </si>
  <si>
    <t>Diff From LG</t>
  </si>
  <si>
    <t>Total PI</t>
  </si>
  <si>
    <t>True-Up</t>
  </si>
  <si>
    <t>Increase per LG</t>
  </si>
  <si>
    <t>35A?</t>
  </si>
  <si>
    <t>Customer Count for DF</t>
  </si>
  <si>
    <t>Variance with DF Calc</t>
  </si>
  <si>
    <t>96 Gal Extra</t>
  </si>
  <si>
    <t>City PA Customer Count for DF</t>
  </si>
  <si>
    <t>36 5A</t>
  </si>
  <si>
    <t>Extra Cans</t>
  </si>
  <si>
    <t xml:space="preserve"> </t>
  </si>
  <si>
    <t>Current Tariff Rate 12.01.2023</t>
  </si>
  <si>
    <t>New Rate Effective 1/1/2024</t>
  </si>
  <si>
    <t>Effective 1-1-2024</t>
  </si>
  <si>
    <t>Total Per Gl</t>
  </si>
  <si>
    <t>Price per Ton</t>
  </si>
  <si>
    <t>Tonnage</t>
  </si>
  <si>
    <t>Glass Disposal</t>
  </si>
  <si>
    <t>Other Disposal GL 40122</t>
  </si>
  <si>
    <t>Tons based on GL Exp</t>
  </si>
  <si>
    <t>Tons via WW</t>
  </si>
  <si>
    <t>Total Mill Haul Disposal GL $VAR</t>
  </si>
  <si>
    <t>General Ledger (40109)</t>
  </si>
  <si>
    <t>MCK Mill Expense (40109)</t>
  </si>
  <si>
    <t>Tonnage Variance</t>
  </si>
  <si>
    <t>MCK Disp Log Tons</t>
  </si>
  <si>
    <t>MCK GL Tons</t>
  </si>
  <si>
    <t>PTP Mill Expense (40109)</t>
  </si>
  <si>
    <t>PTP Disp Log Tons</t>
  </si>
  <si>
    <t>PTP GL Tons</t>
  </si>
  <si>
    <t>Mill Volumes sent to IC Landfill (Wasco):</t>
  </si>
  <si>
    <t>General Ledger (40101)</t>
  </si>
  <si>
    <t>MCK Mill Expense</t>
  </si>
  <si>
    <t>Mill Expense</t>
  </si>
  <si>
    <t>Mill Volumes sent to 3rd Party Landfill (Cowlitz):</t>
  </si>
  <si>
    <t xml:space="preserve"> Difference</t>
  </si>
  <si>
    <t>General Ledger</t>
  </si>
  <si>
    <t>Route</t>
  </si>
  <si>
    <t>Pass Thru</t>
  </si>
  <si>
    <t>Total Dump Fee</t>
  </si>
  <si>
    <t>Non-UTC Expense</t>
  </si>
  <si>
    <t>UTC Comm Expense</t>
  </si>
  <si>
    <t>UTC Resi Expense</t>
  </si>
  <si>
    <t>Expense</t>
  </si>
  <si>
    <t>Rate p/Ton</t>
  </si>
  <si>
    <t>Adj</t>
  </si>
  <si>
    <t>Non-UTC Tons</t>
  </si>
  <si>
    <t>UTC Comm Tons</t>
  </si>
  <si>
    <t>GL</t>
  </si>
  <si>
    <t>UTC Resi Tons</t>
  </si>
  <si>
    <t>Route Garbage</t>
  </si>
  <si>
    <t>Mill Hauls</t>
  </si>
  <si>
    <t>UTC Expense</t>
  </si>
  <si>
    <t xml:space="preserve">  Jefferson</t>
  </si>
  <si>
    <t>Clallam</t>
  </si>
  <si>
    <t>Disposal Landfill Totals</t>
  </si>
  <si>
    <t>UTC Tons</t>
  </si>
  <si>
    <t>TOTALS</t>
  </si>
  <si>
    <t>Jefferson County:</t>
  </si>
  <si>
    <t>Route Disposal:</t>
  </si>
  <si>
    <t>Clallam County:</t>
  </si>
  <si>
    <t>Dump Fee Schedule</t>
  </si>
  <si>
    <t>August 2022 - July 2023</t>
  </si>
  <si>
    <t>District 2112: Olympic Disposal</t>
  </si>
  <si>
    <t xml:space="preserve"> TG-230778</t>
  </si>
  <si>
    <t xml:space="preserve"> TG-23077</t>
  </si>
  <si>
    <t>Bulky Materials</t>
  </si>
  <si>
    <t>Excess Weight</t>
  </si>
  <si>
    <t>On Call</t>
  </si>
  <si>
    <t>Increase per ton</t>
  </si>
  <si>
    <t>Note from Brian Vandenburg:  The entire schedule below was taken from the audit in TG-230778.  Only the cells highlighted in green were updated for the change in the DF effective 1-1-2024.</t>
  </si>
  <si>
    <t>Immaterial</t>
  </si>
  <si>
    <t>Customer counts were taken from the filing in TG-230778 currently under audit. - Brian Vandenburg 12.07.2023</t>
  </si>
  <si>
    <t>Per Auditor</t>
  </si>
  <si>
    <t>Current Tariff Rate</t>
  </si>
  <si>
    <t>1-20 GAL CAN WEEKLY SVC</t>
  </si>
  <si>
    <t>Mini Can</t>
  </si>
  <si>
    <t>1-32 GAL CAN-WEEKLY SVC</t>
  </si>
  <si>
    <t>1 Can Weekly</t>
  </si>
  <si>
    <t>2-32 GAL CANS-WEEKLY SVC</t>
  </si>
  <si>
    <t>2 Can Weekly</t>
  </si>
  <si>
    <t>3-32 GAL CANS-WEEKLY SVC</t>
  </si>
  <si>
    <t>3 Can Weekly</t>
  </si>
  <si>
    <t>4 Can</t>
  </si>
  <si>
    <t>4 Can Weekly</t>
  </si>
  <si>
    <t>5 Can</t>
  </si>
  <si>
    <t>5 Can Weekly</t>
  </si>
  <si>
    <t xml:space="preserve">Cart/Toter 96 NEW </t>
  </si>
  <si>
    <t>1 Can EOW</t>
  </si>
  <si>
    <t>Cart 96 gal EOW NEW</t>
  </si>
  <si>
    <t>1-32 GAL CAN-MONTHLY SVC</t>
  </si>
  <si>
    <t>1 Can Monthly</t>
  </si>
  <si>
    <t>1-35 GAL CART MONTHLY SVC</t>
  </si>
  <si>
    <t>Cart 96 gal MG NEW</t>
  </si>
  <si>
    <t>1-32 GAL CAN-ON CALL SVC</t>
  </si>
  <si>
    <t>On-Call</t>
  </si>
  <si>
    <t>96 gal NEW</t>
  </si>
  <si>
    <t>32 Gal</t>
  </si>
  <si>
    <t>32 Gal - Temp</t>
  </si>
  <si>
    <t>32 Gal -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</si>
</sst>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0.000%"/>
    <numFmt numFmtId="173" formatCode="_(&quot;$&quot;* #,##0.00_);_(&quot;$&quot;* \(#,##0.00\);_(&quot;$&quot;* &quot;-&quot;????_);_(@_)"/>
    <numFmt numFmtId="174" formatCode="&quot;$&quot;#,##0.00"/>
    <numFmt numFmtId="175" formatCode="&quot;$&quot;#,##0.0000"/>
    <numFmt numFmtId="176" formatCode="&quot;$&quot;#,##0"/>
    <numFmt numFmtId="177" formatCode="0.00000"/>
    <numFmt numFmtId="178" formatCode="_(* #,##0.0_);_(* \(#,##0.0\);_(* &quot;-&quot;??_);_(@_)"/>
    <numFmt numFmtId="179" formatCode="0.00000000"/>
    <numFmt numFmtId="180" formatCode="0.0"/>
    <numFmt numFmtId="181" formatCode="_(&quot;$&quot;* #,##0.0000_);_(&quot;$&quot;* \(#,##0.0000\);_(&quot;$&quot;* &quot;-&quot;??_);_(@_)"/>
    <numFmt numFmtId="182" formatCode="_(&quot;$&quot;* #,##0.00000_);_(&quot;$&quot;* \(#,##0.00000\);_(&quot;$&quot;* &quot;-&quot;??_);_(@_)"/>
    <numFmt numFmtId="183" formatCode="&quot;$&quot;#,##0.0000_);\(&quot;$&quot;#,##0.0000\)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5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i/>
      <sz val="11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medium">
        <color auto="1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medium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3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16" borderId="0" applyNumberFormat="0" applyBorder="0" applyAlignment="0" applyProtection="0"/>
    <xf numFmtId="0" fontId="51" fillId="24" borderId="4" applyNumberFormat="0" applyAlignment="0" applyProtection="0"/>
    <xf numFmtId="0" fontId="51" fillId="12" borderId="4" applyNumberFormat="0" applyAlignment="0" applyProtection="0"/>
    <xf numFmtId="43" fontId="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8" applyNumberFormat="0" applyFill="0" applyAlignment="0" applyProtection="0"/>
    <xf numFmtId="0" fontId="53" fillId="0" borderId="29" applyNumberFormat="0" applyFill="0" applyAlignment="0" applyProtection="0"/>
    <xf numFmtId="0" fontId="23" fillId="0" borderId="10" applyNumberFormat="0" applyFill="0" applyAlignment="0" applyProtection="0"/>
    <xf numFmtId="0" fontId="54" fillId="0" borderId="10" applyNumberFormat="0" applyFill="0" applyAlignment="0" applyProtection="0"/>
    <xf numFmtId="0" fontId="24" fillId="0" borderId="30" applyNumberFormat="0" applyFill="0" applyAlignment="0" applyProtection="0"/>
    <xf numFmtId="0" fontId="55" fillId="0" borderId="31" applyNumberFormat="0" applyFill="0" applyAlignment="0" applyProtection="0"/>
    <xf numFmtId="0" fontId="56" fillId="0" borderId="32" applyNumberFormat="0" applyFill="0" applyAlignment="0" applyProtection="0"/>
    <xf numFmtId="0" fontId="57" fillId="13" borderId="0" applyNumberFormat="0" applyBorder="0" applyAlignment="0" applyProtection="0"/>
    <xf numFmtId="0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10" borderId="15" applyNumberFormat="0" applyFont="0" applyAlignment="0" applyProtection="0"/>
    <xf numFmtId="0" fontId="52" fillId="10" borderId="15" applyNumberFormat="0" applyFont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37" fontId="59" fillId="0" borderId="0"/>
    <xf numFmtId="0" fontId="31" fillId="0" borderId="33" applyNumberFormat="0" applyFill="0" applyAlignment="0" applyProtection="0"/>
    <xf numFmtId="0" fontId="31" fillId="0" borderId="34" applyNumberFormat="0" applyFill="0" applyAlignment="0" applyProtection="0"/>
    <xf numFmtId="0" fontId="2" fillId="0" borderId="0"/>
    <xf numFmtId="0" fontId="2" fillId="0" borderId="0"/>
    <xf numFmtId="0" fontId="46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</cellStyleXfs>
  <cellXfs count="477">
    <xf numFmtId="0" fontId="0" fillId="0" borderId="0" xfId="0"/>
    <xf numFmtId="43" fontId="0" fillId="0" borderId="0" xfId="1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8" fontId="0" fillId="0" borderId="0" xfId="0" applyNumberFormat="1"/>
    <xf numFmtId="44" fontId="0" fillId="0" borderId="0" xfId="0" applyNumberFormat="1"/>
    <xf numFmtId="170" fontId="0" fillId="0" borderId="0" xfId="0" applyNumberFormat="1"/>
    <xf numFmtId="0" fontId="0" fillId="6" borderId="1" xfId="0" applyFill="1" applyBorder="1"/>
    <xf numFmtId="0" fontId="3" fillId="0" borderId="0" xfId="0" applyFont="1"/>
    <xf numFmtId="43" fontId="0" fillId="0" borderId="0" xfId="1" applyFont="1" applyAlignment="1">
      <alignment horizontal="center"/>
    </xf>
    <xf numFmtId="3" fontId="0" fillId="0" borderId="0" xfId="0" applyNumberFormat="1"/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43" fontId="0" fillId="0" borderId="0" xfId="0" applyNumberFormat="1"/>
    <xf numFmtId="0" fontId="0" fillId="0" borderId="0" xfId="0" applyAlignment="1">
      <alignment horizontal="left"/>
    </xf>
    <xf numFmtId="0" fontId="11" fillId="0" borderId="0" xfId="4" applyFont="1" applyAlignment="1">
      <alignment horizontal="left"/>
    </xf>
    <xf numFmtId="0" fontId="0" fillId="0" borderId="0" xfId="0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6" borderId="1" xfId="0" applyNumberFormat="1" applyFont="1" applyFill="1" applyBorder="1"/>
    <xf numFmtId="43" fontId="0" fillId="6" borderId="1" xfId="0" applyNumberFormat="1" applyFill="1" applyBorder="1"/>
    <xf numFmtId="166" fontId="3" fillId="6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4" fontId="0" fillId="0" borderId="0" xfId="0" applyNumberFormat="1"/>
    <xf numFmtId="0" fontId="0" fillId="0" borderId="0" xfId="0" applyAlignment="1">
      <alignment vertical="center" textRotation="90"/>
    </xf>
    <xf numFmtId="0" fontId="12" fillId="0" borderId="0" xfId="4" applyFont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4" fontId="0" fillId="2" borderId="0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0" fillId="32" borderId="0" xfId="0" applyFill="1"/>
    <xf numFmtId="0" fontId="0" fillId="32" borderId="0" xfId="0" applyFill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3" fontId="3" fillId="6" borderId="1" xfId="0" applyNumberFormat="1" applyFont="1" applyFill="1" applyBorder="1"/>
    <xf numFmtId="0" fontId="11" fillId="0" borderId="0" xfId="274" applyFont="1" applyAlignment="1">
      <alignment horizontal="left"/>
    </xf>
    <xf numFmtId="0" fontId="11" fillId="0" borderId="0" xfId="271" applyFont="1"/>
    <xf numFmtId="44" fontId="0" fillId="0" borderId="0" xfId="2" applyFont="1" applyBorder="1"/>
    <xf numFmtId="0" fontId="3" fillId="0" borderId="21" xfId="0" applyFont="1" applyBorder="1"/>
    <xf numFmtId="0" fontId="0" fillId="6" borderId="26" xfId="0" applyFill="1" applyBorder="1" applyAlignment="1">
      <alignment horizontal="center"/>
    </xf>
    <xf numFmtId="0" fontId="0" fillId="0" borderId="22" xfId="0" applyBorder="1"/>
    <xf numFmtId="44" fontId="0" fillId="0" borderId="23" xfId="2" applyFont="1" applyBorder="1"/>
    <xf numFmtId="0" fontId="0" fillId="0" borderId="23" xfId="0" applyBorder="1"/>
    <xf numFmtId="0" fontId="3" fillId="0" borderId="22" xfId="0" applyFont="1" applyBorder="1"/>
    <xf numFmtId="0" fontId="0" fillId="6" borderId="27" xfId="0" applyFill="1" applyBorder="1" applyAlignment="1">
      <alignment horizontal="center"/>
    </xf>
    <xf numFmtId="0" fontId="0" fillId="0" borderId="24" xfId="0" applyBorder="1" applyAlignment="1">
      <alignment horizontal="left"/>
    </xf>
    <xf numFmtId="44" fontId="0" fillId="0" borderId="25" xfId="2" applyFont="1" applyBorder="1"/>
    <xf numFmtId="44" fontId="0" fillId="5" borderId="0" xfId="0" applyNumberFormat="1" applyFill="1"/>
    <xf numFmtId="42" fontId="0" fillId="0" borderId="0" xfId="0" applyNumberFormat="1"/>
    <xf numFmtId="42" fontId="3" fillId="0" borderId="0" xfId="0" applyNumberFormat="1" applyFont="1"/>
    <xf numFmtId="172" fontId="0" fillId="0" borderId="0" xfId="0" applyNumberFormat="1"/>
    <xf numFmtId="173" fontId="0" fillId="0" borderId="0" xfId="2" applyNumberFormat="1" applyFont="1" applyFill="1" applyBorder="1"/>
    <xf numFmtId="10" fontId="0" fillId="0" borderId="0" xfId="0" applyNumberFormat="1"/>
    <xf numFmtId="43" fontId="3" fillId="0" borderId="0" xfId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3" fillId="6" borderId="1" xfId="1" applyNumberFormat="1" applyFont="1" applyFill="1" applyBorder="1" applyAlignment="1">
      <alignment horizontal="center" wrapText="1"/>
    </xf>
    <xf numFmtId="0" fontId="50" fillId="6" borderId="1" xfId="0" applyFont="1" applyFill="1" applyBorder="1" applyAlignment="1">
      <alignment horizontal="center" wrapText="1"/>
    </xf>
    <xf numFmtId="4" fontId="3" fillId="6" borderId="0" xfId="1" applyNumberFormat="1" applyFont="1" applyFill="1" applyBorder="1" applyAlignment="1">
      <alignment horizontal="center" wrapText="1"/>
    </xf>
    <xf numFmtId="14" fontId="3" fillId="6" borderId="0" xfId="0" applyNumberFormat="1" applyFont="1" applyFill="1" applyAlignment="1">
      <alignment horizontal="center" wrapText="1"/>
    </xf>
    <xf numFmtId="166" fontId="0" fillId="0" borderId="0" xfId="0" applyNumberFormat="1"/>
    <xf numFmtId="0" fontId="3" fillId="6" borderId="1" xfId="0" applyFont="1" applyFill="1" applyBorder="1" applyAlignment="1">
      <alignment horizontal="center"/>
    </xf>
    <xf numFmtId="44" fontId="0" fillId="39" borderId="0" xfId="2" applyFont="1" applyFill="1"/>
    <xf numFmtId="44" fontId="0" fillId="39" borderId="1" xfId="2" applyFont="1" applyFill="1" applyBorder="1"/>
    <xf numFmtId="165" fontId="0" fillId="39" borderId="0" xfId="2" applyNumberFormat="1" applyFont="1" applyFill="1"/>
    <xf numFmtId="165" fontId="0" fillId="39" borderId="1" xfId="2" applyNumberFormat="1" applyFont="1" applyFill="1" applyBorder="1"/>
    <xf numFmtId="169" fontId="0" fillId="39" borderId="0" xfId="2" applyNumberFormat="1" applyFont="1" applyFill="1"/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43" fontId="11" fillId="0" borderId="0" xfId="0" applyNumberFormat="1" applyFont="1"/>
    <xf numFmtId="0" fontId="63" fillId="0" borderId="0" xfId="0" applyFont="1"/>
    <xf numFmtId="0" fontId="63" fillId="42" borderId="0" xfId="0" applyFont="1" applyFill="1"/>
    <xf numFmtId="0" fontId="64" fillId="0" borderId="0" xfId="0" applyFont="1"/>
    <xf numFmtId="166" fontId="64" fillId="0" borderId="0" xfId="103" applyNumberFormat="1" applyFont="1"/>
    <xf numFmtId="1" fontId="64" fillId="0" borderId="0" xfId="0" applyNumberFormat="1" applyFont="1"/>
    <xf numFmtId="0" fontId="64" fillId="43" borderId="0" xfId="0" applyFont="1" applyFill="1"/>
    <xf numFmtId="174" fontId="64" fillId="0" borderId="0" xfId="0" applyNumberFormat="1" applyFont="1"/>
    <xf numFmtId="0" fontId="63" fillId="0" borderId="0" xfId="375" applyFont="1"/>
    <xf numFmtId="0" fontId="65" fillId="0" borderId="0" xfId="375" applyFont="1"/>
    <xf numFmtId="4" fontId="63" fillId="0" borderId="0" xfId="0" applyNumberFormat="1" applyFont="1"/>
    <xf numFmtId="0" fontId="66" fillId="0" borderId="0" xfId="375" applyFont="1"/>
    <xf numFmtId="166" fontId="67" fillId="0" borderId="36" xfId="0" applyNumberFormat="1" applyFont="1" applyBorder="1"/>
    <xf numFmtId="166" fontId="64" fillId="0" borderId="20" xfId="103" applyNumberFormat="1" applyFont="1" applyBorder="1"/>
    <xf numFmtId="174" fontId="65" fillId="0" borderId="0" xfId="375" applyNumberFormat="1" applyFont="1"/>
    <xf numFmtId="174" fontId="63" fillId="0" borderId="0" xfId="0" applyNumberFormat="1" applyFont="1"/>
    <xf numFmtId="174" fontId="66" fillId="0" borderId="0" xfId="375" applyNumberFormat="1" applyFont="1"/>
    <xf numFmtId="174" fontId="65" fillId="0" borderId="0" xfId="103" applyNumberFormat="1" applyFont="1"/>
    <xf numFmtId="174" fontId="63" fillId="0" borderId="0" xfId="103" applyNumberFormat="1" applyFont="1" applyFill="1" applyAlignment="1">
      <alignment horizontal="center"/>
    </xf>
    <xf numFmtId="174" fontId="63" fillId="0" borderId="0" xfId="375" applyNumberFormat="1" applyFont="1"/>
    <xf numFmtId="1" fontId="65" fillId="0" borderId="0" xfId="375" applyNumberFormat="1" applyFont="1"/>
    <xf numFmtId="166" fontId="65" fillId="0" borderId="0" xfId="103" applyNumberFormat="1" applyFont="1"/>
    <xf numFmtId="166" fontId="63" fillId="0" borderId="0" xfId="103" applyNumberFormat="1" applyFont="1" applyFill="1"/>
    <xf numFmtId="43" fontId="63" fillId="0" borderId="0" xfId="103" applyFont="1" applyFill="1"/>
    <xf numFmtId="43" fontId="63" fillId="0" borderId="0" xfId="103" applyFont="1" applyFill="1" applyAlignment="1">
      <alignment horizontal="center"/>
    </xf>
    <xf numFmtId="166" fontId="63" fillId="0" borderId="0" xfId="103" applyNumberFormat="1" applyFont="1"/>
    <xf numFmtId="0" fontId="68" fillId="0" borderId="0" xfId="375" applyFont="1" applyAlignment="1">
      <alignment horizontal="center"/>
    </xf>
    <xf numFmtId="44" fontId="63" fillId="0" borderId="0" xfId="0" applyNumberFormat="1" applyFont="1"/>
    <xf numFmtId="166" fontId="66" fillId="0" borderId="20" xfId="103" applyNumberFormat="1" applyFont="1" applyBorder="1"/>
    <xf numFmtId="166" fontId="64" fillId="0" borderId="0" xfId="103" applyNumberFormat="1" applyFont="1" applyFill="1" applyAlignment="1">
      <alignment horizontal="right" indent="1"/>
    </xf>
    <xf numFmtId="1" fontId="63" fillId="0" borderId="0" xfId="0" applyNumberFormat="1" applyFont="1"/>
    <xf numFmtId="1" fontId="63" fillId="0" borderId="0" xfId="375" applyNumberFormat="1" applyFont="1"/>
    <xf numFmtId="166" fontId="63" fillId="42" borderId="0" xfId="103" applyNumberFormat="1" applyFont="1" applyFill="1"/>
    <xf numFmtId="0" fontId="63" fillId="42" borderId="0" xfId="375" applyFont="1" applyFill="1"/>
    <xf numFmtId="0" fontId="69" fillId="0" borderId="0" xfId="0" applyFont="1"/>
    <xf numFmtId="1" fontId="69" fillId="0" borderId="0" xfId="0" applyNumberFormat="1" applyFont="1"/>
    <xf numFmtId="0" fontId="68" fillId="0" borderId="0" xfId="375" applyFont="1" applyAlignment="1">
      <alignment horizontal="left"/>
    </xf>
    <xf numFmtId="0" fontId="63" fillId="0" borderId="0" xfId="0" applyFont="1" applyAlignment="1">
      <alignment vertical="top"/>
    </xf>
    <xf numFmtId="0" fontId="3" fillId="0" borderId="0" xfId="0" applyFont="1" applyAlignment="1">
      <alignment horizontal="left" indent="1"/>
    </xf>
    <xf numFmtId="166" fontId="65" fillId="0" borderId="25" xfId="103" applyNumberFormat="1" applyFont="1" applyBorder="1"/>
    <xf numFmtId="0" fontId="65" fillId="0" borderId="24" xfId="375" applyFont="1" applyBorder="1"/>
    <xf numFmtId="174" fontId="66" fillId="0" borderId="35" xfId="103" applyNumberFormat="1" applyFont="1" applyFill="1" applyBorder="1"/>
    <xf numFmtId="174" fontId="63" fillId="0" borderId="0" xfId="0" applyNumberFormat="1" applyFont="1" applyAlignment="1">
      <alignment vertical="top"/>
    </xf>
    <xf numFmtId="166" fontId="65" fillId="0" borderId="37" xfId="103" applyNumberFormat="1" applyFont="1" applyBorder="1"/>
    <xf numFmtId="0" fontId="65" fillId="0" borderId="21" xfId="375" applyFont="1" applyBorder="1"/>
    <xf numFmtId="166" fontId="64" fillId="0" borderId="0" xfId="0" applyNumberFormat="1" applyFont="1"/>
    <xf numFmtId="0" fontId="69" fillId="0" borderId="0" xfId="375" applyFont="1"/>
    <xf numFmtId="0" fontId="2" fillId="0" borderId="0" xfId="207"/>
    <xf numFmtId="166" fontId="67" fillId="0" borderId="0" xfId="0" applyNumberFormat="1" applyFont="1"/>
    <xf numFmtId="166" fontId="64" fillId="0" borderId="0" xfId="103" applyNumberFormat="1" applyFont="1" applyFill="1" applyBorder="1" applyAlignment="1">
      <alignment horizontal="right" indent="1"/>
    </xf>
    <xf numFmtId="0" fontId="63" fillId="44" borderId="0" xfId="376" applyNumberFormat="1" applyFont="1" applyFill="1" applyAlignment="1">
      <alignment horizontal="center"/>
    </xf>
    <xf numFmtId="174" fontId="63" fillId="44" borderId="0" xfId="376" applyNumberFormat="1" applyFont="1" applyFill="1" applyAlignment="1">
      <alignment horizontal="right"/>
    </xf>
    <xf numFmtId="0" fontId="66" fillId="0" borderId="0" xfId="375" applyFont="1" applyAlignment="1">
      <alignment horizontal="left"/>
    </xf>
    <xf numFmtId="43" fontId="63" fillId="0" borderId="0" xfId="375" applyNumberFormat="1" applyFont="1"/>
    <xf numFmtId="43" fontId="63" fillId="0" borderId="0" xfId="103" applyFont="1"/>
    <xf numFmtId="174" fontId="2" fillId="0" borderId="0" xfId="207" applyNumberFormat="1"/>
    <xf numFmtId="166" fontId="66" fillId="0" borderId="0" xfId="103" applyNumberFormat="1" applyFont="1"/>
    <xf numFmtId="170" fontId="68" fillId="0" borderId="0" xfId="375" applyNumberFormat="1" applyFont="1" applyAlignment="1">
      <alignment horizontal="left"/>
    </xf>
    <xf numFmtId="0" fontId="3" fillId="0" borderId="0" xfId="0" applyFont="1" applyAlignment="1">
      <alignment horizontal="left"/>
    </xf>
    <xf numFmtId="166" fontId="65" fillId="0" borderId="0" xfId="103" applyNumberFormat="1" applyFont="1" applyFill="1"/>
    <xf numFmtId="43" fontId="65" fillId="0" borderId="0" xfId="103" applyFont="1" applyFill="1" applyAlignment="1">
      <alignment horizontal="center"/>
    </xf>
    <xf numFmtId="0" fontId="70" fillId="0" borderId="0" xfId="375" applyFont="1" applyAlignment="1">
      <alignment horizontal="left"/>
    </xf>
    <xf numFmtId="166" fontId="63" fillId="0" borderId="0" xfId="0" applyNumberFormat="1" applyFont="1"/>
    <xf numFmtId="0" fontId="71" fillId="0" borderId="0" xfId="375" applyFont="1" applyAlignment="1">
      <alignment horizontal="center"/>
    </xf>
    <xf numFmtId="0" fontId="72" fillId="0" borderId="0" xfId="375" applyFont="1" applyAlignment="1">
      <alignment horizontal="left"/>
    </xf>
    <xf numFmtId="0" fontId="70" fillId="45" borderId="0" xfId="375" applyFont="1" applyFill="1" applyAlignment="1">
      <alignment horizontal="center" wrapText="1"/>
    </xf>
    <xf numFmtId="0" fontId="70" fillId="46" borderId="0" xfId="375" applyFont="1" applyFill="1" applyAlignment="1">
      <alignment horizontal="center" wrapText="1"/>
    </xf>
    <xf numFmtId="0" fontId="70" fillId="0" borderId="0" xfId="375" applyFont="1" applyAlignment="1">
      <alignment horizontal="center" wrapText="1"/>
    </xf>
    <xf numFmtId="0" fontId="70" fillId="0" borderId="0" xfId="375" applyFont="1" applyAlignment="1">
      <alignment horizontal="center"/>
    </xf>
    <xf numFmtId="0" fontId="61" fillId="0" borderId="38" xfId="375" applyFont="1" applyBorder="1"/>
    <xf numFmtId="0" fontId="61" fillId="0" borderId="39" xfId="375" applyFont="1" applyBorder="1"/>
    <xf numFmtId="17" fontId="70" fillId="45" borderId="0" xfId="375" applyNumberFormat="1" applyFont="1" applyFill="1" applyAlignment="1">
      <alignment horizontal="center"/>
    </xf>
    <xf numFmtId="17" fontId="70" fillId="46" borderId="0" xfId="375" applyNumberFormat="1" applyFont="1" applyFill="1" applyAlignment="1">
      <alignment horizontal="center"/>
    </xf>
    <xf numFmtId="0" fontId="61" fillId="0" borderId="40" xfId="375" applyFont="1" applyBorder="1" applyAlignment="1">
      <alignment horizontal="centerContinuous"/>
    </xf>
    <xf numFmtId="0" fontId="61" fillId="0" borderId="41" xfId="375" applyFont="1" applyBorder="1" applyAlignment="1">
      <alignment horizontal="centerContinuous"/>
    </xf>
    <xf numFmtId="2" fontId="65" fillId="0" borderId="0" xfId="375" applyNumberFormat="1" applyFont="1"/>
    <xf numFmtId="0" fontId="70" fillId="0" borderId="0" xfId="375" applyFont="1"/>
    <xf numFmtId="0" fontId="60" fillId="0" borderId="0" xfId="0" applyFont="1"/>
    <xf numFmtId="166" fontId="64" fillId="0" borderId="0" xfId="103" applyNumberFormat="1" applyFont="1" applyAlignment="1">
      <alignment horizontal="right" indent="1"/>
    </xf>
    <xf numFmtId="166" fontId="64" fillId="0" borderId="0" xfId="103" applyNumberFormat="1" applyFont="1" applyBorder="1" applyAlignment="1">
      <alignment horizontal="right" indent="1"/>
    </xf>
    <xf numFmtId="174" fontId="66" fillId="0" borderId="35" xfId="376" applyNumberFormat="1" applyFont="1" applyFill="1" applyBorder="1"/>
    <xf numFmtId="174" fontId="66" fillId="0" borderId="0" xfId="375" applyNumberFormat="1" applyFont="1" applyAlignment="1">
      <alignment horizontal="right"/>
    </xf>
    <xf numFmtId="166" fontId="64" fillId="0" borderId="0" xfId="103" applyNumberFormat="1" applyFont="1" applyFill="1"/>
    <xf numFmtId="0" fontId="63" fillId="47" borderId="0" xfId="375" applyFont="1" applyFill="1"/>
    <xf numFmtId="166" fontId="63" fillId="47" borderId="0" xfId="0" applyNumberFormat="1" applyFont="1" applyFill="1"/>
    <xf numFmtId="3" fontId="63" fillId="44" borderId="0" xfId="376" applyNumberFormat="1" applyFont="1" applyFill="1" applyAlignment="1">
      <alignment horizontal="center"/>
    </xf>
    <xf numFmtId="174" fontId="63" fillId="44" borderId="0" xfId="103" applyNumberFormat="1" applyFont="1" applyFill="1" applyBorder="1"/>
    <xf numFmtId="166" fontId="64" fillId="0" borderId="0" xfId="103" applyNumberFormat="1" applyFont="1" applyFill="1" applyBorder="1"/>
    <xf numFmtId="0" fontId="63" fillId="0" borderId="0" xfId="0" applyFont="1" applyAlignment="1">
      <alignment horizontal="center"/>
    </xf>
    <xf numFmtId="166" fontId="65" fillId="0" borderId="0" xfId="103" applyNumberFormat="1" applyFont="1" applyFill="1" applyBorder="1"/>
    <xf numFmtId="0" fontId="63" fillId="0" borderId="0" xfId="103" applyNumberFormat="1" applyFont="1"/>
    <xf numFmtId="0" fontId="63" fillId="0" borderId="0" xfId="103" applyNumberFormat="1" applyFont="1" applyFill="1"/>
    <xf numFmtId="174" fontId="68" fillId="0" borderId="0" xfId="375" applyNumberFormat="1" applyFont="1" applyAlignment="1">
      <alignment horizontal="center"/>
    </xf>
    <xf numFmtId="44" fontId="66" fillId="0" borderId="0" xfId="376" applyFont="1" applyFill="1" applyBorder="1"/>
    <xf numFmtId="174" fontId="63" fillId="0" borderId="0" xfId="0" applyNumberFormat="1" applyFont="1" applyAlignment="1">
      <alignment horizontal="center"/>
    </xf>
    <xf numFmtId="43" fontId="65" fillId="0" borderId="0" xfId="375" applyNumberFormat="1" applyFont="1"/>
    <xf numFmtId="2" fontId="64" fillId="0" borderId="0" xfId="0" applyNumberFormat="1" applyFont="1"/>
    <xf numFmtId="166" fontId="64" fillId="0" borderId="42" xfId="103" applyNumberFormat="1" applyFont="1" applyBorder="1"/>
    <xf numFmtId="174" fontId="64" fillId="0" borderId="43" xfId="0" applyNumberFormat="1" applyFont="1" applyBorder="1"/>
    <xf numFmtId="166" fontId="66" fillId="43" borderId="20" xfId="103" applyNumberFormat="1" applyFont="1" applyFill="1" applyBorder="1"/>
    <xf numFmtId="166" fontId="63" fillId="0" borderId="0" xfId="103" applyNumberFormat="1" applyFont="1" applyFill="1" applyBorder="1"/>
    <xf numFmtId="166" fontId="3" fillId="0" borderId="0" xfId="0" applyNumberFormat="1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2" fillId="0" borderId="0" xfId="0" applyFont="1"/>
    <xf numFmtId="166" fontId="63" fillId="47" borderId="0" xfId="103" applyNumberFormat="1" applyFont="1" applyFill="1"/>
    <xf numFmtId="0" fontId="63" fillId="47" borderId="0" xfId="0" applyFont="1" applyFill="1"/>
    <xf numFmtId="166" fontId="69" fillId="0" borderId="0" xfId="103" applyNumberFormat="1" applyFont="1"/>
    <xf numFmtId="0" fontId="63" fillId="0" borderId="0" xfId="0" applyFont="1" applyAlignment="1">
      <alignment horizontal="left"/>
    </xf>
    <xf numFmtId="174" fontId="68" fillId="0" borderId="0" xfId="375" applyNumberFormat="1" applyFont="1" applyAlignment="1">
      <alignment horizontal="left"/>
    </xf>
    <xf numFmtId="43" fontId="63" fillId="0" borderId="0" xfId="103" applyFont="1" applyFill="1" applyAlignment="1">
      <alignment horizontal="left"/>
    </xf>
    <xf numFmtId="174" fontId="63" fillId="0" borderId="0" xfId="103" applyNumberFormat="1" applyFont="1" applyFill="1" applyAlignment="1">
      <alignment horizontal="left"/>
    </xf>
    <xf numFmtId="166" fontId="65" fillId="0" borderId="42" xfId="103" applyNumberFormat="1" applyFont="1" applyBorder="1"/>
    <xf numFmtId="0" fontId="65" fillId="0" borderId="43" xfId="375" applyFont="1" applyBorder="1"/>
    <xf numFmtId="174" fontId="66" fillId="0" borderId="0" xfId="375" applyNumberFormat="1" applyFont="1" applyAlignment="1">
      <alignment horizontal="left"/>
    </xf>
    <xf numFmtId="0" fontId="65" fillId="0" borderId="0" xfId="375" applyFont="1" applyAlignment="1">
      <alignment horizontal="center"/>
    </xf>
    <xf numFmtId="174" fontId="70" fillId="44" borderId="0" xfId="376" applyNumberFormat="1" applyFont="1" applyFill="1" applyAlignment="1">
      <alignment horizontal="center" wrapText="1"/>
    </xf>
    <xf numFmtId="174" fontId="70" fillId="44" borderId="0" xfId="376" applyNumberFormat="1" applyFont="1" applyFill="1" applyAlignment="1">
      <alignment horizontal="center"/>
    </xf>
    <xf numFmtId="174" fontId="64" fillId="0" borderId="0" xfId="376" applyNumberFormat="1" applyFont="1" applyAlignment="1">
      <alignment horizontal="right"/>
    </xf>
    <xf numFmtId="174" fontId="63" fillId="0" borderId="0" xfId="376" applyNumberFormat="1" applyFont="1" applyAlignment="1">
      <alignment horizontal="right"/>
    </xf>
    <xf numFmtId="0" fontId="64" fillId="0" borderId="25" xfId="0" applyFont="1" applyBorder="1"/>
    <xf numFmtId="0" fontId="64" fillId="0" borderId="44" xfId="0" applyFont="1" applyBorder="1"/>
    <xf numFmtId="0" fontId="64" fillId="0" borderId="24" xfId="0" applyFont="1" applyBorder="1"/>
    <xf numFmtId="174" fontId="64" fillId="0" borderId="23" xfId="0" applyNumberFormat="1" applyFont="1" applyBorder="1"/>
    <xf numFmtId="0" fontId="64" fillId="0" borderId="22" xfId="0" applyFont="1" applyBorder="1"/>
    <xf numFmtId="174" fontId="64" fillId="0" borderId="1" xfId="0" applyNumberFormat="1" applyFont="1" applyBorder="1"/>
    <xf numFmtId="0" fontId="64" fillId="0" borderId="45" xfId="0" applyFont="1" applyBorder="1"/>
    <xf numFmtId="174" fontId="64" fillId="0" borderId="37" xfId="0" applyNumberFormat="1" applyFont="1" applyBorder="1"/>
    <xf numFmtId="174" fontId="64" fillId="0" borderId="46" xfId="0" applyNumberFormat="1" applyFont="1" applyBorder="1"/>
    <xf numFmtId="0" fontId="64" fillId="0" borderId="21" xfId="0" applyFont="1" applyBorder="1"/>
    <xf numFmtId="9" fontId="63" fillId="0" borderId="0" xfId="377" applyFont="1"/>
    <xf numFmtId="0" fontId="66" fillId="0" borderId="0" xfId="375" applyFont="1" applyAlignment="1">
      <alignment horizontal="right"/>
    </xf>
    <xf numFmtId="164" fontId="64" fillId="0" borderId="0" xfId="2" applyNumberFormat="1" applyFont="1"/>
    <xf numFmtId="164" fontId="65" fillId="0" borderId="0" xfId="2" applyNumberFormat="1" applyFont="1"/>
    <xf numFmtId="174" fontId="63" fillId="0" borderId="0" xfId="376" applyNumberFormat="1" applyFont="1" applyFill="1" applyAlignment="1">
      <alignment horizontal="right"/>
    </xf>
    <xf numFmtId="175" fontId="64" fillId="0" borderId="0" xfId="0" applyNumberFormat="1" applyFont="1"/>
    <xf numFmtId="176" fontId="66" fillId="0" borderId="35" xfId="376" applyNumberFormat="1" applyFont="1" applyFill="1" applyBorder="1"/>
    <xf numFmtId="0" fontId="63" fillId="0" borderId="0" xfId="376" applyNumberFormat="1" applyFont="1" applyFill="1" applyAlignment="1">
      <alignment horizontal="center"/>
    </xf>
    <xf numFmtId="9" fontId="64" fillId="0" borderId="0" xfId="378" applyFont="1"/>
    <xf numFmtId="44" fontId="64" fillId="0" borderId="0" xfId="2" applyFont="1"/>
    <xf numFmtId="166" fontId="0" fillId="48" borderId="0" xfId="0" applyNumberFormat="1" applyFill="1"/>
    <xf numFmtId="10" fontId="65" fillId="0" borderId="0" xfId="378" applyNumberFormat="1" applyFont="1"/>
    <xf numFmtId="164" fontId="65" fillId="0" borderId="0" xfId="375" applyNumberFormat="1" applyFont="1"/>
    <xf numFmtId="174" fontId="65" fillId="0" borderId="0" xfId="376" applyNumberFormat="1" applyFont="1" applyFill="1" applyAlignment="1">
      <alignment horizontal="right"/>
    </xf>
    <xf numFmtId="174" fontId="65" fillId="0" borderId="0" xfId="376" applyNumberFormat="1" applyFont="1" applyAlignment="1">
      <alignment horizontal="right"/>
    </xf>
    <xf numFmtId="44" fontId="64" fillId="45" borderId="25" xfId="2" applyFont="1" applyFill="1" applyBorder="1"/>
    <xf numFmtId="0" fontId="64" fillId="45" borderId="24" xfId="0" applyFont="1" applyFill="1" applyBorder="1"/>
    <xf numFmtId="44" fontId="64" fillId="45" borderId="27" xfId="2" applyFont="1" applyFill="1" applyBorder="1"/>
    <xf numFmtId="0" fontId="64" fillId="45" borderId="45" xfId="0" applyFont="1" applyFill="1" applyBorder="1"/>
    <xf numFmtId="44" fontId="64" fillId="45" borderId="37" xfId="2" applyFont="1" applyFill="1" applyBorder="1"/>
    <xf numFmtId="0" fontId="64" fillId="45" borderId="21" xfId="0" applyFont="1" applyFill="1" applyBorder="1"/>
    <xf numFmtId="174" fontId="65" fillId="0" borderId="0" xfId="376" applyNumberFormat="1" applyFont="1" applyAlignment="1">
      <alignment horizontal="center"/>
    </xf>
    <xf numFmtId="174" fontId="64" fillId="0" borderId="0" xfId="376" applyNumberFormat="1" applyFont="1" applyAlignment="1">
      <alignment horizontal="center"/>
    </xf>
    <xf numFmtId="166" fontId="70" fillId="49" borderId="0" xfId="322" applyNumberFormat="1" applyFont="1" applyFill="1" applyAlignment="1">
      <alignment horizontal="center" wrapText="1"/>
    </xf>
    <xf numFmtId="0" fontId="70" fillId="49" borderId="0" xfId="375" applyFont="1" applyFill="1" applyAlignment="1">
      <alignment horizontal="center" wrapText="1"/>
    </xf>
    <xf numFmtId="10" fontId="64" fillId="0" borderId="0" xfId="0" applyNumberFormat="1" applyFont="1"/>
    <xf numFmtId="10" fontId="69" fillId="0" borderId="0" xfId="377" applyNumberFormat="1" applyFont="1"/>
    <xf numFmtId="0" fontId="60" fillId="0" borderId="0" xfId="0" applyFont="1" applyAlignment="1">
      <alignment horizontal="right"/>
    </xf>
    <xf numFmtId="0" fontId="62" fillId="50" borderId="0" xfId="375" applyFont="1" applyFill="1" applyAlignment="1">
      <alignment horizontal="center" wrapText="1"/>
    </xf>
    <xf numFmtId="0" fontId="61" fillId="50" borderId="0" xfId="375" applyFont="1" applyFill="1"/>
    <xf numFmtId="177" fontId="63" fillId="0" borderId="0" xfId="0" applyNumberFormat="1" applyFont="1"/>
    <xf numFmtId="9" fontId="63" fillId="0" borderId="0" xfId="377" applyFont="1" applyAlignment="1">
      <alignment horizontal="center"/>
    </xf>
    <xf numFmtId="9" fontId="63" fillId="0" borderId="0" xfId="377" applyFont="1" applyFill="1" applyAlignment="1">
      <alignment horizontal="center"/>
    </xf>
    <xf numFmtId="0" fontId="65" fillId="51" borderId="0" xfId="375" applyFont="1" applyFill="1"/>
    <xf numFmtId="164" fontId="64" fillId="51" borderId="0" xfId="2" applyNumberFormat="1" applyFont="1" applyFill="1"/>
    <xf numFmtId="44" fontId="64" fillId="51" borderId="0" xfId="2" applyFont="1" applyFill="1"/>
    <xf numFmtId="0" fontId="63" fillId="0" borderId="0" xfId="377" applyNumberFormat="1" applyFont="1"/>
    <xf numFmtId="0" fontId="63" fillId="45" borderId="0" xfId="0" applyFont="1" applyFill="1"/>
    <xf numFmtId="166" fontId="63" fillId="45" borderId="0" xfId="103" applyNumberFormat="1" applyFont="1" applyFill="1"/>
    <xf numFmtId="0" fontId="63" fillId="45" borderId="0" xfId="375" applyFont="1" applyFill="1"/>
    <xf numFmtId="1" fontId="65" fillId="45" borderId="0" xfId="375" applyNumberFormat="1" applyFont="1" applyFill="1"/>
    <xf numFmtId="166" fontId="0" fillId="45" borderId="0" xfId="0" applyNumberFormat="1" applyFill="1"/>
    <xf numFmtId="166" fontId="65" fillId="45" borderId="0" xfId="103" applyNumberFormat="1" applyFont="1" applyFill="1"/>
    <xf numFmtId="0" fontId="65" fillId="45" borderId="0" xfId="375" applyFont="1" applyFill="1"/>
    <xf numFmtId="0" fontId="3" fillId="45" borderId="0" xfId="0" applyFont="1" applyFill="1"/>
    <xf numFmtId="0" fontId="3" fillId="45" borderId="0" xfId="0" applyFont="1" applyFill="1" applyAlignment="1">
      <alignment horizontal="left" indent="1"/>
    </xf>
    <xf numFmtId="0" fontId="0" fillId="45" borderId="0" xfId="0" applyFill="1"/>
    <xf numFmtId="166" fontId="67" fillId="45" borderId="36" xfId="0" applyNumberFormat="1" applyFont="1" applyFill="1" applyBorder="1"/>
    <xf numFmtId="0" fontId="0" fillId="52" borderId="0" xfId="0" applyFill="1"/>
    <xf numFmtId="166" fontId="65" fillId="52" borderId="0" xfId="103" applyNumberFormat="1" applyFont="1" applyFill="1"/>
    <xf numFmtId="0" fontId="65" fillId="52" borderId="0" xfId="375" applyFont="1" applyFill="1"/>
    <xf numFmtId="0" fontId="3" fillId="52" borderId="0" xfId="0" applyFont="1" applyFill="1"/>
    <xf numFmtId="0" fontId="3" fillId="52" borderId="0" xfId="0" applyFont="1" applyFill="1" applyAlignment="1">
      <alignment horizontal="left" indent="1"/>
    </xf>
    <xf numFmtId="43" fontId="0" fillId="52" borderId="0" xfId="0" applyNumberFormat="1" applyFill="1"/>
    <xf numFmtId="166" fontId="11" fillId="0" borderId="0" xfId="1" applyNumberFormat="1" applyFont="1" applyFill="1" applyBorder="1"/>
    <xf numFmtId="0" fontId="69" fillId="45" borderId="0" xfId="375" applyFont="1" applyFill="1"/>
    <xf numFmtId="43" fontId="0" fillId="45" borderId="0" xfId="0" applyNumberFormat="1" applyFill="1"/>
    <xf numFmtId="166" fontId="0" fillId="0" borderId="0" xfId="1" applyNumberFormat="1" applyFont="1" applyFill="1" applyBorder="1" applyAlignment="1">
      <alignment horizontal="right"/>
    </xf>
    <xf numFmtId="43" fontId="63" fillId="45" borderId="0" xfId="1" applyFont="1" applyFill="1"/>
    <xf numFmtId="0" fontId="0" fillId="40" borderId="0" xfId="0" applyFill="1" applyAlignment="1">
      <alignment horizontal="center" vertical="center"/>
    </xf>
    <xf numFmtId="166" fontId="11" fillId="0" borderId="0" xfId="1" applyNumberFormat="1" applyFont="1" applyFill="1" applyBorder="1" applyAlignment="1">
      <alignment horizontal="left"/>
    </xf>
    <xf numFmtId="14" fontId="0" fillId="0" borderId="0" xfId="0" applyNumberFormat="1"/>
    <xf numFmtId="43" fontId="3" fillId="0" borderId="0" xfId="1" applyFont="1" applyAlignment="1">
      <alignment horizontal="center"/>
    </xf>
    <xf numFmtId="43" fontId="3" fillId="6" borderId="0" xfId="1" applyFont="1" applyFill="1" applyAlignment="1">
      <alignment horizontal="center" wrapText="1"/>
    </xf>
    <xf numFmtId="43" fontId="0" fillId="0" borderId="0" xfId="1" applyFont="1" applyFill="1"/>
    <xf numFmtId="9" fontId="0" fillId="0" borderId="0" xfId="3" applyFont="1"/>
    <xf numFmtId="0" fontId="2" fillId="0" borderId="0" xfId="17"/>
    <xf numFmtId="10" fontId="2" fillId="0" borderId="0" xfId="379" applyNumberFormat="1" applyFont="1" applyBorder="1"/>
    <xf numFmtId="176" fontId="2" fillId="0" borderId="0" xfId="17" applyNumberFormat="1"/>
    <xf numFmtId="10" fontId="2" fillId="0" borderId="47" xfId="379" applyNumberFormat="1" applyFont="1" applyBorder="1"/>
    <xf numFmtId="10" fontId="2" fillId="0" borderId="48" xfId="379" applyNumberFormat="1" applyFont="1" applyBorder="1"/>
    <xf numFmtId="0" fontId="2" fillId="0" borderId="48" xfId="17" applyBorder="1"/>
    <xf numFmtId="0" fontId="0" fillId="0" borderId="48" xfId="0" applyBorder="1"/>
    <xf numFmtId="176" fontId="2" fillId="0" borderId="48" xfId="17" applyNumberFormat="1" applyBorder="1"/>
    <xf numFmtId="0" fontId="2" fillId="0" borderId="49" xfId="17" applyBorder="1"/>
    <xf numFmtId="10" fontId="2" fillId="0" borderId="50" xfId="379" applyNumberFormat="1" applyFont="1" applyBorder="1"/>
    <xf numFmtId="0" fontId="2" fillId="0" borderId="51" xfId="17" applyBorder="1"/>
    <xf numFmtId="43" fontId="2" fillId="0" borderId="0" xfId="17" applyNumberFormat="1"/>
    <xf numFmtId="0" fontId="74" fillId="0" borderId="51" xfId="17" applyFont="1" applyBorder="1"/>
    <xf numFmtId="176" fontId="2" fillId="53" borderId="25" xfId="17" applyNumberFormat="1" applyFill="1" applyBorder="1"/>
    <xf numFmtId="174" fontId="2" fillId="0" borderId="44" xfId="17" applyNumberFormat="1" applyBorder="1" applyAlignment="1">
      <alignment horizontal="center"/>
    </xf>
    <xf numFmtId="0" fontId="2" fillId="0" borderId="52" xfId="17" applyBorder="1"/>
    <xf numFmtId="176" fontId="2" fillId="53" borderId="27" xfId="376" applyNumberFormat="1" applyFont="1" applyFill="1" applyBorder="1"/>
    <xf numFmtId="174" fontId="2" fillId="45" borderId="1" xfId="376" applyNumberFormat="1" applyFont="1" applyFill="1" applyBorder="1" applyAlignment="1">
      <alignment horizontal="center"/>
    </xf>
    <xf numFmtId="0" fontId="2" fillId="0" borderId="53" xfId="17" applyBorder="1"/>
    <xf numFmtId="176" fontId="2" fillId="53" borderId="23" xfId="17" applyNumberFormat="1" applyFill="1" applyBorder="1"/>
    <xf numFmtId="174" fontId="2" fillId="0" borderId="0" xfId="17" applyNumberFormat="1" applyAlignment="1">
      <alignment horizontal="center"/>
    </xf>
    <xf numFmtId="174" fontId="2" fillId="0" borderId="1" xfId="17" applyNumberFormat="1" applyBorder="1" applyAlignment="1">
      <alignment horizontal="center"/>
    </xf>
    <xf numFmtId="178" fontId="2" fillId="53" borderId="23" xfId="1" applyNumberFormat="1" applyFont="1" applyFill="1" applyBorder="1"/>
    <xf numFmtId="39" fontId="2" fillId="0" borderId="0" xfId="1" applyNumberFormat="1" applyFont="1" applyBorder="1" applyAlignment="1">
      <alignment horizontal="center"/>
    </xf>
    <xf numFmtId="176" fontId="2" fillId="0" borderId="23" xfId="17" applyNumberFormat="1" applyBorder="1"/>
    <xf numFmtId="0" fontId="75" fillId="0" borderId="0" xfId="17" applyFont="1"/>
    <xf numFmtId="0" fontId="75" fillId="0" borderId="51" xfId="17" applyFont="1" applyBorder="1"/>
    <xf numFmtId="176" fontId="2" fillId="0" borderId="37" xfId="17" applyNumberFormat="1" applyBorder="1"/>
    <xf numFmtId="44" fontId="2" fillId="0" borderId="46" xfId="17" applyNumberFormat="1" applyBorder="1"/>
    <xf numFmtId="169" fontId="2" fillId="0" borderId="46" xfId="17" applyNumberFormat="1" applyBorder="1"/>
    <xf numFmtId="181" fontId="2" fillId="0" borderId="46" xfId="17" applyNumberFormat="1" applyBorder="1"/>
    <xf numFmtId="0" fontId="76" fillId="0" borderId="46" xfId="17" applyFont="1" applyBorder="1"/>
    <xf numFmtId="0" fontId="76" fillId="0" borderId="54" xfId="17" applyFont="1" applyBorder="1"/>
    <xf numFmtId="0" fontId="2" fillId="0" borderId="0" xfId="0" applyFont="1"/>
    <xf numFmtId="10" fontId="2" fillId="0" borderId="50" xfId="378" applyNumberFormat="1" applyFont="1" applyBorder="1"/>
    <xf numFmtId="10" fontId="2" fillId="0" borderId="0" xfId="378" applyNumberFormat="1" applyFont="1" applyBorder="1"/>
    <xf numFmtId="176" fontId="2" fillId="0" borderId="0" xfId="0" applyNumberFormat="1" applyFont="1"/>
    <xf numFmtId="0" fontId="2" fillId="0" borderId="51" xfId="0" applyFont="1" applyBorder="1"/>
    <xf numFmtId="10" fontId="2" fillId="0" borderId="50" xfId="378" applyNumberFormat="1" applyFont="1" applyFill="1" applyBorder="1"/>
    <xf numFmtId="176" fontId="2" fillId="0" borderId="25" xfId="0" applyNumberFormat="1" applyFont="1" applyBorder="1"/>
    <xf numFmtId="0" fontId="2" fillId="0" borderId="44" xfId="0" applyFont="1" applyBorder="1"/>
    <xf numFmtId="0" fontId="2" fillId="0" borderId="52" xfId="0" applyFont="1" applyBorder="1"/>
    <xf numFmtId="176" fontId="74" fillId="0" borderId="23" xfId="2" applyNumberFormat="1" applyFont="1" applyBorder="1"/>
    <xf numFmtId="37" fontId="2" fillId="0" borderId="0" xfId="1" applyNumberFormat="1" applyFont="1" applyBorder="1" applyAlignment="1">
      <alignment horizontal="center"/>
    </xf>
    <xf numFmtId="176" fontId="2" fillId="53" borderId="23" xfId="376" applyNumberFormat="1" applyFont="1" applyFill="1" applyBorder="1"/>
    <xf numFmtId="176" fontId="2" fillId="0" borderId="0" xfId="0" applyNumberFormat="1" applyFont="1" applyAlignment="1">
      <alignment horizontal="center"/>
    </xf>
    <xf numFmtId="176" fontId="2" fillId="45" borderId="0" xfId="2" applyNumberFormat="1" applyFont="1" applyFill="1" applyBorder="1" applyAlignment="1">
      <alignment horizontal="center"/>
    </xf>
    <xf numFmtId="0" fontId="74" fillId="0" borderId="51" xfId="0" applyFont="1" applyBorder="1"/>
    <xf numFmtId="176" fontId="2" fillId="41" borderId="23" xfId="376" applyNumberFormat="1" applyFont="1" applyFill="1" applyBorder="1"/>
    <xf numFmtId="176" fontId="2" fillId="0" borderId="23" xfId="0" applyNumberFormat="1" applyFont="1" applyBorder="1"/>
    <xf numFmtId="174" fontId="2" fillId="0" borderId="0" xfId="0" applyNumberFormat="1" applyFont="1" applyAlignment="1">
      <alignment horizontal="center"/>
    </xf>
    <xf numFmtId="0" fontId="76" fillId="0" borderId="51" xfId="0" applyFont="1" applyBorder="1"/>
    <xf numFmtId="176" fontId="2" fillId="53" borderId="23" xfId="0" applyNumberFormat="1" applyFont="1" applyFill="1" applyBorder="1"/>
    <xf numFmtId="176" fontId="2" fillId="41" borderId="23" xfId="0" applyNumberFormat="1" applyFont="1" applyFill="1" applyBorder="1"/>
    <xf numFmtId="174" fontId="2" fillId="0" borderId="0" xfId="378" applyNumberFormat="1" applyFont="1" applyBorder="1"/>
    <xf numFmtId="176" fontId="2" fillId="0" borderId="37" xfId="0" applyNumberFormat="1" applyFont="1" applyBorder="1"/>
    <xf numFmtId="0" fontId="2" fillId="0" borderId="46" xfId="0" applyFont="1" applyBorder="1"/>
    <xf numFmtId="0" fontId="76" fillId="0" borderId="54" xfId="0" applyFont="1" applyBorder="1"/>
    <xf numFmtId="10" fontId="74" fillId="0" borderId="50" xfId="378" applyNumberFormat="1" applyFont="1" applyBorder="1"/>
    <xf numFmtId="10" fontId="74" fillId="0" borderId="0" xfId="378" applyNumberFormat="1" applyFont="1" applyBorder="1"/>
    <xf numFmtId="44" fontId="74" fillId="0" borderId="0" xfId="0" applyNumberFormat="1" applyFont="1"/>
    <xf numFmtId="174" fontId="2" fillId="0" borderId="0" xfId="0" applyNumberFormat="1" applyFont="1"/>
    <xf numFmtId="44" fontId="2" fillId="0" borderId="0" xfId="17" applyNumberFormat="1"/>
    <xf numFmtId="10" fontId="74" fillId="0" borderId="50" xfId="379" applyNumberFormat="1" applyFont="1" applyBorder="1"/>
    <xf numFmtId="10" fontId="74" fillId="0" borderId="0" xfId="379" applyNumberFormat="1" applyFont="1" applyBorder="1"/>
    <xf numFmtId="44" fontId="74" fillId="0" borderId="0" xfId="17" applyNumberFormat="1" applyFont="1"/>
    <xf numFmtId="0" fontId="74" fillId="0" borderId="52" xfId="17" applyFont="1" applyBorder="1"/>
    <xf numFmtId="176" fontId="74" fillId="53" borderId="23" xfId="376" applyNumberFormat="1" applyFont="1" applyFill="1" applyBorder="1"/>
    <xf numFmtId="174" fontId="2" fillId="45" borderId="0" xfId="376" applyNumberFormat="1" applyFont="1" applyFill="1" applyBorder="1" applyAlignment="1">
      <alignment horizontal="center"/>
    </xf>
    <xf numFmtId="174" fontId="74" fillId="0" borderId="0" xfId="376" applyNumberFormat="1" applyFont="1" applyBorder="1" applyAlignment="1">
      <alignment horizontal="center"/>
    </xf>
    <xf numFmtId="176" fontId="74" fillId="0" borderId="23" xfId="17" applyNumberFormat="1" applyFont="1" applyBorder="1"/>
    <xf numFmtId="43" fontId="2" fillId="0" borderId="0" xfId="103" applyFont="1" applyBorder="1" applyAlignment="1">
      <alignment horizontal="center"/>
    </xf>
    <xf numFmtId="44" fontId="2" fillId="0" borderId="0" xfId="17" applyNumberFormat="1" applyAlignment="1">
      <alignment horizontal="center"/>
    </xf>
    <xf numFmtId="44" fontId="2" fillId="0" borderId="51" xfId="17" applyNumberFormat="1" applyBorder="1"/>
    <xf numFmtId="174" fontId="2" fillId="0" borderId="0" xfId="103" applyNumberFormat="1" applyFont="1" applyBorder="1" applyAlignment="1">
      <alignment horizontal="center"/>
    </xf>
    <xf numFmtId="0" fontId="2" fillId="0" borderId="0" xfId="17" applyAlignment="1">
      <alignment horizontal="center"/>
    </xf>
    <xf numFmtId="10" fontId="2" fillId="0" borderId="50" xfId="379" applyNumberFormat="1" applyFont="1" applyFill="1" applyBorder="1"/>
    <xf numFmtId="174" fontId="74" fillId="0" borderId="0" xfId="103" applyNumberFormat="1" applyFont="1" applyBorder="1" applyAlignment="1">
      <alignment horizontal="center"/>
    </xf>
    <xf numFmtId="10" fontId="74" fillId="0" borderId="50" xfId="379" applyNumberFormat="1" applyFont="1" applyFill="1" applyBorder="1"/>
    <xf numFmtId="176" fontId="74" fillId="53" borderId="23" xfId="376" applyNumberFormat="1" applyFont="1" applyFill="1" applyBorder="1" applyAlignment="1">
      <alignment horizontal="center"/>
    </xf>
    <xf numFmtId="174" fontId="74" fillId="0" borderId="0" xfId="17" applyNumberFormat="1" applyFont="1" applyAlignment="1">
      <alignment horizontal="center"/>
    </xf>
    <xf numFmtId="176" fontId="2" fillId="0" borderId="50" xfId="379" applyNumberFormat="1" applyFont="1" applyFill="1" applyBorder="1"/>
    <xf numFmtId="176" fontId="2" fillId="51" borderId="23" xfId="376" applyNumberFormat="1" applyFont="1" applyFill="1" applyBorder="1"/>
    <xf numFmtId="174" fontId="2" fillId="2" borderId="0" xfId="103" applyNumberFormat="1" applyFont="1" applyFill="1" applyBorder="1" applyAlignment="1">
      <alignment horizontal="center"/>
    </xf>
    <xf numFmtId="0" fontId="2" fillId="0" borderId="51" xfId="17" applyBorder="1" applyAlignment="1">
      <alignment horizontal="left"/>
    </xf>
    <xf numFmtId="176" fontId="2" fillId="40" borderId="23" xfId="376" applyNumberFormat="1" applyFont="1" applyFill="1" applyBorder="1"/>
    <xf numFmtId="174" fontId="2" fillId="54" borderId="0" xfId="103" applyNumberFormat="1" applyFont="1" applyFill="1" applyBorder="1" applyAlignment="1">
      <alignment horizontal="center"/>
    </xf>
    <xf numFmtId="176" fontId="2" fillId="0" borderId="0" xfId="379" applyNumberFormat="1" applyFont="1" applyBorder="1"/>
    <xf numFmtId="10" fontId="2" fillId="0" borderId="0" xfId="379" applyNumberFormat="1" applyFont="1" applyFill="1" applyBorder="1"/>
    <xf numFmtId="176" fontId="2" fillId="0" borderId="23" xfId="376" applyNumberFormat="1" applyFont="1" applyBorder="1"/>
    <xf numFmtId="44" fontId="2" fillId="0" borderId="0" xfId="103" applyNumberFormat="1" applyFont="1" applyBorder="1"/>
    <xf numFmtId="0" fontId="2" fillId="0" borderId="0" xfId="17" applyAlignment="1">
      <alignment horizontal="left"/>
    </xf>
    <xf numFmtId="44" fontId="2" fillId="0" borderId="25" xfId="2" applyFont="1" applyBorder="1"/>
    <xf numFmtId="0" fontId="2" fillId="0" borderId="24" xfId="17" applyBorder="1"/>
    <xf numFmtId="37" fontId="2" fillId="45" borderId="0" xfId="17" applyNumberFormat="1" applyFill="1" applyAlignment="1">
      <alignment horizontal="center"/>
    </xf>
    <xf numFmtId="10" fontId="2" fillId="0" borderId="23" xfId="379" applyNumberFormat="1" applyFont="1" applyBorder="1"/>
    <xf numFmtId="0" fontId="2" fillId="0" borderId="22" xfId="17" applyBorder="1"/>
    <xf numFmtId="176" fontId="2" fillId="0" borderId="23" xfId="379" applyNumberFormat="1" applyFont="1" applyBorder="1"/>
    <xf numFmtId="44" fontId="2" fillId="0" borderId="22" xfId="17" applyNumberFormat="1" applyBorder="1"/>
    <xf numFmtId="0" fontId="74" fillId="0" borderId="0" xfId="17" applyFont="1"/>
    <xf numFmtId="164" fontId="2" fillId="0" borderId="23" xfId="2" applyNumberFormat="1" applyFont="1" applyBorder="1"/>
    <xf numFmtId="176" fontId="2" fillId="53" borderId="23" xfId="103" applyNumberFormat="1" applyFont="1" applyFill="1" applyBorder="1"/>
    <xf numFmtId="43" fontId="2" fillId="0" borderId="0" xfId="103" applyFont="1" applyBorder="1"/>
    <xf numFmtId="164" fontId="2" fillId="0" borderId="27" xfId="2" applyNumberFormat="1" applyFont="1" applyBorder="1"/>
    <xf numFmtId="176" fontId="74" fillId="0" borderId="22" xfId="17" applyNumberFormat="1" applyFont="1" applyBorder="1"/>
    <xf numFmtId="44" fontId="74" fillId="0" borderId="22" xfId="17" applyNumberFormat="1" applyFont="1" applyBorder="1"/>
    <xf numFmtId="174" fontId="2" fillId="0" borderId="0" xfId="103" applyNumberFormat="1" applyFont="1" applyFill="1" applyBorder="1" applyAlignment="1">
      <alignment horizontal="center"/>
    </xf>
    <xf numFmtId="164" fontId="2" fillId="0" borderId="37" xfId="2" applyNumberFormat="1" applyFont="1" applyBorder="1"/>
    <xf numFmtId="176" fontId="74" fillId="0" borderId="21" xfId="17" applyNumberFormat="1" applyFont="1" applyBorder="1"/>
    <xf numFmtId="7" fontId="2" fillId="45" borderId="0" xfId="17" applyNumberFormat="1" applyFill="1" applyAlignment="1">
      <alignment horizontal="center"/>
    </xf>
    <xf numFmtId="0" fontId="18" fillId="0" borderId="50" xfId="380" applyFont="1" applyBorder="1"/>
    <xf numFmtId="44" fontId="2" fillId="0" borderId="0" xfId="379" applyNumberFormat="1" applyFont="1" applyBorder="1"/>
    <xf numFmtId="176" fontId="74" fillId="0" borderId="0" xfId="17" applyNumberFormat="1" applyFont="1"/>
    <xf numFmtId="0" fontId="18" fillId="0" borderId="0" xfId="380" applyFont="1"/>
    <xf numFmtId="176" fontId="74" fillId="53" borderId="23" xfId="17" applyNumberFormat="1" applyFont="1" applyFill="1" applyBorder="1" applyAlignment="1">
      <alignment horizontal="center"/>
    </xf>
    <xf numFmtId="17" fontId="74" fillId="0" borderId="0" xfId="17" applyNumberFormat="1" applyFont="1" applyAlignment="1">
      <alignment horizontal="center"/>
    </xf>
    <xf numFmtId="0" fontId="2" fillId="0" borderId="46" xfId="17" applyBorder="1"/>
    <xf numFmtId="43" fontId="2" fillId="0" borderId="46" xfId="17" applyNumberFormat="1" applyBorder="1"/>
    <xf numFmtId="166" fontId="18" fillId="0" borderId="0" xfId="103" applyNumberFormat="1" applyFont="1" applyBorder="1"/>
    <xf numFmtId="176" fontId="74" fillId="0" borderId="0" xfId="379" applyNumberFormat="1" applyFont="1" applyBorder="1"/>
    <xf numFmtId="1" fontId="2" fillId="0" borderId="0" xfId="17" applyNumberFormat="1"/>
    <xf numFmtId="166" fontId="2" fillId="0" borderId="0" xfId="1" applyNumberFormat="1" applyFont="1" applyBorder="1"/>
    <xf numFmtId="183" fontId="2" fillId="0" borderId="0" xfId="17" applyNumberFormat="1"/>
    <xf numFmtId="176" fontId="74" fillId="53" borderId="23" xfId="103" applyNumberFormat="1" applyFont="1" applyFill="1" applyBorder="1"/>
    <xf numFmtId="174" fontId="74" fillId="0" borderId="0" xfId="103" applyNumberFormat="1" applyFont="1" applyFill="1" applyBorder="1"/>
    <xf numFmtId="174" fontId="2" fillId="2" borderId="0" xfId="103" applyNumberFormat="1" applyFont="1" applyFill="1" applyBorder="1"/>
    <xf numFmtId="176" fontId="2" fillId="55" borderId="23" xfId="376" applyNumberFormat="1" applyFont="1" applyFill="1" applyBorder="1"/>
    <xf numFmtId="174" fontId="2" fillId="54" borderId="0" xfId="103" applyNumberFormat="1" applyFont="1" applyFill="1" applyBorder="1"/>
    <xf numFmtId="174" fontId="2" fillId="0" borderId="0" xfId="379" applyNumberFormat="1" applyFont="1" applyBorder="1"/>
    <xf numFmtId="174" fontId="2" fillId="0" borderId="1" xfId="379" applyNumberFormat="1" applyFont="1" applyBorder="1"/>
    <xf numFmtId="8" fontId="2" fillId="0" borderId="0" xfId="17" applyNumberFormat="1" applyAlignment="1">
      <alignment horizontal="center"/>
    </xf>
    <xf numFmtId="4" fontId="2" fillId="0" borderId="0" xfId="17" applyNumberFormat="1"/>
    <xf numFmtId="7" fontId="2" fillId="0" borderId="0" xfId="103" applyNumberFormat="1" applyFont="1" applyFill="1" applyBorder="1" applyAlignment="1">
      <alignment horizontal="center"/>
    </xf>
    <xf numFmtId="9" fontId="74" fillId="0" borderId="0" xfId="17" applyNumberFormat="1" applyFont="1"/>
    <xf numFmtId="176" fontId="74" fillId="0" borderId="23" xfId="17" applyNumberFormat="1" applyFont="1" applyBorder="1" applyAlignment="1">
      <alignment horizontal="center"/>
    </xf>
    <xf numFmtId="182" fontId="2" fillId="0" borderId="46" xfId="17" applyNumberFormat="1" applyBorder="1"/>
    <xf numFmtId="10" fontId="2" fillId="0" borderId="55" xfId="379" applyNumberFormat="1" applyFont="1" applyBorder="1"/>
    <xf numFmtId="10" fontId="2" fillId="0" borderId="56" xfId="379" applyNumberFormat="1" applyFont="1" applyBorder="1"/>
    <xf numFmtId="0" fontId="2" fillId="0" borderId="56" xfId="17" applyBorder="1"/>
    <xf numFmtId="0" fontId="0" fillId="0" borderId="56" xfId="0" applyBorder="1"/>
    <xf numFmtId="176" fontId="2" fillId="31" borderId="56" xfId="17" applyNumberFormat="1" applyFill="1" applyBorder="1"/>
    <xf numFmtId="0" fontId="2" fillId="31" borderId="56" xfId="17" applyFill="1" applyBorder="1"/>
    <xf numFmtId="0" fontId="2" fillId="31" borderId="57" xfId="17" applyFill="1" applyBorder="1"/>
    <xf numFmtId="176" fontId="2" fillId="6" borderId="0" xfId="17" applyNumberFormat="1" applyFill="1" applyAlignment="1">
      <alignment horizontal="centerContinuous"/>
    </xf>
    <xf numFmtId="0" fontId="2" fillId="6" borderId="0" xfId="17" applyFill="1" applyAlignment="1">
      <alignment horizontal="centerContinuous"/>
    </xf>
    <xf numFmtId="0" fontId="74" fillId="6" borderId="0" xfId="17" applyFont="1" applyFill="1" applyAlignment="1">
      <alignment horizontal="centerContinuous"/>
    </xf>
    <xf numFmtId="0" fontId="74" fillId="31" borderId="0" xfId="17" applyFont="1" applyFill="1" applyAlignment="1">
      <alignment horizontal="centerContinuous"/>
    </xf>
    <xf numFmtId="180" fontId="65" fillId="0" borderId="0" xfId="375" applyNumberFormat="1" applyFont="1"/>
    <xf numFmtId="179" fontId="65" fillId="0" borderId="0" xfId="375" applyNumberFormat="1" applyFont="1"/>
    <xf numFmtId="170" fontId="65" fillId="0" borderId="0" xfId="375" applyNumberFormat="1" applyFont="1"/>
    <xf numFmtId="166" fontId="0" fillId="52" borderId="0" xfId="1" applyNumberFormat="1" applyFont="1" applyFill="1"/>
    <xf numFmtId="0" fontId="11" fillId="0" borderId="0" xfId="278" applyFont="1"/>
    <xf numFmtId="0" fontId="0" fillId="0" borderId="3" xfId="0" applyBorder="1" applyAlignment="1">
      <alignment vertical="center" textRotation="90"/>
    </xf>
    <xf numFmtId="10" fontId="77" fillId="0" borderId="0" xfId="3" applyNumberFormat="1" applyFont="1"/>
    <xf numFmtId="0" fontId="77" fillId="0" borderId="0" xfId="0" applyFont="1"/>
    <xf numFmtId="0" fontId="0" fillId="5" borderId="0" xfId="0" applyFill="1"/>
    <xf numFmtId="0" fontId="3" fillId="6" borderId="0" xfId="0" applyFont="1" applyFill="1" applyAlignment="1">
      <alignment horizontal="center" wrapText="1"/>
    </xf>
    <xf numFmtId="43" fontId="0" fillId="5" borderId="0" xfId="0" applyNumberFormat="1" applyFill="1"/>
    <xf numFmtId="0" fontId="3" fillId="6" borderId="0" xfId="0" applyFont="1" applyFill="1"/>
    <xf numFmtId="9" fontId="0" fillId="0" borderId="0" xfId="3" applyFont="1" applyFill="1"/>
    <xf numFmtId="0" fontId="0" fillId="32" borderId="1" xfId="0" applyFill="1" applyBorder="1"/>
    <xf numFmtId="0" fontId="0" fillId="32" borderId="1" xfId="0" applyFill="1" applyBorder="1" applyAlignment="1">
      <alignment horizontal="center"/>
    </xf>
    <xf numFmtId="0" fontId="3" fillId="32" borderId="1" xfId="0" applyFont="1" applyFill="1" applyBorder="1"/>
    <xf numFmtId="0" fontId="0" fillId="32" borderId="1" xfId="0" applyFill="1" applyBorder="1" applyAlignment="1">
      <alignment horizontal="right"/>
    </xf>
    <xf numFmtId="166" fontId="0" fillId="32" borderId="1" xfId="1" applyNumberFormat="1" applyFont="1" applyFill="1" applyBorder="1"/>
    <xf numFmtId="44" fontId="0" fillId="32" borderId="1" xfId="1" applyNumberFormat="1" applyFont="1" applyFill="1" applyBorder="1"/>
    <xf numFmtId="0" fontId="0" fillId="5" borderId="0" xfId="0" applyFill="1" applyAlignment="1">
      <alignment horizontal="center" vertical="center"/>
    </xf>
    <xf numFmtId="43" fontId="0" fillId="5" borderId="0" xfId="1" applyFont="1" applyFill="1" applyBorder="1" applyAlignment="1">
      <alignment horizontal="right"/>
    </xf>
    <xf numFmtId="43" fontId="0" fillId="5" borderId="0" xfId="1" applyFont="1" applyFill="1" applyBorder="1"/>
    <xf numFmtId="166" fontId="0" fillId="5" borderId="0" xfId="1" applyNumberFormat="1" applyFont="1" applyFill="1" applyBorder="1"/>
    <xf numFmtId="166" fontId="0" fillId="5" borderId="0" xfId="1" applyNumberFormat="1" applyFont="1" applyFill="1" applyBorder="1" applyAlignment="1">
      <alignment horizontal="center" wrapText="1"/>
    </xf>
    <xf numFmtId="44" fontId="0" fillId="5" borderId="0" xfId="2" applyFont="1" applyFill="1" applyBorder="1"/>
    <xf numFmtId="3" fontId="0" fillId="5" borderId="0" xfId="0" applyNumberFormat="1" applyFill="1"/>
    <xf numFmtId="43" fontId="0" fillId="5" borderId="0" xfId="1" applyFont="1" applyFill="1"/>
    <xf numFmtId="9" fontId="0" fillId="5" borderId="0" xfId="3" applyFont="1" applyFill="1"/>
    <xf numFmtId="0" fontId="0" fillId="6" borderId="0" xfId="0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50" fillId="0" borderId="0" xfId="0" applyFont="1" applyAlignment="1">
      <alignment horizontal="left" wrapText="1"/>
    </xf>
    <xf numFmtId="0" fontId="0" fillId="0" borderId="0" xfId="0" applyAlignment="1">
      <alignment horizontal="center" vertical="center" textRotation="90"/>
    </xf>
    <xf numFmtId="0" fontId="0" fillId="0" borderId="0" xfId="0" applyFill="1"/>
    <xf numFmtId="43" fontId="0" fillId="0" borderId="0" xfId="0" applyNumberFormat="1" applyFill="1"/>
    <xf numFmtId="0" fontId="3" fillId="0" borderId="0" xfId="0" applyFont="1" applyFill="1"/>
    <xf numFmtId="43" fontId="11" fillId="0" borderId="0" xfId="0" applyNumberFormat="1" applyFont="1" applyFill="1"/>
  </cellXfs>
  <cellStyles count="381">
    <cellStyle name="20% - Accent1 2" xfId="40" xr:uid="{00000000-0005-0000-0000-000000000000}"/>
    <cellStyle name="20% - Accent1 2 2" xfId="301" xr:uid="{00000000-0005-0000-0000-000001000000}"/>
    <cellStyle name="20% - Accent1 3" xfId="39" xr:uid="{00000000-0005-0000-0000-000002000000}"/>
    <cellStyle name="20% - Accent1 3 2" xfId="302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3" xr:uid="{00000000-0005-0000-0000-000009000000}"/>
    <cellStyle name="20% - Accent4 3" xfId="45" xr:uid="{00000000-0005-0000-0000-00000A000000}"/>
    <cellStyle name="20% - Accent4 3 2" xfId="304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5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6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7" xr:uid="{00000000-0005-0000-0000-00001E000000}"/>
    <cellStyle name="60% - Accent1 2" xfId="64" xr:uid="{00000000-0005-0000-0000-00001F000000}"/>
    <cellStyle name="60% - Accent1 2 2" xfId="308" xr:uid="{00000000-0005-0000-0000-000020000000}"/>
    <cellStyle name="60% - Accent1 3" xfId="63" xr:uid="{00000000-0005-0000-0000-000021000000}"/>
    <cellStyle name="60% - Accent1 3 2" xfId="309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10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1" xr:uid="{00000000-0005-0000-0000-00002A000000}"/>
    <cellStyle name="60% - Accent5 2" xfId="72" xr:uid="{00000000-0005-0000-0000-00002B000000}"/>
    <cellStyle name="60% - Accent5 2 2" xfId="312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3" xr:uid="{00000000-0005-0000-0000-000031000000}"/>
    <cellStyle name="Accent1 3" xfId="75" xr:uid="{00000000-0005-0000-0000-000032000000}"/>
    <cellStyle name="Accent1 3 2" xfId="314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5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6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7" xr:uid="{00000000-0005-0000-0000-00004B000000}"/>
    <cellStyle name="Calculation 3" xfId="97" xr:uid="{00000000-0005-0000-0000-00004C000000}"/>
    <cellStyle name="Calculation 3 2" xfId="318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9" xr:uid="{00000000-0005-0000-0000-00005B000000}"/>
    <cellStyle name="Comma 18" xfId="320" xr:uid="{00000000-0005-0000-0000-00005C000000}"/>
    <cellStyle name="Comma 18 2" xfId="321" xr:uid="{00000000-0005-0000-0000-00005D000000}"/>
    <cellStyle name="Comma 19" xfId="322" xr:uid="{00000000-0005-0000-0000-00005E000000}"/>
    <cellStyle name="Comma 2" xfId="5" xr:uid="{00000000-0005-0000-0000-00005F000000}"/>
    <cellStyle name="Comma 2 2" xfId="6" xr:uid="{00000000-0005-0000-0000-000060000000}"/>
    <cellStyle name="Comma 2 2 2" xfId="323" xr:uid="{00000000-0005-0000-0000-000061000000}"/>
    <cellStyle name="Comma 2 3" xfId="105" xr:uid="{00000000-0005-0000-0000-000062000000}"/>
    <cellStyle name="Comma 2 4" xfId="324" xr:uid="{00000000-0005-0000-0000-000063000000}"/>
    <cellStyle name="Comma 2 5" xfId="300" xr:uid="{00000000-0005-0000-0000-000064000000}"/>
    <cellStyle name="Comma 2 6" xfId="7" xr:uid="{00000000-0005-0000-0000-000065000000}"/>
    <cellStyle name="Comma 2 6 2" xfId="8" xr:uid="{00000000-0005-0000-0000-000066000000}"/>
    <cellStyle name="Comma 3" xfId="9" xr:uid="{00000000-0005-0000-0000-000067000000}"/>
    <cellStyle name="Comma 3 2" xfId="106" xr:uid="{00000000-0005-0000-0000-000068000000}"/>
    <cellStyle name="Comma 3 2 2" xfId="107" xr:uid="{00000000-0005-0000-0000-000069000000}"/>
    <cellStyle name="Comma 3 3" xfId="287" xr:uid="{00000000-0005-0000-0000-00006A000000}"/>
    <cellStyle name="Comma 3 4" xfId="325" xr:uid="{00000000-0005-0000-0000-00006B000000}"/>
    <cellStyle name="Comma 4" xfId="108" xr:uid="{00000000-0005-0000-0000-00006C000000}"/>
    <cellStyle name="Comma 4 2" xfId="109" xr:uid="{00000000-0005-0000-0000-00006D000000}"/>
    <cellStyle name="Comma 4 2 2" xfId="288" xr:uid="{00000000-0005-0000-0000-00006E000000}"/>
    <cellStyle name="Comma 4 3" xfId="110" xr:uid="{00000000-0005-0000-0000-00006F000000}"/>
    <cellStyle name="Comma 4 3 2" xfId="289" xr:uid="{00000000-0005-0000-0000-000070000000}"/>
    <cellStyle name="Comma 4 4" xfId="290" xr:uid="{00000000-0005-0000-0000-000071000000}"/>
    <cellStyle name="Comma 4 5" xfId="111" xr:uid="{00000000-0005-0000-0000-000072000000}"/>
    <cellStyle name="Comma 4 6" xfId="280" xr:uid="{00000000-0005-0000-0000-000073000000}"/>
    <cellStyle name="Comma 5" xfId="112" xr:uid="{00000000-0005-0000-0000-000074000000}"/>
    <cellStyle name="Comma 6" xfId="113" xr:uid="{00000000-0005-0000-0000-000075000000}"/>
    <cellStyle name="Comma 6 2" xfId="326" xr:uid="{00000000-0005-0000-0000-000076000000}"/>
    <cellStyle name="Comma 7" xfId="114" xr:uid="{00000000-0005-0000-0000-000077000000}"/>
    <cellStyle name="Comma 8" xfId="115" xr:uid="{00000000-0005-0000-0000-000078000000}"/>
    <cellStyle name="Comma 9" xfId="116" xr:uid="{00000000-0005-0000-0000-000079000000}"/>
    <cellStyle name="Comma(2)" xfId="117" xr:uid="{00000000-0005-0000-0000-00007A000000}"/>
    <cellStyle name="Comma0 - Style2" xfId="118" xr:uid="{00000000-0005-0000-0000-00007B000000}"/>
    <cellStyle name="Comma1 - Style1" xfId="119" xr:uid="{00000000-0005-0000-0000-00007C000000}"/>
    <cellStyle name="Comments" xfId="120" xr:uid="{00000000-0005-0000-0000-00007D000000}"/>
    <cellStyle name="Currency" xfId="2" builtinId="4"/>
    <cellStyle name="Currency 10" xfId="327" xr:uid="{00000000-0005-0000-0000-00007F000000}"/>
    <cellStyle name="Currency 10 5" xfId="376" xr:uid="{A22BE32B-9DBF-4805-81B4-BA2F39EF5A41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8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9" xr:uid="{00000000-0005-0000-0000-000092000000}"/>
    <cellStyle name="Currency 9" xfId="330" xr:uid="{00000000-0005-0000-0000-000093000000}"/>
    <cellStyle name="Data Enter" xfId="126" xr:uid="{00000000-0005-0000-0000-000094000000}"/>
    <cellStyle name="date" xfId="331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2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3" xr:uid="{00000000-0005-0000-0000-00009D000000}"/>
    <cellStyle name="Heading 1 3" xfId="132" xr:uid="{00000000-0005-0000-0000-00009E000000}"/>
    <cellStyle name="Heading 1 3 2" xfId="334" xr:uid="{00000000-0005-0000-0000-00009F000000}"/>
    <cellStyle name="Heading 2 2" xfId="135" xr:uid="{00000000-0005-0000-0000-0000A0000000}"/>
    <cellStyle name="Heading 2 2 2" xfId="335" xr:uid="{00000000-0005-0000-0000-0000A1000000}"/>
    <cellStyle name="Heading 2 3" xfId="134" xr:uid="{00000000-0005-0000-0000-0000A2000000}"/>
    <cellStyle name="Heading 2 3 2" xfId="336" xr:uid="{00000000-0005-0000-0000-0000A3000000}"/>
    <cellStyle name="Heading 3 2" xfId="137" xr:uid="{00000000-0005-0000-0000-0000A4000000}"/>
    <cellStyle name="Heading 3 2 2" xfId="337" xr:uid="{00000000-0005-0000-0000-0000A5000000}"/>
    <cellStyle name="Heading 3 3" xfId="136" xr:uid="{00000000-0005-0000-0000-0000A6000000}"/>
    <cellStyle name="Heading 3 3 2" xfId="338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9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40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1" xr:uid="{00000000-0005-0000-0000-0000C0000000}"/>
    <cellStyle name="Normal 10 2 3" xfId="342" xr:uid="{00000000-0005-0000-0000-0000C1000000}"/>
    <cellStyle name="Normal 10_2112 DF Schedule" xfId="343" xr:uid="{00000000-0005-0000-0000-0000C2000000}"/>
    <cellStyle name="Normal 11" xfId="157" xr:uid="{00000000-0005-0000-0000-0000C3000000}"/>
    <cellStyle name="Normal 12" xfId="158" xr:uid="{00000000-0005-0000-0000-0000C4000000}"/>
    <cellStyle name="Normal 12 2" xfId="344" xr:uid="{00000000-0005-0000-0000-0000C5000000}"/>
    <cellStyle name="Normal 13" xfId="159" xr:uid="{00000000-0005-0000-0000-0000C6000000}"/>
    <cellStyle name="Normal 13 2" xfId="345" xr:uid="{00000000-0005-0000-0000-0000C7000000}"/>
    <cellStyle name="Normal 14" xfId="160" xr:uid="{00000000-0005-0000-0000-0000C8000000}"/>
    <cellStyle name="Normal 14 2" xfId="346" xr:uid="{00000000-0005-0000-0000-0000C9000000}"/>
    <cellStyle name="Normal 15" xfId="161" xr:uid="{00000000-0005-0000-0000-0000CA000000}"/>
    <cellStyle name="Normal 15 2" xfId="347" xr:uid="{00000000-0005-0000-0000-0000CB000000}"/>
    <cellStyle name="Normal 16" xfId="162" xr:uid="{00000000-0005-0000-0000-0000CC000000}"/>
    <cellStyle name="Normal 16 2" xfId="348" xr:uid="{00000000-0005-0000-0000-0000CD000000}"/>
    <cellStyle name="Normal 17" xfId="163" xr:uid="{00000000-0005-0000-0000-0000CE000000}"/>
    <cellStyle name="Normal 17 2" xfId="349" xr:uid="{00000000-0005-0000-0000-0000CF000000}"/>
    <cellStyle name="Normal 18" xfId="164" xr:uid="{00000000-0005-0000-0000-0000D0000000}"/>
    <cellStyle name="Normal 18 2" xfId="350" xr:uid="{00000000-0005-0000-0000-0000D1000000}"/>
    <cellStyle name="Normal 19" xfId="165" xr:uid="{00000000-0005-0000-0000-0000D2000000}"/>
    <cellStyle name="Normal 19 2" xfId="351" xr:uid="{00000000-0005-0000-0000-0000D3000000}"/>
    <cellStyle name="Normal 2" xfId="18" xr:uid="{00000000-0005-0000-0000-0000D4000000}"/>
    <cellStyle name="Normal 2 2" xfId="19" xr:uid="{00000000-0005-0000-0000-0000D5000000}"/>
    <cellStyle name="Normal 2 2 2" xfId="167" xr:uid="{00000000-0005-0000-0000-0000D6000000}"/>
    <cellStyle name="Normal 2 2 3" xfId="166" xr:uid="{00000000-0005-0000-0000-0000D7000000}"/>
    <cellStyle name="Normal 2 2_Actual_Fuel" xfId="168" xr:uid="{00000000-0005-0000-0000-0000D8000000}"/>
    <cellStyle name="Normal 2 3" xfId="169" xr:uid="{00000000-0005-0000-0000-0000D9000000}"/>
    <cellStyle name="Normal 2 3 2" xfId="170" xr:uid="{00000000-0005-0000-0000-0000DA000000}"/>
    <cellStyle name="Normal 2 3 3" xfId="296" xr:uid="{00000000-0005-0000-0000-0000DB000000}"/>
    <cellStyle name="Normal 2 4" xfId="297" xr:uid="{00000000-0005-0000-0000-0000DC000000}"/>
    <cellStyle name="Normal 2 5" xfId="298" xr:uid="{00000000-0005-0000-0000-0000DD000000}"/>
    <cellStyle name="Normal 2_2012-10" xfId="171" xr:uid="{00000000-0005-0000-0000-0000DE000000}"/>
    <cellStyle name="Normal 20" xfId="172" xr:uid="{00000000-0005-0000-0000-0000DF000000}"/>
    <cellStyle name="Normal 21" xfId="173" xr:uid="{00000000-0005-0000-0000-0000E0000000}"/>
    <cellStyle name="Normal 22" xfId="174" xr:uid="{00000000-0005-0000-0000-0000E1000000}"/>
    <cellStyle name="Normal 23" xfId="175" xr:uid="{00000000-0005-0000-0000-0000E2000000}"/>
    <cellStyle name="Normal 24" xfId="176" xr:uid="{00000000-0005-0000-0000-0000E3000000}"/>
    <cellStyle name="Normal 25" xfId="177" xr:uid="{00000000-0005-0000-0000-0000E4000000}"/>
    <cellStyle name="Normal 26" xfId="178" xr:uid="{00000000-0005-0000-0000-0000E5000000}"/>
    <cellStyle name="Normal 27" xfId="179" xr:uid="{00000000-0005-0000-0000-0000E6000000}"/>
    <cellStyle name="Normal 28" xfId="180" xr:uid="{00000000-0005-0000-0000-0000E7000000}"/>
    <cellStyle name="Normal 29" xfId="181" xr:uid="{00000000-0005-0000-0000-0000E8000000}"/>
    <cellStyle name="Normal 3" xfId="20" xr:uid="{00000000-0005-0000-0000-0000E9000000}"/>
    <cellStyle name="Normal 3 2" xfId="183" xr:uid="{00000000-0005-0000-0000-0000EA000000}"/>
    <cellStyle name="Normal 3 3" xfId="182" xr:uid="{00000000-0005-0000-0000-0000EB000000}"/>
    <cellStyle name="Normal 3 4" xfId="281" xr:uid="{00000000-0005-0000-0000-0000EC000000}"/>
    <cellStyle name="Normal 3_2012 PR" xfId="184" xr:uid="{00000000-0005-0000-0000-0000ED000000}"/>
    <cellStyle name="Normal 30" xfId="185" xr:uid="{00000000-0005-0000-0000-0000EE000000}"/>
    <cellStyle name="Normal 31" xfId="186" xr:uid="{00000000-0005-0000-0000-0000EF000000}"/>
    <cellStyle name="Normal 32" xfId="187" xr:uid="{00000000-0005-0000-0000-0000F0000000}"/>
    <cellStyle name="Normal 33" xfId="188" xr:uid="{00000000-0005-0000-0000-0000F1000000}"/>
    <cellStyle name="Normal 34" xfId="189" xr:uid="{00000000-0005-0000-0000-0000F2000000}"/>
    <cellStyle name="Normal 35" xfId="190" xr:uid="{00000000-0005-0000-0000-0000F3000000}"/>
    <cellStyle name="Normal 36" xfId="191" xr:uid="{00000000-0005-0000-0000-0000F4000000}"/>
    <cellStyle name="Normal 37" xfId="192" xr:uid="{00000000-0005-0000-0000-0000F5000000}"/>
    <cellStyle name="Normal 38" xfId="193" xr:uid="{00000000-0005-0000-0000-0000F6000000}"/>
    <cellStyle name="Normal 39" xfId="194" xr:uid="{00000000-0005-0000-0000-0000F7000000}"/>
    <cellStyle name="Normal 4" xfId="21" xr:uid="{00000000-0005-0000-0000-0000F8000000}"/>
    <cellStyle name="Normal 4 2" xfId="195" xr:uid="{00000000-0005-0000-0000-0000F9000000}"/>
    <cellStyle name="Normal 40" xfId="196" xr:uid="{00000000-0005-0000-0000-0000FA000000}"/>
    <cellStyle name="Normal 41" xfId="197" xr:uid="{00000000-0005-0000-0000-0000FB000000}"/>
    <cellStyle name="Normal 42" xfId="198" xr:uid="{00000000-0005-0000-0000-0000FC000000}"/>
    <cellStyle name="Normal 43" xfId="199" xr:uid="{00000000-0005-0000-0000-0000FD000000}"/>
    <cellStyle name="Normal 44" xfId="200" xr:uid="{00000000-0005-0000-0000-0000FE000000}"/>
    <cellStyle name="Normal 45" xfId="201" xr:uid="{00000000-0005-0000-0000-0000FF000000}"/>
    <cellStyle name="Normal 46" xfId="202" xr:uid="{00000000-0005-0000-0000-000000010000}"/>
    <cellStyle name="Normal 47" xfId="203" xr:uid="{00000000-0005-0000-0000-000001010000}"/>
    <cellStyle name="Normal 48" xfId="204" xr:uid="{00000000-0005-0000-0000-000002010000}"/>
    <cellStyle name="Normal 49" xfId="205" xr:uid="{00000000-0005-0000-0000-000003010000}"/>
    <cellStyle name="Normal 5" xfId="22" xr:uid="{00000000-0005-0000-0000-000004010000}"/>
    <cellStyle name="Normal 5 2" xfId="206" xr:uid="{00000000-0005-0000-0000-000005010000}"/>
    <cellStyle name="Normal 5_2112 DF Schedule" xfId="352" xr:uid="{00000000-0005-0000-0000-000006010000}"/>
    <cellStyle name="Normal 50" xfId="207" xr:uid="{00000000-0005-0000-0000-000007010000}"/>
    <cellStyle name="Normal 51" xfId="208" xr:uid="{00000000-0005-0000-0000-000008010000}"/>
    <cellStyle name="Normal 52" xfId="209" xr:uid="{00000000-0005-0000-0000-000009010000}"/>
    <cellStyle name="Normal 53" xfId="210" xr:uid="{00000000-0005-0000-0000-00000A010000}"/>
    <cellStyle name="Normal 54" xfId="211" xr:uid="{00000000-0005-0000-0000-00000B010000}"/>
    <cellStyle name="Normal 55" xfId="212" xr:uid="{00000000-0005-0000-0000-00000C010000}"/>
    <cellStyle name="Normal 56" xfId="213" xr:uid="{00000000-0005-0000-0000-00000D010000}"/>
    <cellStyle name="Normal 57" xfId="214" xr:uid="{00000000-0005-0000-0000-00000E010000}"/>
    <cellStyle name="Normal 58" xfId="215" xr:uid="{00000000-0005-0000-0000-00000F010000}"/>
    <cellStyle name="Normal 59" xfId="216" xr:uid="{00000000-0005-0000-0000-000010010000}"/>
    <cellStyle name="Normal 6" xfId="23" xr:uid="{00000000-0005-0000-0000-000011010000}"/>
    <cellStyle name="Normal 6 2" xfId="217" xr:uid="{00000000-0005-0000-0000-000012010000}"/>
    <cellStyle name="Normal 60" xfId="218" xr:uid="{00000000-0005-0000-0000-000013010000}"/>
    <cellStyle name="Normal 61" xfId="219" xr:uid="{00000000-0005-0000-0000-000014010000}"/>
    <cellStyle name="Normal 62" xfId="220" xr:uid="{00000000-0005-0000-0000-000015010000}"/>
    <cellStyle name="Normal 63" xfId="221" xr:uid="{00000000-0005-0000-0000-000016010000}"/>
    <cellStyle name="Normal 64" xfId="222" xr:uid="{00000000-0005-0000-0000-000017010000}"/>
    <cellStyle name="Normal 65" xfId="223" xr:uid="{00000000-0005-0000-0000-000018010000}"/>
    <cellStyle name="Normal 66" xfId="224" xr:uid="{00000000-0005-0000-0000-000019010000}"/>
    <cellStyle name="Normal 67" xfId="225" xr:uid="{00000000-0005-0000-0000-00001A010000}"/>
    <cellStyle name="Normal 68" xfId="226" xr:uid="{00000000-0005-0000-0000-00001B010000}"/>
    <cellStyle name="Normal 69" xfId="227" xr:uid="{00000000-0005-0000-0000-00001C010000}"/>
    <cellStyle name="Normal 7" xfId="228" xr:uid="{00000000-0005-0000-0000-00001D010000}"/>
    <cellStyle name="Normal 70" xfId="229" xr:uid="{00000000-0005-0000-0000-00001E010000}"/>
    <cellStyle name="Normal 71" xfId="230" xr:uid="{00000000-0005-0000-0000-00001F010000}"/>
    <cellStyle name="Normal 72" xfId="231" xr:uid="{00000000-0005-0000-0000-000020010000}"/>
    <cellStyle name="Normal 73" xfId="232" xr:uid="{00000000-0005-0000-0000-000021010000}"/>
    <cellStyle name="Normal 74" xfId="233" xr:uid="{00000000-0005-0000-0000-000022010000}"/>
    <cellStyle name="Normal 75" xfId="234" xr:uid="{00000000-0005-0000-0000-000023010000}"/>
    <cellStyle name="Normal 76" xfId="235" xr:uid="{00000000-0005-0000-0000-000024010000}"/>
    <cellStyle name="Normal 77" xfId="236" xr:uid="{00000000-0005-0000-0000-000025010000}"/>
    <cellStyle name="Normal 78" xfId="237" xr:uid="{00000000-0005-0000-0000-000026010000}"/>
    <cellStyle name="Normal 79" xfId="238" xr:uid="{00000000-0005-0000-0000-000027010000}"/>
    <cellStyle name="Normal 8" xfId="239" xr:uid="{00000000-0005-0000-0000-000028010000}"/>
    <cellStyle name="Normal 80" xfId="240" xr:uid="{00000000-0005-0000-0000-000029010000}"/>
    <cellStyle name="Normal 81" xfId="241" xr:uid="{00000000-0005-0000-0000-00002A010000}"/>
    <cellStyle name="Normal 82" xfId="242" xr:uid="{00000000-0005-0000-0000-00002B010000}"/>
    <cellStyle name="Normal 83" xfId="243" xr:uid="{00000000-0005-0000-0000-00002C010000}"/>
    <cellStyle name="Normal 84" xfId="38" xr:uid="{00000000-0005-0000-0000-00002D010000}"/>
    <cellStyle name="Normal 84 2" xfId="278" xr:uid="{00000000-0005-0000-0000-00002E010000}"/>
    <cellStyle name="Normal 84 3" xfId="353" xr:uid="{00000000-0005-0000-0000-00002F010000}"/>
    <cellStyle name="Normal 85" xfId="252" xr:uid="{00000000-0005-0000-0000-000030010000}"/>
    <cellStyle name="Normal 85 2" xfId="354" xr:uid="{00000000-0005-0000-0000-000031010000}"/>
    <cellStyle name="Normal 86" xfId="270" xr:uid="{00000000-0005-0000-0000-000032010000}"/>
    <cellStyle name="Normal 87" xfId="271" xr:uid="{00000000-0005-0000-0000-000033010000}"/>
    <cellStyle name="Normal 88" xfId="272" xr:uid="{00000000-0005-0000-0000-000034010000}"/>
    <cellStyle name="Normal 89" xfId="273" xr:uid="{00000000-0005-0000-0000-000035010000}"/>
    <cellStyle name="Normal 9" xfId="244" xr:uid="{00000000-0005-0000-0000-000036010000}"/>
    <cellStyle name="Normal 90" xfId="274" xr:uid="{00000000-0005-0000-0000-000037010000}"/>
    <cellStyle name="Normal 91" xfId="279" xr:uid="{00000000-0005-0000-0000-000038010000}"/>
    <cellStyle name="Normal 92" xfId="299" xr:uid="{00000000-0005-0000-0000-000039010000}"/>
    <cellStyle name="Normal 93" xfId="373" xr:uid="{00000000-0005-0000-0000-00003A010000}"/>
    <cellStyle name="Normal 94" xfId="374" xr:uid="{00000000-0005-0000-0000-00003B010000}"/>
    <cellStyle name="Normal_Price out" xfId="4" xr:uid="{00000000-0005-0000-0000-00003C010000}"/>
    <cellStyle name="Normal_Regulated Price Out 9-6-2011 Final HL" xfId="375" xr:uid="{97052EF8-1863-401E-9E9A-EC3A1D494F54}"/>
    <cellStyle name="Normal_Thurston DF Schedule" xfId="380" xr:uid="{384FEF0C-6DCB-47F6-859B-200BFF501917}"/>
    <cellStyle name="Note 2" xfId="246" xr:uid="{00000000-0005-0000-0000-00003D010000}"/>
    <cellStyle name="Note 2 2" xfId="355" xr:uid="{00000000-0005-0000-0000-00003E010000}"/>
    <cellStyle name="Note 3" xfId="245" xr:uid="{00000000-0005-0000-0000-00003F010000}"/>
    <cellStyle name="Note 3 2" xfId="356" xr:uid="{00000000-0005-0000-0000-000040010000}"/>
    <cellStyle name="Notes" xfId="247" xr:uid="{00000000-0005-0000-0000-000041010000}"/>
    <cellStyle name="Output 2" xfId="249" xr:uid="{00000000-0005-0000-0000-000042010000}"/>
    <cellStyle name="Output 3" xfId="248" xr:uid="{00000000-0005-0000-0000-000043010000}"/>
    <cellStyle name="Percent" xfId="3" builtinId="5"/>
    <cellStyle name="Percent 11" xfId="377" xr:uid="{4732998A-13CC-4064-A6DA-735DE0355092}"/>
    <cellStyle name="Percent 17" xfId="379" xr:uid="{4310B8C6-C5B4-487D-A12E-76166EEB9A75}"/>
    <cellStyle name="Percent 2" xfId="24" xr:uid="{00000000-0005-0000-0000-000045010000}"/>
    <cellStyle name="Percent 2 2" xfId="25" xr:uid="{00000000-0005-0000-0000-000046010000}"/>
    <cellStyle name="Percent 2 2 2" xfId="251" xr:uid="{00000000-0005-0000-0000-000047010000}"/>
    <cellStyle name="Percent 2 3" xfId="357" xr:uid="{00000000-0005-0000-0000-000048010000}"/>
    <cellStyle name="Percent 2 6" xfId="26" xr:uid="{00000000-0005-0000-0000-000049010000}"/>
    <cellStyle name="Percent 3" xfId="27" xr:uid="{00000000-0005-0000-0000-00004A010000}"/>
    <cellStyle name="Percent 3 2" xfId="28" xr:uid="{00000000-0005-0000-0000-00004B010000}"/>
    <cellStyle name="Percent 4" xfId="29" xr:uid="{00000000-0005-0000-0000-00004C010000}"/>
    <cellStyle name="Percent 4 2" xfId="358" xr:uid="{00000000-0005-0000-0000-00004D010000}"/>
    <cellStyle name="Percent 4 3" xfId="359" xr:uid="{00000000-0005-0000-0000-00004E010000}"/>
    <cellStyle name="Percent 5" xfId="253" xr:uid="{00000000-0005-0000-0000-00004F010000}"/>
    <cellStyle name="Percent 6" xfId="254" xr:uid="{00000000-0005-0000-0000-000050010000}"/>
    <cellStyle name="Percent 7" xfId="250" xr:uid="{00000000-0005-0000-0000-000051010000}"/>
    <cellStyle name="Percent 7 2" xfId="275" xr:uid="{00000000-0005-0000-0000-000052010000}"/>
    <cellStyle name="Percent 7 3" xfId="360" xr:uid="{00000000-0005-0000-0000-000053010000}"/>
    <cellStyle name="Percent 8" xfId="361" xr:uid="{00000000-0005-0000-0000-000054010000}"/>
    <cellStyle name="Percent 9" xfId="378" xr:uid="{AAF44DA9-12BA-413B-92C0-C416C6BBAF45}"/>
    <cellStyle name="Percent(1)" xfId="255" xr:uid="{00000000-0005-0000-0000-000055010000}"/>
    <cellStyle name="Percent(2)" xfId="256" xr:uid="{00000000-0005-0000-0000-000056010000}"/>
    <cellStyle name="PRM" xfId="257" xr:uid="{00000000-0005-0000-0000-000057010000}"/>
    <cellStyle name="PRM 2" xfId="258" xr:uid="{00000000-0005-0000-0000-000058010000}"/>
    <cellStyle name="PRM 3" xfId="259" xr:uid="{00000000-0005-0000-0000-000059010000}"/>
    <cellStyle name="PRM_2011-11" xfId="260" xr:uid="{00000000-0005-0000-0000-00005A010000}"/>
    <cellStyle name="PS_Comma" xfId="30" xr:uid="{00000000-0005-0000-0000-00005B010000}"/>
    <cellStyle name="PSChar" xfId="31" xr:uid="{00000000-0005-0000-0000-00005C010000}"/>
    <cellStyle name="PSDate" xfId="32" xr:uid="{00000000-0005-0000-0000-00005D010000}"/>
    <cellStyle name="PSDec" xfId="33" xr:uid="{00000000-0005-0000-0000-00005E010000}"/>
    <cellStyle name="PSHeading" xfId="34" xr:uid="{00000000-0005-0000-0000-00005F010000}"/>
    <cellStyle name="PSInt" xfId="35" xr:uid="{00000000-0005-0000-0000-000060010000}"/>
    <cellStyle name="PSSpacer" xfId="36" xr:uid="{00000000-0005-0000-0000-000061010000}"/>
    <cellStyle name="STYL0 - Style1" xfId="362" xr:uid="{00000000-0005-0000-0000-000062010000}"/>
    <cellStyle name="STYL1 - Style2" xfId="363" xr:uid="{00000000-0005-0000-0000-000063010000}"/>
    <cellStyle name="STYL2 - Style3" xfId="364" xr:uid="{00000000-0005-0000-0000-000064010000}"/>
    <cellStyle name="STYL3 - Style4" xfId="365" xr:uid="{00000000-0005-0000-0000-000065010000}"/>
    <cellStyle name="STYL4 - Style5" xfId="366" xr:uid="{00000000-0005-0000-0000-000066010000}"/>
    <cellStyle name="STYL5 - Style6" xfId="367" xr:uid="{00000000-0005-0000-0000-000067010000}"/>
    <cellStyle name="STYL6 - Style7" xfId="368" xr:uid="{00000000-0005-0000-0000-000068010000}"/>
    <cellStyle name="STYL7 - Style8" xfId="369" xr:uid="{00000000-0005-0000-0000-000069010000}"/>
    <cellStyle name="Style 1" xfId="261" xr:uid="{00000000-0005-0000-0000-00006A010000}"/>
    <cellStyle name="Style 1 2" xfId="262" xr:uid="{00000000-0005-0000-0000-00006B010000}"/>
    <cellStyle name="STYLE1" xfId="263" xr:uid="{00000000-0005-0000-0000-00006C010000}"/>
    <cellStyle name="sub heading" xfId="370" xr:uid="{00000000-0005-0000-0000-00006D010000}"/>
    <cellStyle name="Title 2" xfId="265" xr:uid="{00000000-0005-0000-0000-00006E010000}"/>
    <cellStyle name="Title 3" xfId="264" xr:uid="{00000000-0005-0000-0000-00006F010000}"/>
    <cellStyle name="Total 2" xfId="267" xr:uid="{00000000-0005-0000-0000-000070010000}"/>
    <cellStyle name="Total 2 2" xfId="371" xr:uid="{00000000-0005-0000-0000-000071010000}"/>
    <cellStyle name="Total 3" xfId="266" xr:uid="{00000000-0005-0000-0000-000072010000}"/>
    <cellStyle name="Total 3 2" xfId="372" xr:uid="{00000000-0005-0000-0000-000073010000}"/>
    <cellStyle name="Warning Text 2" xfId="269" xr:uid="{00000000-0005-0000-0000-000074010000}"/>
    <cellStyle name="Warning Text 3" xfId="268" xr:uid="{00000000-0005-0000-0000-000075010000}"/>
    <cellStyle name="WM_STANDARD" xfId="37" xr:uid="{00000000-0005-0000-0000-00007601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61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Waste%20Management%20-%20Filings/Ellensburg/Year%202009/TG-091472%20(GRC)/Staff/TG-091472%20WM%20of%20Ellensburg%20(Workpaper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Waste%20Management/Sno-King/Year%202009/TG-091933/Staff/TG-091933%20WM%20of%20SnoKing%20GRC%20(Workpaper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LeMay%20Companies/2022/General%20Rate%20Filings/PCR%202022/2180_Price%20Out%20by%20Bill%20Area_June.21%20to%20May%2022%20-%20Deliverab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effHons\AppData\Local\Interject\FileCache\YYYY-MM_DDDD_BSReconBook_v2.0.3_Blan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010%20Clark%20County-%202009%20Vancouver/General%20Filings/3.31.22%20Rate%20Review/.Clark%20Co%20Proforma%20YE%203.31.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2018/Budget%20Pro%20formas/PCR%20Pro%20Forma%207.31.18/PCR%20Pro%20froma%207-31-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JoeW/My%20Local%20Documents/OPF/Rate%20Reviews/2016/2016%20OPF%20Master%20DCR%20V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Documents%20and%20Settings/cmickels/Desktop/Example%20of%20WM%20of%20SnoKin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urrey%20%202111/General%20Rate%20Filings/Rate%20Filing%201-1-2019/Fuel%20Stat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Murrey%20%202111\General%20Rate%20Filings\Rate%20Filing%201-1-2019\Fuel%20Stat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ffler\AppData\Local\Interject\FileCache\Budget%20Capital%20Input%20v2.16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Migrated-TRANS\Company%20Filings%20-%20Solid%20Waste\Pullman%20Disposal%20Service,%20Inc.%20%20(G-42)\Rate%20Case\TG-130759%20GRC\Staff%20workpapers\STAFF%20TG-130759%20PDS_rop_Dec_1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MistyC/Current/DISTRICTS/2012%20-%20Cascade/Special%20Projects/Rate%20Reviews/2011/0912%202012%20Fixed%20Assets%20Depreciatio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andenburg\AppData\Local\Interject\FileCache\Capital%20-%20Budget%20Input%20v1.5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63C24E\staff%20WCI%20Pro%20forma%2010-11-2013%20cos%20from%20melis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San%20Juan%20Sanitation%20Co/Year%202010/Staff/W_COMP/Rosario/2007%20rate%20case/Worksheets/070944%20Loan%20Recalculatio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12%20Olympic%20Disposal/General%20Rate%20Filings/2023/.Olympic%20GRC%20Pro%20forma%207.31.202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Olympic%202112/General%20Rate%20Filing/2023/Audit/Final/Interim/Copy%20of%20230778-GRC-Murrys%20Olympic-Staff%20Wkbk-10-12-2023%20Interi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IP%20Files\2149%20Mason%20County\2021\General%20Rate%20Filing\.Mason%20Pro%20forma11.30.20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Olympic%202112/Dump%20Fee/DF%20Clallam%201-1-2020/Clallam%20DF%20Calc%201-1-2020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12%20Olympic%20Disposal/General%20Rate%20Filings/2023/2022-08%20to%202023-07%202112%20Disposal%20Allocation%20-%20Pricing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12%20Olympic%20Disposal/General%20Rate%20Filings/February%202020/.Olympic%20GRC%20Pro%20forma%2012.31.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Customer Count Summary"/>
      <sheetName val="Container Count"/>
      <sheetName val="JBLM Container Count"/>
      <sheetName val="2180 IS"/>
      <sheetName val="2180 (Reg.) - Price Out "/>
      <sheetName val="2180 (Roy) - Price Out"/>
      <sheetName val="2180 (Reg EA.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2180 Comm Recycle"/>
      <sheetName val="JBLM"/>
      <sheetName val="RM Pivot"/>
      <sheetName val=" GW PIVOT"/>
      <sheetName val="RM Data"/>
      <sheetName val="Interject_LastPulledValues"/>
      <sheetName val="P&amp;L"/>
      <sheetName val="YTD Act-Proj (by mo.) vs. Bud"/>
      <sheetName val="C-Rec Cus"/>
      <sheetName val="MF Recy"/>
      <sheetName val="Finance Charges"/>
      <sheetName val="N Lemay Rolloff Count"/>
      <sheetName val="Def Rev. Pivot"/>
      <sheetName val="Recycle Counts Link"/>
      <sheetName val="PI default bill area pricing"/>
      <sheetName val="RMO - Default Bill Area Pricing"/>
      <sheetName val="Cust Counts for Budgets"/>
      <sheetName val="Comm True up"/>
      <sheetName val="RO Man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H8" t="str">
            <v>2022-07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Consolidated"/>
      <sheetName val="2140"/>
      <sheetName val="2150"/>
      <sheetName val="2150 Sales Tax"/>
      <sheetName val="2150 Sales Tax(OLD)"/>
      <sheetName val="2160"/>
      <sheetName val="2160 Sales Tax"/>
      <sheetName val="2140 Sales Tax"/>
      <sheetName val="Sales Tax"/>
      <sheetName val="Sales Tax Report"/>
      <sheetName val="Table for Reporting"/>
      <sheetName val="Sales Tax for DOR input"/>
      <sheetName val="Tax Exempt Mthly"/>
      <sheetName val="Interject_LastPulledValues"/>
      <sheetName val="2140_P&amp;L"/>
      <sheetName val="2150_P&amp;L"/>
      <sheetName val="2160_P&amp;L"/>
      <sheetName val="State &amp;Local Tax JE 2020-08"/>
      <sheetName val="Sheet1"/>
    </sheetNames>
    <sheetDataSet>
      <sheetData sheetId="0">
        <row r="8">
          <cell r="J8" t="str">
            <v>ReconBook</v>
          </cell>
        </row>
        <row r="21">
          <cell r="U2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To-Do"/>
      <sheetName val="2010 IS (C)"/>
      <sheetName val="Master IS (C)"/>
      <sheetName val="LOB (C)"/>
      <sheetName val="Restating Adj (C)"/>
      <sheetName val="Pro forma Adj (C)"/>
      <sheetName val="Allocators (C)"/>
      <sheetName val="Proposed Rates"/>
      <sheetName val="Automation Data"/>
      <sheetName val="Clark Co. Regulated - Price Out"/>
      <sheetName val="LG Public"/>
      <sheetName val="LG Public-No Automation"/>
      <sheetName val="LG - Routed"/>
      <sheetName val="LG - RO"/>
      <sheetName val="2022 Vancouver Payroll (C)"/>
      <sheetName val="Dep Summary (C)"/>
      <sheetName val="Disposal"/>
      <sheetName val="Shop Outside Labor"/>
      <sheetName val="2010 BS 2022.03"/>
      <sheetName val="2010 BS 2021.03"/>
      <sheetName val="Insurance Claims JE Query"/>
      <sheetName val="3 Yr Insurance"/>
      <sheetName val="43001 JE Query"/>
      <sheetName val="57170 JE Query"/>
      <sheetName val="60225 JE Query (C)"/>
      <sheetName val="70195 JE Query"/>
      <sheetName val="41201 JE Query"/>
      <sheetName val="70225 JE Query"/>
      <sheetName val="70255 JE Query (C)"/>
      <sheetName val="91010 JE Query"/>
      <sheetName val="70235 JE Query (C)"/>
      <sheetName val="Interject_LastPulledValues"/>
      <sheetName val="DVP-DivCon Allocs  (C)"/>
      <sheetName val="Region OH (C)"/>
      <sheetName val="Corp-OH (C)"/>
      <sheetName val="Corp BS &amp; IS (C)"/>
    </sheetNames>
    <sheetDataSet>
      <sheetData sheetId="0"/>
      <sheetData sheetId="1"/>
      <sheetData sheetId="2"/>
      <sheetData sheetId="3">
        <row r="1">
          <cell r="B1" t="str">
            <v>Waste Connections of Washington, G-253</v>
          </cell>
        </row>
      </sheetData>
      <sheetData sheetId="4"/>
      <sheetData sheetId="5">
        <row r="22">
          <cell r="B22">
            <v>25847198.185000006</v>
          </cell>
        </row>
      </sheetData>
      <sheetData sheetId="6"/>
      <sheetData sheetId="7"/>
      <sheetData sheetId="8"/>
      <sheetData sheetId="9"/>
      <sheetData sheetId="10"/>
      <sheetData sheetId="11">
        <row r="20">
          <cell r="P20"/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D6">
            <v>10000</v>
          </cell>
        </row>
        <row r="12">
          <cell r="I12" t="str">
            <v>2021-04</v>
          </cell>
        </row>
        <row r="13">
          <cell r="I13" t="str">
            <v>2022-03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IS"/>
      <sheetName val="2182 IS"/>
      <sheetName val="Converted IS"/>
      <sheetName val="Ratios"/>
      <sheetName val="2018 YW Tons"/>
      <sheetName val="2180 Disposal"/>
      <sheetName val="LG Total District"/>
      <sheetName val="LG County Area"/>
      <sheetName val="LG EQR"/>
      <sheetName val="LG Cities"/>
      <sheetName val="LG JLBM"/>
      <sheetName val="40109"/>
      <sheetName val="41129"/>
      <sheetName val="43002"/>
      <sheetName val="Revenue-Cust"/>
      <sheetName val="YW Tons"/>
      <sheetName val="Recycle Tons"/>
      <sheetName val="Revenue Summary"/>
      <sheetName val="Explanations-Instructions"/>
      <sheetName val="Restating Adj"/>
      <sheetName val="Restating Adj Expl"/>
      <sheetName val="Pro forma Adj"/>
      <sheetName val="Recycl Mat, Tons, for 2180"/>
      <sheetName val="To Delete --&gt;"/>
      <sheetName val="Dispos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K7">
            <v>30836341.217517916</v>
          </cell>
        </row>
        <row r="8">
          <cell r="K8">
            <v>28756984.927165326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>
            <v>0</v>
          </cell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132534.08000000002</v>
          </cell>
          <cell r="AH13">
            <v>0</v>
          </cell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>
            <v>0</v>
          </cell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>
            <v>0</v>
          </cell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>
            <v>0</v>
          </cell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>
            <v>0</v>
          </cell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>
            <v>0</v>
          </cell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>
            <v>0</v>
          </cell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>
            <v>0</v>
          </cell>
          <cell r="I35">
            <v>0</v>
          </cell>
          <cell r="K35">
            <v>0</v>
          </cell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>
            <v>0</v>
          </cell>
          <cell r="AD35">
            <v>0</v>
          </cell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>
            <v>0</v>
          </cell>
          <cell r="I36">
            <v>0</v>
          </cell>
          <cell r="K36">
            <v>0</v>
          </cell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>
            <v>0</v>
          </cell>
          <cell r="AD36">
            <v>0</v>
          </cell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>
            <v>0</v>
          </cell>
          <cell r="I37">
            <v>0</v>
          </cell>
          <cell r="K37">
            <v>0</v>
          </cell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>
            <v>0</v>
          </cell>
          <cell r="AD37">
            <v>0</v>
          </cell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I40">
            <v>0</v>
          </cell>
        </row>
        <row r="41">
          <cell r="E41">
            <v>0</v>
          </cell>
          <cell r="F41">
            <v>0</v>
          </cell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>
            <v>0</v>
          </cell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 t="str">
            <v>NEED TO CHECK PERCENTS AGAINST THE BLACK BOX!</v>
          </cell>
          <cell r="N45">
            <v>0</v>
          </cell>
          <cell r="O45">
            <v>0</v>
          </cell>
          <cell r="P45">
            <v>0</v>
          </cell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295020.6315689031</v>
          </cell>
          <cell r="N46">
            <v>0</v>
          </cell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>
            <v>0</v>
          </cell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>
            <v>0</v>
          </cell>
          <cell r="S53">
            <v>60225.333011235838</v>
          </cell>
          <cell r="T53">
            <v>0</v>
          </cell>
          <cell r="U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109907.81996125523</v>
          </cell>
          <cell r="M59">
            <v>0</v>
          </cell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>
            <v>0</v>
          </cell>
          <cell r="AD59">
            <v>0</v>
          </cell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>
            <v>0</v>
          </cell>
          <cell r="AD61">
            <v>0</v>
          </cell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>
            <v>0</v>
          </cell>
          <cell r="AD62">
            <v>0</v>
          </cell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>
            <v>0</v>
          </cell>
          <cell r="AD63">
            <v>0</v>
          </cell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>
            <v>0</v>
          </cell>
          <cell r="AD64">
            <v>0</v>
          </cell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>
            <v>0</v>
          </cell>
          <cell r="AD68">
            <v>0</v>
          </cell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>
            <v>0</v>
          </cell>
          <cell r="AD70">
            <v>0</v>
          </cell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>
            <v>0</v>
          </cell>
          <cell r="AD72">
            <v>0</v>
          </cell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>
            <v>0</v>
          </cell>
          <cell r="AD73">
            <v>0</v>
          </cell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28308.571266994888</v>
          </cell>
          <cell r="O77">
            <v>28308.571266994888</v>
          </cell>
          <cell r="P77">
            <v>17720.604324025688</v>
          </cell>
          <cell r="Q77">
            <v>0</v>
          </cell>
          <cell r="R77">
            <v>0</v>
          </cell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>
            <v>0</v>
          </cell>
          <cell r="AD77">
            <v>0</v>
          </cell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1693.6444886329532</v>
          </cell>
          <cell r="O78">
            <v>1693.6444886329532</v>
          </cell>
          <cell r="P78">
            <v>857.52611642594184</v>
          </cell>
          <cell r="Q78">
            <v>0</v>
          </cell>
          <cell r="R78">
            <v>0</v>
          </cell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>
            <v>0</v>
          </cell>
          <cell r="AD78">
            <v>0</v>
          </cell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8534.5623532853224</v>
          </cell>
          <cell r="O80">
            <v>8534.5623532853224</v>
          </cell>
          <cell r="P80">
            <v>4321.219806947277</v>
          </cell>
          <cell r="Q80">
            <v>0</v>
          </cell>
          <cell r="R80">
            <v>0</v>
          </cell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>
            <v>0</v>
          </cell>
          <cell r="AD80">
            <v>0</v>
          </cell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1395.9778677125855</v>
          </cell>
          <cell r="O81">
            <v>1395.9778677125855</v>
          </cell>
          <cell r="P81">
            <v>706.81154607740905</v>
          </cell>
          <cell r="Q81">
            <v>0</v>
          </cell>
          <cell r="R81">
            <v>0</v>
          </cell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>
            <v>0</v>
          </cell>
          <cell r="AD81">
            <v>0</v>
          </cell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>
            <v>0</v>
          </cell>
          <cell r="AD82">
            <v>0</v>
          </cell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>
            <v>0</v>
          </cell>
          <cell r="AD83">
            <v>0</v>
          </cell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>
            <v>0</v>
          </cell>
          <cell r="AD84">
            <v>0</v>
          </cell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>
            <v>0</v>
          </cell>
          <cell r="AD85">
            <v>0</v>
          </cell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>
            <v>0</v>
          </cell>
          <cell r="AD86">
            <v>0</v>
          </cell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>
            <v>0</v>
          </cell>
          <cell r="AD87">
            <v>0</v>
          </cell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>
            <v>0</v>
          </cell>
          <cell r="AD88">
            <v>0</v>
          </cell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>
            <v>0</v>
          </cell>
          <cell r="AD89">
            <v>0</v>
          </cell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>
            <v>0</v>
          </cell>
          <cell r="AD90">
            <v>0</v>
          </cell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>
            <v>0</v>
          </cell>
          <cell r="AD91">
            <v>0</v>
          </cell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>
            <v>0</v>
          </cell>
          <cell r="AD92">
            <v>0</v>
          </cell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>
            <v>0</v>
          </cell>
          <cell r="AD93">
            <v>0</v>
          </cell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>
            <v>0</v>
          </cell>
          <cell r="AD94">
            <v>0</v>
          </cell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>
            <v>0</v>
          </cell>
          <cell r="AD95">
            <v>0</v>
          </cell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>
            <v>0</v>
          </cell>
          <cell r="AD96">
            <v>0</v>
          </cell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>
            <v>0</v>
          </cell>
          <cell r="AD98">
            <v>0</v>
          </cell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>
            <v>0</v>
          </cell>
          <cell r="AD99">
            <v>0</v>
          </cell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>
            <v>0</v>
          </cell>
          <cell r="AD102">
            <v>0</v>
          </cell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>
            <v>0</v>
          </cell>
          <cell r="AD103">
            <v>0</v>
          </cell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>
            <v>0</v>
          </cell>
          <cell r="AD104">
            <v>0</v>
          </cell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>
            <v>0</v>
          </cell>
          <cell r="AD106">
            <v>0</v>
          </cell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>
            <v>0</v>
          </cell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>
            <v>0</v>
          </cell>
          <cell r="AD112">
            <v>0</v>
          </cell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>
            <v>0</v>
          </cell>
          <cell r="AD113">
            <v>0</v>
          </cell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>
            <v>0</v>
          </cell>
          <cell r="AD114">
            <v>0</v>
          </cell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>
            <v>0</v>
          </cell>
          <cell r="AD116">
            <v>0</v>
          </cell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>
            <v>0</v>
          </cell>
          <cell r="AD117">
            <v>0</v>
          </cell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>
            <v>0</v>
          </cell>
          <cell r="AD118">
            <v>0</v>
          </cell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>
            <v>0</v>
          </cell>
          <cell r="AD119">
            <v>0</v>
          </cell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>
            <v>0</v>
          </cell>
          <cell r="AD120">
            <v>0</v>
          </cell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>
            <v>0</v>
          </cell>
          <cell r="AD123">
            <v>0</v>
          </cell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>
            <v>0</v>
          </cell>
          <cell r="AD132">
            <v>0</v>
          </cell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>
            <v>0</v>
          </cell>
          <cell r="AD136">
            <v>0</v>
          </cell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>
            <v>0</v>
          </cell>
          <cell r="AD137">
            <v>0</v>
          </cell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>
            <v>0</v>
          </cell>
          <cell r="AD138">
            <v>0</v>
          </cell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>
            <v>0</v>
          </cell>
          <cell r="AD139">
            <v>0</v>
          </cell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>
            <v>0</v>
          </cell>
          <cell r="AD140">
            <v>0</v>
          </cell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>
            <v>0</v>
          </cell>
          <cell r="AD142">
            <v>0</v>
          </cell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>
            <v>0</v>
          </cell>
          <cell r="AD144">
            <v>0</v>
          </cell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>
            <v>0</v>
          </cell>
          <cell r="AD146">
            <v>0</v>
          </cell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>
            <v>0</v>
          </cell>
          <cell r="AD151">
            <v>0</v>
          </cell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>
            <v>0</v>
          </cell>
          <cell r="AD153">
            <v>0</v>
          </cell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>
            <v>0</v>
          </cell>
          <cell r="AD156">
            <v>0</v>
          </cell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>
            <v>0</v>
          </cell>
          <cell r="AD157">
            <v>0</v>
          </cell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>
            <v>0</v>
          </cell>
          <cell r="AD160">
            <v>0</v>
          </cell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>
            <v>0</v>
          </cell>
          <cell r="AD161">
            <v>0</v>
          </cell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>
            <v>0</v>
          </cell>
          <cell r="AD163">
            <v>0</v>
          </cell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>
            <v>0</v>
          </cell>
          <cell r="AD164">
            <v>0</v>
          </cell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>
            <v>0</v>
          </cell>
          <cell r="AD166">
            <v>0</v>
          </cell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>
            <v>0</v>
          </cell>
          <cell r="AD167">
            <v>0</v>
          </cell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>
            <v>0</v>
          </cell>
          <cell r="AD168">
            <v>0</v>
          </cell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>
            <v>0</v>
          </cell>
          <cell r="AD169">
            <v>0</v>
          </cell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>
            <v>0</v>
          </cell>
          <cell r="AD170">
            <v>0</v>
          </cell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>
            <v>0</v>
          </cell>
          <cell r="AD171">
            <v>0</v>
          </cell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>
            <v>0</v>
          </cell>
          <cell r="AD172">
            <v>0</v>
          </cell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>
            <v>0</v>
          </cell>
          <cell r="AD173">
            <v>0</v>
          </cell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>
            <v>0</v>
          </cell>
          <cell r="AD174">
            <v>0</v>
          </cell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>
            <v>0</v>
          </cell>
          <cell r="AD175">
            <v>0</v>
          </cell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>
            <v>0</v>
          </cell>
          <cell r="AD176">
            <v>0</v>
          </cell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>
            <v>0</v>
          </cell>
          <cell r="AD201">
            <v>0</v>
          </cell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>
            <v>0</v>
          </cell>
          <cell r="AD207">
            <v>0</v>
          </cell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>
            <v>0</v>
          </cell>
          <cell r="AD211">
            <v>0</v>
          </cell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>
            <v>0</v>
          </cell>
          <cell r="AD216">
            <v>0</v>
          </cell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>
            <v>0</v>
          </cell>
          <cell r="AD222">
            <v>0</v>
          </cell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>
            <v>0</v>
          </cell>
          <cell r="AD224">
            <v>0</v>
          </cell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>
            <v>0</v>
          </cell>
          <cell r="AD225">
            <v>0</v>
          </cell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>
            <v>0</v>
          </cell>
          <cell r="AD226">
            <v>0</v>
          </cell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>
            <v>0</v>
          </cell>
          <cell r="AD227">
            <v>0</v>
          </cell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>
            <v>0</v>
          </cell>
          <cell r="AD229">
            <v>0</v>
          </cell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>
            <v>0</v>
          </cell>
          <cell r="AD230">
            <v>0</v>
          </cell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>
            <v>0</v>
          </cell>
          <cell r="AD231">
            <v>0</v>
          </cell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>
            <v>0</v>
          </cell>
          <cell r="AD233">
            <v>0</v>
          </cell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>
            <v>0</v>
          </cell>
          <cell r="AD236">
            <v>0</v>
          </cell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>
            <v>0</v>
          </cell>
          <cell r="AD237">
            <v>0</v>
          </cell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>
            <v>0</v>
          </cell>
          <cell r="AD238">
            <v>0</v>
          </cell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>
            <v>0</v>
          </cell>
          <cell r="AD239">
            <v>0</v>
          </cell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763.68707974869699</v>
          </cell>
          <cell r="N250">
            <v>0</v>
          </cell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>
            <v>0</v>
          </cell>
          <cell r="AD255">
            <v>0</v>
          </cell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>
            <v>0</v>
          </cell>
          <cell r="AD258">
            <v>0</v>
          </cell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>
            <v>0</v>
          </cell>
          <cell r="AD260">
            <v>0</v>
          </cell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>
            <v>0</v>
          </cell>
          <cell r="F261">
            <v>0</v>
          </cell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  <sheetName val="Bud Capita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F11" t="str">
            <v>OK!: ReportRange Formula OK [jAction{}]</v>
          </cell>
        </row>
        <row r="26">
          <cell r="B26" t="str">
            <v>N|Container Delivery</v>
          </cell>
          <cell r="C26" t="str">
            <v>Container Delivery Truck</v>
          </cell>
          <cell r="D26" t="str">
            <v>Container Delivery</v>
          </cell>
        </row>
        <row r="27">
          <cell r="B27" t="str">
            <v>Lookup Key</v>
          </cell>
          <cell r="C27" t="str">
            <v>PO Subtype</v>
          </cell>
          <cell r="D27" t="str">
            <v>Truck Center System Type</v>
          </cell>
        </row>
        <row r="28">
          <cell r="B28" t="str">
            <v>N|Automated Sideloader</v>
          </cell>
          <cell r="C28" t="str">
            <v>Automated</v>
          </cell>
          <cell r="D28" t="str">
            <v>Automated Sideloader</v>
          </cell>
        </row>
        <row r="29">
          <cell r="B29" t="str">
            <v>N|Container Delivery</v>
          </cell>
          <cell r="C29" t="str">
            <v>Container Delivery Truck</v>
          </cell>
          <cell r="D29" t="str">
            <v>Container Delivery</v>
          </cell>
        </row>
        <row r="30">
          <cell r="B30" t="str">
            <v>N|Front Loader</v>
          </cell>
          <cell r="C30" t="str">
            <v>Front Load</v>
          </cell>
          <cell r="D30" t="str">
            <v>Front Loader</v>
          </cell>
        </row>
        <row r="31">
          <cell r="B31" t="str">
            <v>N|Grapple Truck</v>
          </cell>
          <cell r="C31" t="str">
            <v>Grapple Brush Truck</v>
          </cell>
          <cell r="D31" t="str">
            <v>Grapple Truck</v>
          </cell>
        </row>
        <row r="32">
          <cell r="B32" t="str">
            <v>N|Hook Lift</v>
          </cell>
          <cell r="C32" t="str">
            <v>Hook Lift</v>
          </cell>
          <cell r="D32" t="str">
            <v>Hook Lift</v>
          </cell>
        </row>
        <row r="33">
          <cell r="B33" t="str">
            <v>N|Manual Sideloader</v>
          </cell>
          <cell r="C33" t="str">
            <v>Sideloader</v>
          </cell>
          <cell r="D33" t="str">
            <v>Manual Sideloader</v>
          </cell>
        </row>
        <row r="34">
          <cell r="B34" t="str">
            <v>N|Other</v>
          </cell>
          <cell r="C34" t="str">
            <v>Other Truck</v>
          </cell>
          <cell r="D34" t="str">
            <v>Other</v>
          </cell>
        </row>
        <row r="35">
          <cell r="B35" t="str">
            <v>N|Other</v>
          </cell>
          <cell r="C35" t="str">
            <v>Passenger Car</v>
          </cell>
          <cell r="D35" t="str">
            <v>Other</v>
          </cell>
        </row>
        <row r="36">
          <cell r="B36" t="str">
            <v>N|Pickup</v>
          </cell>
          <cell r="C36" t="str">
            <v>Pickup</v>
          </cell>
          <cell r="D36" t="str">
            <v>Pickup</v>
          </cell>
        </row>
        <row r="37">
          <cell r="B37" t="str">
            <v>N|Pumper Truck</v>
          </cell>
          <cell r="C37" t="str">
            <v>Pumper Truck</v>
          </cell>
          <cell r="D37" t="str">
            <v>Pumper Truck</v>
          </cell>
        </row>
        <row r="38">
          <cell r="B38" t="str">
            <v>N|Rear Loader</v>
          </cell>
          <cell r="C38" t="str">
            <v>Rear Load</v>
          </cell>
          <cell r="D38" t="str">
            <v>Rear Loader</v>
          </cell>
        </row>
        <row r="39">
          <cell r="B39" t="str">
            <v>N|Recycle</v>
          </cell>
          <cell r="C39" t="str">
            <v>Recycle Truck</v>
          </cell>
          <cell r="D39" t="str">
            <v>Recycle</v>
          </cell>
        </row>
        <row r="40">
          <cell r="B40" t="str">
            <v>N|Retriever</v>
          </cell>
          <cell r="C40" t="str">
            <v>Retriever</v>
          </cell>
          <cell r="D40" t="str">
            <v>Retriever</v>
          </cell>
        </row>
        <row r="41">
          <cell r="B41" t="str">
            <v>N|Roll Off</v>
          </cell>
          <cell r="C41" t="str">
            <v>Roll Off</v>
          </cell>
          <cell r="D41" t="str">
            <v>Roll Off</v>
          </cell>
        </row>
        <row r="42">
          <cell r="B42" t="str">
            <v>N|Serv Trk-Complete</v>
          </cell>
          <cell r="C42" t="str">
            <v>Service Truck</v>
          </cell>
          <cell r="D42" t="str">
            <v>Serv Trk-Complete</v>
          </cell>
        </row>
        <row r="43">
          <cell r="B43" t="str">
            <v>N|Trailer</v>
          </cell>
          <cell r="C43" t="str">
            <v>Tipper Trailer</v>
          </cell>
          <cell r="D43" t="str">
            <v>Trailer</v>
          </cell>
        </row>
        <row r="44">
          <cell r="B44" t="str">
            <v>N|Trailer</v>
          </cell>
          <cell r="C44" t="str">
            <v>Walking Floor Trailer</v>
          </cell>
          <cell r="D44" t="str">
            <v>Trailer</v>
          </cell>
        </row>
        <row r="45">
          <cell r="B45" t="str">
            <v>N|Trailer</v>
          </cell>
          <cell r="C45" t="str">
            <v>Roll Off Pup Trailer</v>
          </cell>
          <cell r="D45" t="str">
            <v>Trailer</v>
          </cell>
        </row>
        <row r="46">
          <cell r="B46" t="str">
            <v>N|Trailer</v>
          </cell>
          <cell r="C46" t="str">
            <v>Other Trailer</v>
          </cell>
          <cell r="D46" t="str">
            <v>Trailer</v>
          </cell>
        </row>
        <row r="47">
          <cell r="B47" t="str">
            <v>N|Trailer</v>
          </cell>
          <cell r="C47" t="str">
            <v>Container Delivery Trailer</v>
          </cell>
          <cell r="D47" t="str">
            <v>Trailer</v>
          </cell>
        </row>
        <row r="48">
          <cell r="B48" t="str">
            <v>N|Trailer</v>
          </cell>
          <cell r="C48" t="str">
            <v>Railroad Cars</v>
          </cell>
          <cell r="D48" t="str">
            <v>Trailer</v>
          </cell>
        </row>
        <row r="49">
          <cell r="B49" t="str">
            <v>N|Trailer</v>
          </cell>
          <cell r="C49" t="str">
            <v>Barge</v>
          </cell>
          <cell r="D49" t="str">
            <v>Trailer</v>
          </cell>
        </row>
        <row r="50">
          <cell r="B50" t="str">
            <v>N|Transfer Tractor</v>
          </cell>
          <cell r="C50" t="str">
            <v>Transfer Tractor</v>
          </cell>
          <cell r="D50" t="str">
            <v>Transfer Tractor</v>
          </cell>
        </row>
        <row r="51">
          <cell r="B51" t="str">
            <v>N|Yard Mule</v>
          </cell>
          <cell r="C51" t="str">
            <v>ATV/Gator</v>
          </cell>
          <cell r="D51" t="str">
            <v>Yard Mule</v>
          </cell>
        </row>
        <row r="52">
          <cell r="B52" t="str">
            <v>N|Yard Mule</v>
          </cell>
          <cell r="C52" t="str">
            <v>Yard Mule</v>
          </cell>
          <cell r="D52" t="str">
            <v>Yard Mule</v>
          </cell>
        </row>
        <row r="53">
          <cell r="B53" t="str">
            <v>U|Automated Sideloader</v>
          </cell>
          <cell r="C53" t="str">
            <v>Automated</v>
          </cell>
          <cell r="D53" t="str">
            <v>Automated Sideloader</v>
          </cell>
        </row>
        <row r="54">
          <cell r="B54" t="str">
            <v>U|Container Delivery</v>
          </cell>
          <cell r="C54" t="str">
            <v>Container Delivery Truck</v>
          </cell>
          <cell r="D54" t="str">
            <v>Container Delivery</v>
          </cell>
        </row>
        <row r="55">
          <cell r="B55" t="str">
            <v>U|Front Loader</v>
          </cell>
          <cell r="C55" t="str">
            <v>Front Load</v>
          </cell>
          <cell r="D55" t="str">
            <v>Front Loader</v>
          </cell>
        </row>
        <row r="56">
          <cell r="B56" t="str">
            <v>U|Grapple Truck</v>
          </cell>
          <cell r="C56" t="str">
            <v>Grapple Brush Truck</v>
          </cell>
          <cell r="D56" t="str">
            <v>Grapple Truck</v>
          </cell>
        </row>
        <row r="57">
          <cell r="B57" t="str">
            <v>U|Hook Lift</v>
          </cell>
          <cell r="C57" t="str">
            <v>Hook Lift</v>
          </cell>
          <cell r="D57" t="str">
            <v>Hook Lift</v>
          </cell>
        </row>
        <row r="58">
          <cell r="B58" t="str">
            <v>U|Manual Sideloader</v>
          </cell>
          <cell r="C58" t="str">
            <v>Sideloader</v>
          </cell>
          <cell r="D58" t="str">
            <v>Manual Sideloader</v>
          </cell>
        </row>
        <row r="59">
          <cell r="B59" t="str">
            <v>U|Other</v>
          </cell>
          <cell r="C59" t="str">
            <v>Other Truck</v>
          </cell>
          <cell r="D59" t="str">
            <v>Other</v>
          </cell>
        </row>
        <row r="60">
          <cell r="B60" t="str">
            <v>U|Pickup</v>
          </cell>
          <cell r="C60" t="str">
            <v>Pickup</v>
          </cell>
          <cell r="D60" t="str">
            <v>Pickup</v>
          </cell>
        </row>
        <row r="61">
          <cell r="B61" t="str">
            <v>U|Pumper Truck</v>
          </cell>
          <cell r="C61" t="str">
            <v>Pumper Truck</v>
          </cell>
          <cell r="D61" t="str">
            <v>Pumper Truck</v>
          </cell>
        </row>
        <row r="62">
          <cell r="B62" t="str">
            <v>U|Rear Loader</v>
          </cell>
          <cell r="C62" t="str">
            <v>Rear Load</v>
          </cell>
          <cell r="D62" t="str">
            <v>Rear Loader</v>
          </cell>
        </row>
        <row r="63">
          <cell r="B63" t="str">
            <v>U|Recycle</v>
          </cell>
          <cell r="C63" t="str">
            <v>Recycle Truck</v>
          </cell>
          <cell r="D63" t="str">
            <v>Recycle</v>
          </cell>
        </row>
        <row r="64">
          <cell r="B64" t="str">
            <v>U|Retriever</v>
          </cell>
          <cell r="C64" t="str">
            <v>Retriever</v>
          </cell>
          <cell r="D64" t="str">
            <v>Retriever</v>
          </cell>
        </row>
        <row r="65">
          <cell r="B65" t="str">
            <v>U|Roll Off</v>
          </cell>
          <cell r="C65" t="str">
            <v>Roll Off</v>
          </cell>
          <cell r="D65" t="str">
            <v>Roll Off</v>
          </cell>
        </row>
        <row r="66">
          <cell r="B66" t="str">
            <v>U|Serv Trk-Complete</v>
          </cell>
          <cell r="C66" t="str">
            <v>Service Truck</v>
          </cell>
          <cell r="D66" t="str">
            <v>Serv Trk-Complete</v>
          </cell>
        </row>
        <row r="67">
          <cell r="B67" t="str">
            <v>U|Trailer</v>
          </cell>
          <cell r="C67" t="str">
            <v>Tipper Trailer</v>
          </cell>
          <cell r="D67" t="str">
            <v>Trailer</v>
          </cell>
        </row>
        <row r="68">
          <cell r="B68" t="str">
            <v>U|Trailer</v>
          </cell>
          <cell r="C68" t="str">
            <v>Walking Floor Trailer</v>
          </cell>
          <cell r="D68" t="str">
            <v>Trailer</v>
          </cell>
        </row>
        <row r="69">
          <cell r="B69" t="str">
            <v>U|Trailer</v>
          </cell>
          <cell r="C69" t="str">
            <v>Roll Off Pup Trailer</v>
          </cell>
          <cell r="D69" t="str">
            <v>Trailer</v>
          </cell>
        </row>
        <row r="70">
          <cell r="B70" t="str">
            <v>U|Trailer</v>
          </cell>
          <cell r="C70" t="str">
            <v>Barge</v>
          </cell>
          <cell r="D70" t="str">
            <v>Trailer</v>
          </cell>
        </row>
        <row r="71">
          <cell r="B71" t="str">
            <v>U|Trailer</v>
          </cell>
          <cell r="C71" t="str">
            <v>Railroad Cars</v>
          </cell>
          <cell r="D71" t="str">
            <v>Trailer</v>
          </cell>
        </row>
        <row r="72">
          <cell r="B72" t="str">
            <v>U|Trailer</v>
          </cell>
          <cell r="C72" t="str">
            <v>Container Delivery Trailer</v>
          </cell>
          <cell r="D72" t="str">
            <v>Trailer</v>
          </cell>
        </row>
        <row r="73">
          <cell r="B73" t="str">
            <v>U|Trailer</v>
          </cell>
          <cell r="C73" t="str">
            <v>Other Trailer</v>
          </cell>
          <cell r="D73" t="str">
            <v>Trailer</v>
          </cell>
        </row>
        <row r="74">
          <cell r="B74" t="str">
            <v>U|Transfer Tractor</v>
          </cell>
          <cell r="C74" t="str">
            <v>Transfer Tractor</v>
          </cell>
          <cell r="D74" t="str">
            <v>Transfer Tractor</v>
          </cell>
        </row>
      </sheetData>
      <sheetData sheetId="7">
        <row r="7">
          <cell r="C7" t="str">
            <v>OK!: ReportRange Formula OK [jAction{}]</v>
          </cell>
        </row>
      </sheetData>
      <sheetData sheetId="8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  <sheetName val="VLOOKUP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f"/>
      <sheetName val="pr"/>
      <sheetName val="rev"/>
      <sheetName val="Fuelcosts"/>
      <sheetName val="fuel"/>
      <sheetName val="oth"/>
      <sheetName val="RteHrs"/>
      <sheetName val="debt"/>
      <sheetName val="taxes"/>
      <sheetName val="recy "/>
      <sheetName val="Advertising"/>
      <sheetName val="Parties"/>
      <sheetName val="Donations"/>
      <sheetName val="Dues "/>
      <sheetName val="Hlth Ins"/>
      <sheetName val="Other Ins"/>
      <sheetName val="Postage"/>
      <sheetName val="Pullman EEs"/>
      <sheetName val="Penalties"/>
      <sheetName val="Pensions"/>
      <sheetName val="Payroll"/>
      <sheetName val="LOC"/>
      <sheetName val="Rent "/>
      <sheetName val="2007 COS"/>
      <sheetName val="ProfFees"/>
      <sheetName val="ReplParts"/>
      <sheetName val="RepairMaint"/>
      <sheetName val="LicensesUsedUseful"/>
      <sheetName val="Recycle truck"/>
      <sheetName val="RecycleCarts"/>
      <sheetName val="Depr"/>
      <sheetName val="StaffAdjSummary"/>
      <sheetName val="ProF"/>
      <sheetName val="Balance Sheet"/>
      <sheetName val="nonrg"/>
      <sheetName val="prcout"/>
      <sheetName val="Staff prcout"/>
      <sheetName val="StaffLGAllRegulated"/>
      <sheetName val="LGGarb"/>
      <sheetName val="LGMFam"/>
      <sheetName val="LGCurbRecy"/>
      <sheetName val="LGYdWaste"/>
      <sheetName val="Staff LGCombined"/>
      <sheetName val="LGMedWaste"/>
      <sheetName val="LGCmlEW"/>
      <sheetName val="Sheet1"/>
      <sheetName val="LNI"/>
      <sheetName val="RateCase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2009"/>
      <sheetName val="Sheet3"/>
    </sheetNames>
    <sheetDataSet>
      <sheetData sheetId="0" refreshError="1">
        <row r="3">
          <cell r="C3">
            <v>39783</v>
          </cell>
        </row>
      </sheetData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 Capital Input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F16" t="str">
            <v>OK!: ReportRange Formula OK [jAction{}]</v>
          </cell>
        </row>
        <row r="29">
          <cell r="C29" t="str">
            <v>PO Subtype</v>
          </cell>
          <cell r="D29" t="str">
            <v>Truck Center System Type</v>
          </cell>
        </row>
        <row r="30">
          <cell r="C30" t="str">
            <v>PO Subtype</v>
          </cell>
          <cell r="D30" t="str">
            <v>Truck Center System Type</v>
          </cell>
        </row>
        <row r="31">
          <cell r="C31" t="str">
            <v>Automated</v>
          </cell>
          <cell r="D31" t="str">
            <v>Automated Sideloader</v>
          </cell>
        </row>
        <row r="32">
          <cell r="C32" t="str">
            <v>Container Delivery Truck</v>
          </cell>
          <cell r="D32" t="str">
            <v>Container Delivery</v>
          </cell>
        </row>
        <row r="33">
          <cell r="C33" t="str">
            <v>Front Load</v>
          </cell>
          <cell r="D33" t="str">
            <v>Front Loader</v>
          </cell>
        </row>
        <row r="34">
          <cell r="C34" t="str">
            <v>Grapple Brush Truck</v>
          </cell>
          <cell r="D34" t="str">
            <v>Grapple Truck</v>
          </cell>
        </row>
        <row r="35">
          <cell r="C35" t="str">
            <v>Hook Lift</v>
          </cell>
          <cell r="D35" t="str">
            <v>Hook Lift</v>
          </cell>
        </row>
        <row r="36">
          <cell r="C36" t="str">
            <v>Sideloader</v>
          </cell>
          <cell r="D36" t="str">
            <v>Sideloader</v>
          </cell>
        </row>
        <row r="37">
          <cell r="C37" t="str">
            <v>Sideloader</v>
          </cell>
          <cell r="D37" t="str">
            <v>Sideloader</v>
          </cell>
        </row>
        <row r="38">
          <cell r="C38" t="str">
            <v>Other Truck</v>
          </cell>
          <cell r="D38" t="str">
            <v>Other</v>
          </cell>
        </row>
        <row r="39">
          <cell r="C39" t="str">
            <v>Passenger Car</v>
          </cell>
          <cell r="D39" t="str">
            <v>Other</v>
          </cell>
        </row>
        <row r="40">
          <cell r="C40" t="str">
            <v>Pickup</v>
          </cell>
          <cell r="D40" t="str">
            <v>Pickup</v>
          </cell>
        </row>
        <row r="41">
          <cell r="C41" t="str">
            <v>Pumper Truck</v>
          </cell>
          <cell r="D41" t="str">
            <v>Pumper Truck</v>
          </cell>
        </row>
        <row r="42">
          <cell r="C42" t="str">
            <v>Rear Load</v>
          </cell>
          <cell r="D42" t="str">
            <v>Rear Loader</v>
          </cell>
        </row>
        <row r="43">
          <cell r="C43" t="str">
            <v>Recycle Truck</v>
          </cell>
          <cell r="D43" t="str">
            <v>Recycle</v>
          </cell>
        </row>
        <row r="44">
          <cell r="C44" t="str">
            <v>Retriever</v>
          </cell>
          <cell r="D44" t="str">
            <v>Retriever</v>
          </cell>
        </row>
        <row r="45">
          <cell r="C45" t="str">
            <v>Roll Off</v>
          </cell>
          <cell r="D45" t="str">
            <v>Roll Off</v>
          </cell>
        </row>
        <row r="46">
          <cell r="C46" t="str">
            <v>Service Truck</v>
          </cell>
          <cell r="D46" t="str">
            <v>Service Truck</v>
          </cell>
        </row>
        <row r="47">
          <cell r="C47" t="str">
            <v>Service Truck</v>
          </cell>
          <cell r="D47" t="str">
            <v>Service Truck</v>
          </cell>
        </row>
        <row r="48">
          <cell r="C48" t="str">
            <v>Tipper Trailer</v>
          </cell>
          <cell r="D48" t="str">
            <v>Trailer</v>
          </cell>
        </row>
        <row r="49">
          <cell r="C49" t="str">
            <v>Walking Floor Trailer</v>
          </cell>
          <cell r="D49" t="str">
            <v>Trailer</v>
          </cell>
        </row>
        <row r="50">
          <cell r="C50" t="str">
            <v>Roll Off Pup Trailer</v>
          </cell>
          <cell r="D50" t="str">
            <v>Trailer</v>
          </cell>
        </row>
        <row r="51">
          <cell r="C51" t="str">
            <v>Other Trailer</v>
          </cell>
          <cell r="D51" t="str">
            <v>Trailer</v>
          </cell>
        </row>
        <row r="52">
          <cell r="C52" t="str">
            <v>Container Delivery Trailer</v>
          </cell>
          <cell r="D52" t="str">
            <v>Trailer</v>
          </cell>
        </row>
        <row r="53">
          <cell r="C53" t="str">
            <v>Railroad Cars</v>
          </cell>
          <cell r="D53" t="str">
            <v>Trailer</v>
          </cell>
        </row>
        <row r="54">
          <cell r="C54" t="str">
            <v>Barge</v>
          </cell>
          <cell r="D54" t="str">
            <v>Trailer</v>
          </cell>
        </row>
        <row r="55">
          <cell r="C55" t="str">
            <v>Transfer Tractor</v>
          </cell>
          <cell r="D55" t="str">
            <v>Transfer Tractor</v>
          </cell>
        </row>
        <row r="56">
          <cell r="C56" t="str">
            <v>ATV/Gator</v>
          </cell>
          <cell r="D56" t="str">
            <v>UTV</v>
          </cell>
        </row>
        <row r="57">
          <cell r="C57" t="str">
            <v>Yard Mule</v>
          </cell>
          <cell r="D57" t="str">
            <v>Yard Mule</v>
          </cell>
        </row>
        <row r="58">
          <cell r="C58" t="str">
            <v>Automated</v>
          </cell>
          <cell r="D58" t="str">
            <v>Automated Sideloader</v>
          </cell>
        </row>
        <row r="59">
          <cell r="C59" t="str">
            <v>Container Delivery Truck</v>
          </cell>
          <cell r="D59" t="str">
            <v>Container Delivery</v>
          </cell>
        </row>
        <row r="60">
          <cell r="C60" t="str">
            <v>Front Load</v>
          </cell>
          <cell r="D60" t="str">
            <v>Front Loader</v>
          </cell>
        </row>
        <row r="61">
          <cell r="C61" t="str">
            <v>Grapple Brush Truck</v>
          </cell>
          <cell r="D61" t="str">
            <v>Grapple Truck</v>
          </cell>
        </row>
        <row r="62">
          <cell r="C62" t="str">
            <v>Hook Lift</v>
          </cell>
          <cell r="D62" t="str">
            <v>Hook Lift</v>
          </cell>
        </row>
        <row r="63">
          <cell r="C63" t="str">
            <v>Sideloader</v>
          </cell>
          <cell r="D63" t="str">
            <v>Manual Sideloader</v>
          </cell>
        </row>
        <row r="64">
          <cell r="C64" t="str">
            <v>Other Truck</v>
          </cell>
          <cell r="D64" t="str">
            <v>Other</v>
          </cell>
        </row>
        <row r="65">
          <cell r="C65" t="str">
            <v>Pickup</v>
          </cell>
          <cell r="D65" t="str">
            <v>Pickup</v>
          </cell>
        </row>
        <row r="66">
          <cell r="C66" t="str">
            <v>Pumper Truck</v>
          </cell>
          <cell r="D66" t="str">
            <v>Pumper Truck</v>
          </cell>
        </row>
        <row r="67">
          <cell r="C67" t="str">
            <v>Rear Load</v>
          </cell>
          <cell r="D67" t="str">
            <v>Rear Loader</v>
          </cell>
        </row>
        <row r="68">
          <cell r="C68" t="str">
            <v>Recycle Truck</v>
          </cell>
          <cell r="D68" t="str">
            <v>Recycle</v>
          </cell>
        </row>
        <row r="69">
          <cell r="C69" t="str">
            <v>Retriever</v>
          </cell>
          <cell r="D69" t="str">
            <v>Retriever</v>
          </cell>
        </row>
        <row r="70">
          <cell r="C70" t="str">
            <v>Roll Off</v>
          </cell>
          <cell r="D70" t="str">
            <v>Roll Off</v>
          </cell>
        </row>
        <row r="71">
          <cell r="C71" t="str">
            <v>Service Truck</v>
          </cell>
          <cell r="D71" t="str">
            <v>Serv Trk-Complete</v>
          </cell>
        </row>
        <row r="72">
          <cell r="C72" t="str">
            <v>Tipper Trailer</v>
          </cell>
          <cell r="D72" t="str">
            <v>Trailer</v>
          </cell>
        </row>
        <row r="73">
          <cell r="C73" t="str">
            <v>Walking Floor Trailer</v>
          </cell>
          <cell r="D73" t="str">
            <v>Trailer</v>
          </cell>
        </row>
        <row r="74">
          <cell r="C74" t="str">
            <v>Roll Off Pup Trailer</v>
          </cell>
          <cell r="D74" t="str">
            <v>Trailer</v>
          </cell>
        </row>
        <row r="75">
          <cell r="C75" t="str">
            <v>Barge</v>
          </cell>
          <cell r="D75" t="str">
            <v>Trailer</v>
          </cell>
        </row>
        <row r="76">
          <cell r="C76" t="str">
            <v>Railroad Cars</v>
          </cell>
          <cell r="D76" t="str">
            <v>Trailer</v>
          </cell>
        </row>
        <row r="77">
          <cell r="C77" t="str">
            <v>Container Delivery Trailer</v>
          </cell>
          <cell r="D77" t="str">
            <v>Trailer</v>
          </cell>
        </row>
        <row r="78">
          <cell r="C78" t="str">
            <v>Other Trailer</v>
          </cell>
          <cell r="D78" t="str">
            <v>Trailer</v>
          </cell>
        </row>
        <row r="79">
          <cell r="C79" t="str">
            <v>Transfer Tractor</v>
          </cell>
          <cell r="D79" t="str">
            <v>Transfer Tractor</v>
          </cell>
        </row>
      </sheetData>
      <sheetData sheetId="8">
        <row r="7">
          <cell r="C7" t="str">
            <v>OK!: ReportRange Formula OK [jAction{}]</v>
          </cell>
        </row>
      </sheetData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>
        <row r="30">
          <cell r="J30">
            <v>2646.7177352709273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W Notes"/>
      <sheetName val="2112 IS"/>
      <sheetName val="Master IS"/>
      <sheetName val="Clallam LOB"/>
      <sheetName val="Jefferson LOB"/>
      <sheetName val="Restating Adj"/>
      <sheetName val="Pro forma Adj"/>
      <sheetName val="Allocators"/>
      <sheetName val="Clallam Reg Price Out"/>
      <sheetName val="Jefferson Reg Price Out"/>
      <sheetName val="CityPA-M Price Out"/>
      <sheetName val="Mill Haul Tie Out"/>
      <sheetName val="LG Public - Regulated-LessMill"/>
      <sheetName val="LG Public - Regulated"/>
      <sheetName val="Interject_LastPulledValues"/>
      <sheetName val="LG Public - Mill Hauls"/>
      <sheetName val="LG Public - Clallam Total"/>
      <sheetName val="LG Public - Clallam MSW"/>
      <sheetName val="LG Public - Clallam Recycling"/>
      <sheetName val="LG Public - Jefferson Total"/>
      <sheetName val="LG Public - Jefferson MSW"/>
      <sheetName val="LG Public - Jefferson Recy"/>
      <sheetName val="Payroll Summary"/>
      <sheetName val="Recycling 2023"/>
      <sheetName val="Deprec. Summary"/>
      <sheetName val="Fuel Adj"/>
      <sheetName val="Fuel Adj - Price Increae Calc"/>
      <sheetName val="DVP-DivCon Allocs  (C)"/>
      <sheetName val="Region OH"/>
      <sheetName val="Corp-OH"/>
      <sheetName val="Corp IS-BS"/>
      <sheetName val="41201 JE Query"/>
      <sheetName val="52147 JE Query"/>
      <sheetName val="57147 JE Query"/>
      <sheetName val="57176 JE Query"/>
      <sheetName val="59342 JE Query"/>
      <sheetName val="70171 JE Query"/>
      <sheetName val="70235 JE Query"/>
      <sheetName val="91010 JE Query"/>
      <sheetName val="2112_BS 07-2022"/>
      <sheetName val="2112_BS 07-2023"/>
    </sheetNames>
    <sheetDataSet>
      <sheetData sheetId="0" refreshError="1"/>
      <sheetData sheetId="1">
        <row r="19">
          <cell r="K19">
            <v>171975.85</v>
          </cell>
          <cell r="M19">
            <v>132564.95000000001</v>
          </cell>
          <cell r="O19">
            <v>135361.35999999999</v>
          </cell>
          <cell r="Q19">
            <v>132811.65</v>
          </cell>
          <cell r="S19">
            <v>124359.92</v>
          </cell>
          <cell r="U19">
            <v>141574.51</v>
          </cell>
          <cell r="W19">
            <v>123646.2</v>
          </cell>
          <cell r="Y19">
            <v>142792.57999999999</v>
          </cell>
          <cell r="AA19">
            <v>121251.53</v>
          </cell>
          <cell r="AC19">
            <v>153672.54</v>
          </cell>
          <cell r="AE19">
            <v>147211.9</v>
          </cell>
          <cell r="AG19">
            <v>125503.95</v>
          </cell>
        </row>
      </sheetData>
      <sheetData sheetId="2">
        <row r="155">
          <cell r="E155">
            <v>6379961.4300000016</v>
          </cell>
        </row>
        <row r="156">
          <cell r="F156">
            <v>1650804.2600000002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2 IS"/>
      <sheetName val="Master IS"/>
      <sheetName val="Staff Calculations"/>
      <sheetName val="Payroll Summary"/>
      <sheetName val="70235 JE Query"/>
      <sheetName val="Region OH"/>
      <sheetName val="Corp-OH"/>
      <sheetName val="Staff Rev-Deprec. Summary"/>
      <sheetName val="Staff Output Summary WAC"/>
      <sheetName val="Staff Input and Calculation WAC"/>
      <sheetName val="Clallam LOB"/>
      <sheetName val="Jefferson LOB"/>
      <sheetName val="Restating Adj"/>
      <sheetName val="Pro forma Adj"/>
      <sheetName val="Allocators"/>
      <sheetName val="Jefferson Reg Price Out"/>
      <sheetName val="Clallam Reg Price Out"/>
      <sheetName val="CityPA-M Price Out"/>
      <sheetName val="Mill Haul Tie Out"/>
      <sheetName val="Clallam Proposed Rates"/>
      <sheetName val="Jefferson Proposed Rates"/>
      <sheetName val="LG Public - Regulated-LessMill"/>
      <sheetName val="LG Public - Regulated"/>
      <sheetName val="Interject_LastPulledValues"/>
      <sheetName val="LG Public - Mill Hauls"/>
      <sheetName val="LG Public - Clallam Total"/>
      <sheetName val="LG Public - Clallam MSW"/>
      <sheetName val="LG Public - Clallam Recycling"/>
      <sheetName val="LG Public - Jefferson Total"/>
      <sheetName val="LG Public - Jefferson MSW"/>
      <sheetName val="LG Public - Jefferson Recy"/>
      <sheetName val="Recycling 2023"/>
      <sheetName val="DF Schedule"/>
      <sheetName val="Fuel Adj"/>
      <sheetName val="Fuel Adj - Price Increae Calc"/>
      <sheetName val="DVP-DivCon Allocs  (C)"/>
      <sheetName val="Corp IS-BS"/>
      <sheetName val="41201 JE Query"/>
      <sheetName val="52147 JE Query"/>
      <sheetName val="57147 JE Query"/>
      <sheetName val="57176 JE Query"/>
      <sheetName val="59342 JE Query"/>
      <sheetName val="70171 JE Query"/>
      <sheetName val="91010 JE Query"/>
      <sheetName val="2112_BS 07-2022"/>
      <sheetName val="2112_BS 07-2023"/>
      <sheetName val="Asset review selection"/>
      <sheetName val="Summary"/>
      <sheetName val="Sheet11"/>
      <sheetName val="FAR Dep Summary"/>
      <sheetName val="FAR 7.31.23"/>
      <sheetName val="MRF Capital Repairs"/>
      <sheetName val="Bud Capital Input"/>
      <sheetName val="2112 Trks"/>
      <sheetName val="2112 Cont"/>
      <sheetName val="2112 Other"/>
    </sheetNames>
    <sheetDataSet>
      <sheetData sheetId="0"/>
      <sheetData sheetId="1">
        <row r="60">
          <cell r="B60">
            <v>52010</v>
          </cell>
        </row>
      </sheetData>
      <sheetData sheetId="2"/>
      <sheetData sheetId="3">
        <row r="16">
          <cell r="A16" t="str">
            <v>Residential Drivers</v>
          </cell>
        </row>
      </sheetData>
      <sheetData sheetId="4"/>
      <sheetData sheetId="5">
        <row r="9">
          <cell r="A9">
            <v>70036</v>
          </cell>
        </row>
      </sheetData>
      <sheetData sheetId="6">
        <row r="37">
          <cell r="A37">
            <v>70106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97">
          <cell r="B97">
            <v>453000</v>
          </cell>
        </row>
      </sheetData>
      <sheetData sheetId="14"/>
      <sheetData sheetId="15">
        <row r="2">
          <cell r="BA2">
            <v>0.13090886615750802</v>
          </cell>
        </row>
        <row r="3">
          <cell r="BA3">
            <v>0.1106167</v>
          </cell>
        </row>
      </sheetData>
      <sheetData sheetId="16">
        <row r="2">
          <cell r="AZ2">
            <v>0.10790891605601019</v>
          </cell>
        </row>
      </sheetData>
      <sheetData sheetId="17">
        <row r="21">
          <cell r="AV21">
            <v>72546.595964142994</v>
          </cell>
        </row>
      </sheetData>
      <sheetData sheetId="18">
        <row r="2">
          <cell r="AL2">
            <v>0.15641861588478612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0">
          <cell r="J20">
            <v>724329.22141953185</v>
          </cell>
        </row>
        <row r="21">
          <cell r="J21">
            <v>7781597.7610626342</v>
          </cell>
        </row>
        <row r="22">
          <cell r="K22">
            <v>0.10263591605601019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7">
          <cell r="D37">
            <v>115775.66333333333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Company Calc"/>
      <sheetName val="Proposed Rates"/>
      <sheetName val="Co Provided Price Out"/>
    </sheetNames>
    <sheetDataSet>
      <sheetData sheetId="0">
        <row r="12">
          <cell r="B12">
            <v>4.333333333333333</v>
          </cell>
        </row>
        <row r="58">
          <cell r="B58">
            <v>-3.1799999999999784</v>
          </cell>
        </row>
      </sheetData>
      <sheetData sheetId="1">
        <row r="6">
          <cell r="C6" t="str">
            <v>Scheduled Service</v>
          </cell>
          <cell r="D6" t="str">
            <v>Monthly Customers</v>
          </cell>
          <cell r="E6" t="str">
            <v>Monthly Frequency</v>
          </cell>
          <cell r="F6" t="str">
            <v>Annual PU's</v>
          </cell>
          <cell r="G6" t="str">
            <v>Meeks Weights</v>
          </cell>
          <cell r="H6" t="str">
            <v>Calculated Annual Pounds</v>
          </cell>
          <cell r="I6" t="str">
            <v>Adjusted Annual Pounds</v>
          </cell>
          <cell r="J6" t="str">
            <v>Decrease</v>
          </cell>
          <cell r="K6" t="str">
            <v>Gross Up</v>
          </cell>
          <cell r="L6" t="str">
            <v>Tariff Rate Decrease</v>
          </cell>
        </row>
        <row r="7">
          <cell r="C7" t="str">
            <v>1-20 GAL CAN WEEKLY SVC</v>
          </cell>
          <cell r="D7">
            <v>7.5919999999999996</v>
          </cell>
          <cell r="E7">
            <v>4.333333333333333</v>
          </cell>
          <cell r="F7">
            <v>394.78399999999999</v>
          </cell>
          <cell r="G7">
            <v>20</v>
          </cell>
          <cell r="H7">
            <v>7895.68</v>
          </cell>
          <cell r="I7">
            <v>6203.9705846203269</v>
          </cell>
          <cell r="J7">
            <v>-9.8643132295462834</v>
          </cell>
          <cell r="K7">
            <v>-10.066652953920077</v>
          </cell>
          <cell r="L7">
            <v>-0.11049627847207671</v>
          </cell>
        </row>
        <row r="8">
          <cell r="C8" t="str">
            <v>1-32 GAL CAN-WEEKLY SVC</v>
          </cell>
          <cell r="D8">
            <v>819.16700000000003</v>
          </cell>
          <cell r="E8">
            <v>4.333333333333333</v>
          </cell>
          <cell r="F8">
            <v>42596.684000000001</v>
          </cell>
          <cell r="G8">
            <v>34</v>
          </cell>
          <cell r="H8">
            <v>1448287.2560000001</v>
          </cell>
          <cell r="I8">
            <v>1137980.7102497176</v>
          </cell>
          <cell r="J8">
            <v>-1809.3893292970442</v>
          </cell>
          <cell r="K8">
            <v>-1846.5040609215678</v>
          </cell>
          <cell r="L8">
            <v>-0.18784367340253041</v>
          </cell>
        </row>
        <row r="9">
          <cell r="C9" t="str">
            <v>2-32 GAL CANS-WEEKLY SVC</v>
          </cell>
          <cell r="D9">
            <v>93.537000000000006</v>
          </cell>
          <cell r="E9">
            <v>4.333333333333333</v>
          </cell>
          <cell r="F9">
            <v>4863.924</v>
          </cell>
          <cell r="G9">
            <v>51</v>
          </cell>
          <cell r="H9">
            <v>248060.12400000001</v>
          </cell>
          <cell r="I9">
            <v>194911.35817475771</v>
          </cell>
          <cell r="J9">
            <v>-309.90905949786361</v>
          </cell>
          <cell r="K9">
            <v>-316.26600622294478</v>
          </cell>
          <cell r="L9">
            <v>-0.28176551010379564</v>
          </cell>
        </row>
        <row r="10">
          <cell r="C10" t="str">
            <v>3-32 GAL CANS-WEEKLY SVC</v>
          </cell>
          <cell r="D10">
            <v>6.3849999999999998</v>
          </cell>
          <cell r="E10">
            <v>4.333333333333333</v>
          </cell>
          <cell r="F10">
            <v>332.02</v>
          </cell>
          <cell r="G10">
            <v>77</v>
          </cell>
          <cell r="H10">
            <v>25565.539999999997</v>
          </cell>
          <cell r="I10">
            <v>20087.928859823896</v>
          </cell>
          <cell r="J10">
            <v>-31.939806887119879</v>
          </cell>
          <cell r="K10">
            <v>-32.594965697642493</v>
          </cell>
          <cell r="L10">
            <v>-0.42541067211749534</v>
          </cell>
        </row>
        <row r="11">
          <cell r="C11" t="str">
            <v>1-35 GAL CART WEEKLY SVC</v>
          </cell>
          <cell r="D11">
            <v>945.32600000000002</v>
          </cell>
          <cell r="E11">
            <v>4.333333333333333</v>
          </cell>
          <cell r="F11">
            <v>49156.95199999999</v>
          </cell>
          <cell r="G11">
            <v>37</v>
          </cell>
          <cell r="H11">
            <v>1818807.2239999997</v>
          </cell>
          <cell r="I11">
            <v>1429113.9606456889</v>
          </cell>
          <cell r="J11">
            <v>-2272.2911974266372</v>
          </cell>
          <cell r="K11">
            <v>-2318.9011097322555</v>
          </cell>
          <cell r="L11">
            <v>-0.20441811517334194</v>
          </cell>
        </row>
        <row r="12">
          <cell r="C12" t="str">
            <v>1-60 GAL CART WEEKLY SVC</v>
          </cell>
          <cell r="D12">
            <v>2955.2570000000001</v>
          </cell>
          <cell r="E12">
            <v>4.333333333333333</v>
          </cell>
          <cell r="F12">
            <v>153673.364</v>
          </cell>
          <cell r="G12">
            <v>47</v>
          </cell>
          <cell r="H12">
            <v>7222648.108</v>
          </cell>
          <cell r="I12">
            <v>5675140.8878140524</v>
          </cell>
          <cell r="J12">
            <v>-9023.4740116243102</v>
          </cell>
          <cell r="K12">
            <v>-9208.5661920852235</v>
          </cell>
          <cell r="L12">
            <v>-0.25966625440938024</v>
          </cell>
        </row>
        <row r="13">
          <cell r="C13" t="str">
            <v>2-60 GAL CARTS WEEKLY SVC</v>
          </cell>
          <cell r="D13">
            <v>37.89</v>
          </cell>
          <cell r="E13">
            <v>8.6666666666666661</v>
          </cell>
          <cell r="F13">
            <v>3940.56</v>
          </cell>
          <cell r="G13">
            <v>47</v>
          </cell>
          <cell r="H13">
            <v>185206.32</v>
          </cell>
          <cell r="I13">
            <v>145524.45911761615</v>
          </cell>
          <cell r="J13">
            <v>-231.38388999700882</v>
          </cell>
          <cell r="K13">
            <v>-236.13010510971407</v>
          </cell>
          <cell r="L13">
            <v>-0.51933250881876059</v>
          </cell>
        </row>
        <row r="14">
          <cell r="C14" t="str">
            <v>1-32 GAL CAN-EOW SVC</v>
          </cell>
          <cell r="D14">
            <v>426.88799999999998</v>
          </cell>
          <cell r="E14">
            <v>2.1666666666666665</v>
          </cell>
          <cell r="F14">
            <v>11099.087999999998</v>
          </cell>
          <cell r="G14">
            <v>34</v>
          </cell>
          <cell r="H14">
            <v>377368.99199999991</v>
          </cell>
          <cell r="I14">
            <v>296514.81897896354</v>
          </cell>
          <cell r="J14">
            <v>-471.45856217655029</v>
          </cell>
          <cell r="K14">
            <v>-481.12926030875627</v>
          </cell>
          <cell r="L14">
            <v>-9.3921836701265193E-2</v>
          </cell>
        </row>
        <row r="15">
          <cell r="C15" t="str">
            <v>2-32 GAL CAN-EOW SVC</v>
          </cell>
          <cell r="D15">
            <v>2.2949999999999999</v>
          </cell>
          <cell r="E15">
            <v>4.333333333333333</v>
          </cell>
          <cell r="F15">
            <v>119.33999999999997</v>
          </cell>
          <cell r="G15">
            <v>34</v>
          </cell>
          <cell r="H15">
            <v>4057.559999999999</v>
          </cell>
          <cell r="I15">
            <v>3188.1969488799</v>
          </cell>
          <cell r="J15">
            <v>-5.0692331487190225</v>
          </cell>
          <cell r="K15">
            <v>-5.173214765505687</v>
          </cell>
          <cell r="L15">
            <v>-0.18784367340253044</v>
          </cell>
        </row>
        <row r="16">
          <cell r="C16" t="str">
            <v>1-35 GAL CART EOW SVC</v>
          </cell>
          <cell r="D16">
            <v>548.04700000000003</v>
          </cell>
          <cell r="E16">
            <v>2.1666666666666665</v>
          </cell>
          <cell r="F16">
            <v>14249.222</v>
          </cell>
          <cell r="G16">
            <v>37</v>
          </cell>
          <cell r="H16">
            <v>527221.21400000004</v>
          </cell>
          <cell r="I16">
            <v>414260.06414188759</v>
          </cell>
          <cell r="J16">
            <v>-658.67350198559882</v>
          </cell>
          <cell r="K16">
            <v>-672.18440859842724</v>
          </cell>
          <cell r="L16">
            <v>-0.10220905758667097</v>
          </cell>
        </row>
        <row r="17">
          <cell r="C17" t="str">
            <v>1-60GAL CART EOW SVC</v>
          </cell>
          <cell r="D17">
            <v>1695.5630000000001</v>
          </cell>
          <cell r="E17">
            <v>2.1666666666666665</v>
          </cell>
          <cell r="F17">
            <v>44084.637999999999</v>
          </cell>
          <cell r="G17">
            <v>47</v>
          </cell>
          <cell r="H17">
            <v>2071977.986</v>
          </cell>
          <cell r="I17">
            <v>1628040.9638086737</v>
          </cell>
          <cell r="J17">
            <v>-2588.5851324557816</v>
          </cell>
          <cell r="K17">
            <v>-2641.6829599507923</v>
          </cell>
          <cell r="L17">
            <v>-0.12983312720469012</v>
          </cell>
        </row>
        <row r="18">
          <cell r="C18" t="str">
            <v>2-60 GAL CARTS EOW SVC</v>
          </cell>
          <cell r="D18">
            <v>2.2949999999999999</v>
          </cell>
          <cell r="E18">
            <v>4.333333333333333</v>
          </cell>
          <cell r="F18">
            <v>119.33999999999997</v>
          </cell>
          <cell r="G18">
            <v>47</v>
          </cell>
          <cell r="H18">
            <v>5608.9799999999987</v>
          </cell>
          <cell r="I18">
            <v>4407.2134293339795</v>
          </cell>
          <cell r="J18">
            <v>-7.0074693526410021</v>
          </cell>
          <cell r="K18">
            <v>-7.1512086464343323</v>
          </cell>
          <cell r="L18">
            <v>-0.25966625440938029</v>
          </cell>
        </row>
        <row r="19">
          <cell r="C19" t="str">
            <v>1-32 GAL CAN-MONTHLY SVC</v>
          </cell>
          <cell r="D19">
            <v>83.825000000000003</v>
          </cell>
          <cell r="E19">
            <v>1</v>
          </cell>
          <cell r="F19">
            <v>1005.9000000000001</v>
          </cell>
          <cell r="G19">
            <v>34</v>
          </cell>
          <cell r="H19">
            <v>34200.600000000006</v>
          </cell>
          <cell r="I19">
            <v>26872.861663133004</v>
          </cell>
          <cell r="J19">
            <v>-42.72785004438132</v>
          </cell>
          <cell r="K19">
            <v>-43.604296402062779</v>
          </cell>
          <cell r="L19">
            <v>-4.3348540015968558E-2</v>
          </cell>
        </row>
        <row r="20">
          <cell r="C20" t="str">
            <v>2-32 GAL CANS MONTHLY SVC</v>
          </cell>
          <cell r="D20">
            <v>3.0030000000000001</v>
          </cell>
          <cell r="E20">
            <v>2</v>
          </cell>
          <cell r="F20">
            <v>72.072000000000003</v>
          </cell>
          <cell r="G20">
            <v>34</v>
          </cell>
          <cell r="H20">
            <v>2450.4480000000003</v>
          </cell>
          <cell r="I20">
            <v>1925.4209024608031</v>
          </cell>
          <cell r="J20">
            <v>-3.0614192349126657</v>
          </cell>
          <cell r="K20">
            <v>-3.1242159760308863</v>
          </cell>
          <cell r="L20">
            <v>-8.6697080031937129E-2</v>
          </cell>
        </row>
        <row r="21">
          <cell r="C21" t="str">
            <v>1-35 GAL CART MONTHLY SVC</v>
          </cell>
          <cell r="D21">
            <v>81.870999999999995</v>
          </cell>
          <cell r="E21">
            <v>1</v>
          </cell>
          <cell r="F21">
            <v>982.452</v>
          </cell>
          <cell r="G21">
            <v>37</v>
          </cell>
          <cell r="H21">
            <v>36350.724000000002</v>
          </cell>
          <cell r="I21">
            <v>28562.305263847087</v>
          </cell>
          <cell r="J21">
            <v>-45.414065369516706</v>
          </cell>
          <cell r="K21">
            <v>-46.345612174218495</v>
          </cell>
          <cell r="L21">
            <v>-4.7173411193848144E-2</v>
          </cell>
        </row>
        <row r="22">
          <cell r="C22" t="str">
            <v>1-60 GAL CART MONTHLY SVC</v>
          </cell>
          <cell r="D22">
            <v>160.21799999999999</v>
          </cell>
          <cell r="E22">
            <v>1</v>
          </cell>
          <cell r="F22">
            <v>1922.616</v>
          </cell>
          <cell r="G22">
            <v>47</v>
          </cell>
          <cell r="H22">
            <v>90362.952000000005</v>
          </cell>
          <cell r="I22">
            <v>71002.003139369699</v>
          </cell>
          <cell r="J22">
            <v>-112.89318499159741</v>
          </cell>
          <cell r="K22">
            <v>-115.20888355097195</v>
          </cell>
          <cell r="L22">
            <v>-5.9922981786780072E-2</v>
          </cell>
        </row>
        <row r="23">
          <cell r="C23" t="str">
            <v>1-32 GAL CAN-ON CALL SVC</v>
          </cell>
          <cell r="D23">
            <v>4.5819999999999999</v>
          </cell>
          <cell r="F23">
            <v>55</v>
          </cell>
          <cell r="G23">
            <v>34</v>
          </cell>
          <cell r="H23">
            <v>1870</v>
          </cell>
          <cell r="I23">
            <v>1469.3382955286957</v>
          </cell>
          <cell r="J23">
            <v>-2.3362478898906174</v>
          </cell>
          <cell r="K23">
            <v>-2.3841697008782705</v>
          </cell>
          <cell r="L23">
            <v>-4.3348540015968558E-2</v>
          </cell>
        </row>
        <row r="24">
          <cell r="C24" t="str">
            <v>EXTRA CAN/BAGS</v>
          </cell>
          <cell r="D24">
            <v>217.03100000000001</v>
          </cell>
          <cell r="F24">
            <v>2604</v>
          </cell>
          <cell r="G24">
            <v>34</v>
          </cell>
          <cell r="H24">
            <v>88536</v>
          </cell>
          <cell r="I24">
            <v>69566.489482849516</v>
          </cell>
          <cell r="J24">
            <v>-110.61071827773033</v>
          </cell>
          <cell r="K24">
            <v>-112.87959820158213</v>
          </cell>
          <cell r="L24">
            <v>-4.3348540015968558E-2</v>
          </cell>
        </row>
        <row r="25">
          <cell r="C25" t="str">
            <v>OVERFILL/OVERWEIGHT CHG</v>
          </cell>
          <cell r="D25">
            <v>24.661000000000001</v>
          </cell>
          <cell r="F25">
            <v>296</v>
          </cell>
          <cell r="G25">
            <v>34</v>
          </cell>
          <cell r="H25">
            <v>10064</v>
          </cell>
          <cell r="I25">
            <v>7907.711554118071</v>
          </cell>
          <cell r="J25">
            <v>-12.573261371047687</v>
          </cell>
          <cell r="K25">
            <v>-12.831167844726695</v>
          </cell>
          <cell r="L25">
            <v>-4.3348540015968565E-2</v>
          </cell>
        </row>
        <row r="26">
          <cell r="C26" t="str">
            <v>Total</v>
          </cell>
          <cell r="D26">
            <v>8115.433</v>
          </cell>
          <cell r="F26">
            <v>331567.95600000001</v>
          </cell>
          <cell r="H26">
            <v>14206539.708000001</v>
          </cell>
          <cell r="I26">
            <v>11162680.663055321</v>
          </cell>
          <cell r="J26">
            <v>-17748.662254257895</v>
          </cell>
          <cell r="K26">
            <v>-18112.728088843662</v>
          </cell>
        </row>
        <row r="27">
          <cell r="C27" t="str">
            <v>1YD CONT 1X WEEKLY</v>
          </cell>
          <cell r="F27">
            <v>6596.7680295036625</v>
          </cell>
          <cell r="G27">
            <v>175</v>
          </cell>
          <cell r="H27">
            <v>1154434.405163141</v>
          </cell>
          <cell r="I27">
            <v>907088.0648032584</v>
          </cell>
          <cell r="J27">
            <v>-1442.2700230371756</v>
          </cell>
          <cell r="K27">
            <v>-1471.8542943536847</v>
          </cell>
          <cell r="L27">
            <v>-0.22311748537630879</v>
          </cell>
        </row>
        <row r="28">
          <cell r="C28" t="str">
            <v>1YD CONT 1xWEEKLY SVC</v>
          </cell>
          <cell r="F28">
            <v>482.79524856063847</v>
          </cell>
          <cell r="G28">
            <v>175</v>
          </cell>
          <cell r="H28">
            <v>84489.168498111729</v>
          </cell>
          <cell r="I28">
            <v>66386.722369867523</v>
          </cell>
          <cell r="J28">
            <v>-105.55488856808897</v>
          </cell>
          <cell r="K28">
            <v>-107.72006181047961</v>
          </cell>
          <cell r="L28">
            <v>-0.22311748537630877</v>
          </cell>
        </row>
        <row r="29">
          <cell r="C29" t="str">
            <v>1.5YD CONT 1X WEEKLY</v>
          </cell>
          <cell r="F29">
            <v>2231.0739149076517</v>
          </cell>
          <cell r="G29">
            <v>250</v>
          </cell>
          <cell r="H29">
            <v>557768.47872691287</v>
          </cell>
          <cell r="I29">
            <v>438262.34536483191</v>
          </cell>
          <cell r="J29">
            <v>-696.83712913008014</v>
          </cell>
          <cell r="K29">
            <v>-711.13085940410258</v>
          </cell>
          <cell r="L29">
            <v>-0.31873926482329817</v>
          </cell>
        </row>
        <row r="30">
          <cell r="C30" t="str">
            <v>1.5YD CONT 1xWEEKLY SVC</v>
          </cell>
          <cell r="F30">
            <v>53.042499999999997</v>
          </cell>
          <cell r="G30">
            <v>250</v>
          </cell>
          <cell r="H30">
            <v>13260.625</v>
          </cell>
          <cell r="I30">
            <v>10419.435366387812</v>
          </cell>
          <cell r="J30">
            <v>-16.566902232556561</v>
          </cell>
          <cell r="K30">
            <v>-16.906727454389795</v>
          </cell>
          <cell r="L30">
            <v>-0.31873926482329823</v>
          </cell>
        </row>
        <row r="31">
          <cell r="C31" t="str">
            <v>1.5YD CONT 2X WEEKLY</v>
          </cell>
          <cell r="F31">
            <v>10.824910747413117</v>
          </cell>
          <cell r="G31">
            <v>250</v>
          </cell>
          <cell r="H31">
            <v>2706.2276868532795</v>
          </cell>
          <cell r="I31">
            <v>2126.3978485099265</v>
          </cell>
          <cell r="J31">
            <v>-3.3809725791307708</v>
          </cell>
          <cell r="K31">
            <v>-3.4503240934082773</v>
          </cell>
          <cell r="L31">
            <v>-0.31873926482329829</v>
          </cell>
        </row>
        <row r="32">
          <cell r="C32" t="str">
            <v>2YD CONT 1X WEEKLY</v>
          </cell>
          <cell r="F32">
            <v>3798.0030161577233</v>
          </cell>
          <cell r="G32">
            <v>324</v>
          </cell>
          <cell r="H32">
            <v>1230552.9772351023</v>
          </cell>
          <cell r="I32">
            <v>966897.65461411071</v>
          </cell>
          <cell r="J32">
            <v>-1537.3672708364304</v>
          </cell>
          <cell r="K32">
            <v>-1568.9022051601494</v>
          </cell>
          <cell r="L32">
            <v>-0.41308608721099449</v>
          </cell>
        </row>
        <row r="33">
          <cell r="C33" t="str">
            <v>2YD CONT 1xWEEKLY SVC</v>
          </cell>
          <cell r="F33">
            <v>664.65577023421292</v>
          </cell>
          <cell r="G33">
            <v>324</v>
          </cell>
          <cell r="H33">
            <v>215348.46955588498</v>
          </cell>
          <cell r="I33">
            <v>169208.42417216965</v>
          </cell>
          <cell r="J33">
            <v>-269.04139443374874</v>
          </cell>
          <cell r="K33">
            <v>-274.56005146826078</v>
          </cell>
          <cell r="L33">
            <v>-0.41308608721099449</v>
          </cell>
        </row>
        <row r="34">
          <cell r="C34" t="str">
            <v>2YD CONT 2X WEEKLY</v>
          </cell>
          <cell r="F34">
            <v>54.12506418428152</v>
          </cell>
          <cell r="G34">
            <v>324</v>
          </cell>
          <cell r="H34">
            <v>17536.520795707213</v>
          </cell>
          <cell r="I34">
            <v>13779.188008271636</v>
          </cell>
          <cell r="J34">
            <v>-21.908908933151821</v>
          </cell>
          <cell r="K34">
            <v>-22.358310983928789</v>
          </cell>
          <cell r="L34">
            <v>-0.41308608721099443</v>
          </cell>
        </row>
        <row r="35">
          <cell r="C35" t="str">
            <v>2YD CONT 2xWEEKLY SVC</v>
          </cell>
          <cell r="F35">
            <v>259.79999999999995</v>
          </cell>
          <cell r="G35">
            <v>324</v>
          </cell>
          <cell r="H35">
            <v>84175.199999999983</v>
          </cell>
          <cell r="I35">
            <v>66140.024007372747</v>
          </cell>
          <cell r="J35">
            <v>-105.16263817172228</v>
          </cell>
          <cell r="K35">
            <v>-107.31976545741635</v>
          </cell>
          <cell r="L35">
            <v>-0.41308608721099449</v>
          </cell>
        </row>
        <row r="36">
          <cell r="C36" t="str">
            <v>3YD CONT 1X WEEKLY SVC</v>
          </cell>
          <cell r="F36">
            <v>916.87804120858766</v>
          </cell>
          <cell r="G36">
            <v>473</v>
          </cell>
          <cell r="H36">
            <v>433683.31349166197</v>
          </cell>
          <cell r="I36">
            <v>340763.36932891741</v>
          </cell>
          <cell r="J36">
            <v>-541.81375723297674</v>
          </cell>
          <cell r="K36">
            <v>-552.92760203385728</v>
          </cell>
          <cell r="L36">
            <v>-0.60305468904568027</v>
          </cell>
        </row>
        <row r="37">
          <cell r="C37" t="str">
            <v>3YD CONT 1XWEEKLY SVC</v>
          </cell>
          <cell r="F37">
            <v>18.402597636872017</v>
          </cell>
          <cell r="G37">
            <v>473</v>
          </cell>
          <cell r="H37">
            <v>8704.4286822404647</v>
          </cell>
          <cell r="I37">
            <v>6839.4387184568423</v>
          </cell>
          <cell r="J37">
            <v>-10.874707562346339</v>
          </cell>
          <cell r="K37">
            <v>-11.097772795536626</v>
          </cell>
          <cell r="L37">
            <v>-0.60305468904568038</v>
          </cell>
        </row>
        <row r="38">
          <cell r="C38" t="str">
            <v>4YD CONT 1X WEEKLY SVC</v>
          </cell>
          <cell r="F38">
            <v>2363.747980248696</v>
          </cell>
          <cell r="G38">
            <v>613</v>
          </cell>
          <cell r="H38">
            <v>1448977.5118924507</v>
          </cell>
          <cell r="I38">
            <v>1138523.073574045</v>
          </cell>
          <cell r="J38">
            <v>-1810.251686982725</v>
          </cell>
          <cell r="K38">
            <v>-1847.3841075443668</v>
          </cell>
          <cell r="L38">
            <v>-0.78154867734672739</v>
          </cell>
        </row>
        <row r="39">
          <cell r="C39" t="str">
            <v>6YD CONT 1XWEEKLY SVC</v>
          </cell>
          <cell r="F39">
            <v>8.66</v>
          </cell>
          <cell r="G39">
            <v>840</v>
          </cell>
          <cell r="H39">
            <v>7274.4000000000005</v>
          </cell>
          <cell r="I39">
            <v>5715.804543847029</v>
          </cell>
          <cell r="J39">
            <v>-9.0881292247167433</v>
          </cell>
          <cell r="K39">
            <v>-9.2745476321224043</v>
          </cell>
          <cell r="L39">
            <v>-1.0709639298062823</v>
          </cell>
        </row>
        <row r="40">
          <cell r="C40" t="str">
            <v>6YD CONT 1X WEEKLY SVC</v>
          </cell>
          <cell r="F40">
            <v>155.88</v>
          </cell>
          <cell r="G40">
            <v>840</v>
          </cell>
          <cell r="H40">
            <v>130939.2</v>
          </cell>
          <cell r="I40">
            <v>102884.48178924651</v>
          </cell>
          <cell r="J40">
            <v>-163.58632604490134</v>
          </cell>
          <cell r="K40">
            <v>-166.94185737820322</v>
          </cell>
          <cell r="L40">
            <v>-1.0709639298062819</v>
          </cell>
        </row>
        <row r="41">
          <cell r="C41" t="str">
            <v>6YD CONT 1X WEEKLY SVC</v>
          </cell>
          <cell r="F41">
            <v>1073.2114189030958</v>
          </cell>
          <cell r="G41">
            <v>840</v>
          </cell>
          <cell r="H41">
            <v>901497.59187860053</v>
          </cell>
          <cell r="I41">
            <v>708344.88506637781</v>
          </cell>
          <cell r="J41">
            <v>-1126.2683672555365</v>
          </cell>
          <cell r="K41">
            <v>-1149.3707187014354</v>
          </cell>
          <cell r="L41">
            <v>-1.0709639298062821</v>
          </cell>
        </row>
        <row r="42">
          <cell r="C42" t="str">
            <v>8YD CONT 1X WEEKLY</v>
          </cell>
          <cell r="F42">
            <v>51.96</v>
          </cell>
          <cell r="G42">
            <v>980</v>
          </cell>
          <cell r="H42">
            <v>50920.800000000003</v>
          </cell>
          <cell r="I42">
            <v>40010.631806929203</v>
          </cell>
          <cell r="J42">
            <v>-63.616904573017202</v>
          </cell>
          <cell r="K42">
            <v>-64.921833424856828</v>
          </cell>
          <cell r="L42">
            <v>-1.2494579181073293</v>
          </cell>
        </row>
        <row r="43">
          <cell r="C43" t="str">
            <v>1YD CONT EOW SVC</v>
          </cell>
          <cell r="F43">
            <v>699.29552206414292</v>
          </cell>
          <cell r="G43">
            <v>175</v>
          </cell>
          <cell r="H43">
            <v>122376.71636122502</v>
          </cell>
          <cell r="I43">
            <v>96156.575310481814</v>
          </cell>
          <cell r="J43">
            <v>-152.88895474366552</v>
          </cell>
          <cell r="K43">
            <v>-156.02505841786461</v>
          </cell>
          <cell r="L43">
            <v>-0.22311748537630877</v>
          </cell>
        </row>
        <row r="44">
          <cell r="C44" t="str">
            <v>1YD CONT EVERY OTHER WK</v>
          </cell>
          <cell r="F44">
            <v>3254.000625600188</v>
          </cell>
          <cell r="G44">
            <v>175</v>
          </cell>
          <cell r="H44">
            <v>569450.10948003293</v>
          </cell>
          <cell r="I44">
            <v>447441.09799573303</v>
          </cell>
          <cell r="J44">
            <v>-711.43134581321294</v>
          </cell>
          <cell r="K44">
            <v>-726.02443699684966</v>
          </cell>
          <cell r="L44">
            <v>-0.22311748537630882</v>
          </cell>
        </row>
        <row r="45">
          <cell r="C45" t="str">
            <v>1.5YD CONT EOW SVC</v>
          </cell>
          <cell r="F45">
            <v>110.41499999999999</v>
          </cell>
          <cell r="G45">
            <v>250</v>
          </cell>
          <cell r="H45">
            <v>27603.749999999996</v>
          </cell>
          <cell r="I45">
            <v>21689.436885133811</v>
          </cell>
          <cell r="J45">
            <v>-34.486204647362634</v>
          </cell>
          <cell r="K45">
            <v>-35.193595925464471</v>
          </cell>
          <cell r="L45">
            <v>-0.31873926482329823</v>
          </cell>
        </row>
        <row r="46">
          <cell r="C46" t="str">
            <v>1.5YD CONT EVERY OTHER WK</v>
          </cell>
          <cell r="F46">
            <v>676.56286601859665</v>
          </cell>
          <cell r="G46">
            <v>250</v>
          </cell>
          <cell r="H46">
            <v>169140.71650464917</v>
          </cell>
          <cell r="I46">
            <v>132901.03320505001</v>
          </cell>
          <cell r="J46">
            <v>-211.31264279602874</v>
          </cell>
          <cell r="K46">
            <v>-215.64715052151112</v>
          </cell>
          <cell r="L46">
            <v>-0.31873926482329823</v>
          </cell>
        </row>
        <row r="47">
          <cell r="C47" t="str">
            <v>2YD CONT EOW SVC</v>
          </cell>
          <cell r="F47">
            <v>187.27263145112329</v>
          </cell>
          <cell r="G47">
            <v>324</v>
          </cell>
          <cell r="H47">
            <v>60676.332590163947</v>
          </cell>
          <cell r="I47">
            <v>47675.967436879007</v>
          </cell>
          <cell r="J47">
            <v>-75.804788224637349</v>
          </cell>
          <cell r="K47">
            <v>-77.359718567851161</v>
          </cell>
          <cell r="L47">
            <v>-0.4130860872109946</v>
          </cell>
        </row>
        <row r="48">
          <cell r="C48" t="str">
            <v>2YD CONT EVERY OTHER WK</v>
          </cell>
          <cell r="F48">
            <v>832.82673763660137</v>
          </cell>
          <cell r="G48">
            <v>324</v>
          </cell>
          <cell r="H48">
            <v>269835.86299425882</v>
          </cell>
          <cell r="I48">
            <v>212021.4796815502</v>
          </cell>
          <cell r="J48">
            <v>-337.11415269366358</v>
          </cell>
          <cell r="K48">
            <v>-344.02913837500108</v>
          </cell>
          <cell r="L48">
            <v>-0.41308608721099443</v>
          </cell>
        </row>
        <row r="49">
          <cell r="C49" t="str">
            <v>3YD CONT EOW SVC</v>
          </cell>
          <cell r="F49">
            <v>136.3951948168812</v>
          </cell>
          <cell r="G49">
            <v>473</v>
          </cell>
          <cell r="H49">
            <v>64514.927148384806</v>
          </cell>
          <cell r="I49">
            <v>50692.113953136737</v>
          </cell>
          <cell r="J49">
            <v>-80.60046118548712</v>
          </cell>
          <cell r="K49">
            <v>-82.253761797619262</v>
          </cell>
          <cell r="L49">
            <v>-0.60305468904568016</v>
          </cell>
        </row>
        <row r="50">
          <cell r="C50" t="str">
            <v>4YD CONT EOW SVC</v>
          </cell>
          <cell r="F50">
            <v>101.51064909983634</v>
          </cell>
          <cell r="G50">
            <v>613</v>
          </cell>
          <cell r="H50">
            <v>62226.027898199682</v>
          </cell>
          <cell r="I50">
            <v>48893.628753722878</v>
          </cell>
          <cell r="J50">
            <v>-77.740869718419091</v>
          </cell>
          <cell r="K50">
            <v>-79.335513540584842</v>
          </cell>
          <cell r="L50">
            <v>-0.78154867734672728</v>
          </cell>
        </row>
        <row r="51">
          <cell r="C51" t="str">
            <v>6YD CONT EVERY OTHER WK</v>
          </cell>
          <cell r="F51">
            <v>48.712551940885746</v>
          </cell>
          <cell r="G51">
            <v>840</v>
          </cell>
          <cell r="H51">
            <v>40918.543630344029</v>
          </cell>
          <cell r="I51">
            <v>32151.434841350943</v>
          </cell>
          <cell r="J51">
            <v>-51.120781397747812</v>
          </cell>
          <cell r="K51">
            <v>-52.169386057503637</v>
          </cell>
          <cell r="L51">
            <v>-1.0709639298062821</v>
          </cell>
        </row>
        <row r="52">
          <cell r="C52" t="str">
            <v>1YD CONT 1X MONTH SVC</v>
          </cell>
          <cell r="F52">
            <v>58</v>
          </cell>
          <cell r="G52">
            <v>175</v>
          </cell>
          <cell r="H52">
            <v>10150</v>
          </cell>
          <cell r="I52">
            <v>7975.2854008643108</v>
          </cell>
          <cell r="J52">
            <v>-12.680703787374208</v>
          </cell>
          <cell r="K52">
            <v>-12.940814151825908</v>
          </cell>
          <cell r="L52">
            <v>-0.22311748537630877</v>
          </cell>
        </row>
        <row r="53">
          <cell r="C53" t="str">
            <v>1YD CONTAINER 1X A MONTH</v>
          </cell>
          <cell r="F53">
            <v>4</v>
          </cell>
          <cell r="G53">
            <v>175</v>
          </cell>
          <cell r="H53">
            <v>700</v>
          </cell>
          <cell r="I53">
            <v>550.01968281822826</v>
          </cell>
          <cell r="J53">
            <v>-0.87453129568097976</v>
          </cell>
          <cell r="K53">
            <v>-0.89246994150523495</v>
          </cell>
          <cell r="L53">
            <v>-0.22311748537630874</v>
          </cell>
        </row>
        <row r="54">
          <cell r="C54" t="str">
            <v>2YD CONT 1X MONTH SVC</v>
          </cell>
          <cell r="F54">
            <v>3</v>
          </cell>
          <cell r="G54">
            <v>324</v>
          </cell>
          <cell r="H54">
            <v>972</v>
          </cell>
          <cell r="I54">
            <v>763.74161671331137</v>
          </cell>
          <cell r="J54">
            <v>-1.2143491705741607</v>
          </cell>
          <cell r="K54">
            <v>-1.2392582616329837</v>
          </cell>
          <cell r="L54">
            <v>-0.41308608721099455</v>
          </cell>
        </row>
        <row r="55">
          <cell r="C55" t="str">
            <v>2YD CONT 1X MONTH SVC</v>
          </cell>
          <cell r="F55">
            <v>21</v>
          </cell>
          <cell r="G55">
            <v>324</v>
          </cell>
          <cell r="H55">
            <v>6804</v>
          </cell>
          <cell r="I55">
            <v>5346.1913169931795</v>
          </cell>
          <cell r="J55">
            <v>-8.5004441940191242</v>
          </cell>
          <cell r="K55">
            <v>-8.6748078314308845</v>
          </cell>
          <cell r="L55">
            <v>-0.41308608721099449</v>
          </cell>
        </row>
        <row r="56">
          <cell r="C56" t="str">
            <v>4YD CONT 1X MONTH SVC</v>
          </cell>
          <cell r="F56">
            <v>5</v>
          </cell>
          <cell r="G56">
            <v>613</v>
          </cell>
          <cell r="H56">
            <v>3065</v>
          </cell>
          <cell r="I56">
            <v>2408.300468339814</v>
          </cell>
          <cell r="J56">
            <v>-3.8291977446602901</v>
          </cell>
          <cell r="K56">
            <v>-3.9077433867336362</v>
          </cell>
          <cell r="L56">
            <v>-0.78154867734672728</v>
          </cell>
        </row>
        <row r="57">
          <cell r="C57" t="str">
            <v>6YD CONT 1X MONTH SVC</v>
          </cell>
          <cell r="F57">
            <v>7</v>
          </cell>
          <cell r="G57">
            <v>840</v>
          </cell>
          <cell r="H57">
            <v>5880</v>
          </cell>
          <cell r="I57">
            <v>4620.1653356731176</v>
          </cell>
          <cell r="J57">
            <v>-7.3460628837202302</v>
          </cell>
          <cell r="K57">
            <v>-7.4967475086439741</v>
          </cell>
          <cell r="L57">
            <v>-1.0709639298062821</v>
          </cell>
        </row>
        <row r="58">
          <cell r="C58" t="str">
            <v>1YD CONT EXTRA P/U</v>
          </cell>
          <cell r="F58">
            <v>49</v>
          </cell>
          <cell r="G58">
            <v>175</v>
          </cell>
          <cell r="H58">
            <v>8575</v>
          </cell>
          <cell r="I58">
            <v>6737.7411145232973</v>
          </cell>
          <cell r="J58">
            <v>-10.713008372092004</v>
          </cell>
          <cell r="K58">
            <v>-10.93275678343913</v>
          </cell>
          <cell r="L58">
            <v>-0.22311748537630877</v>
          </cell>
        </row>
        <row r="59">
          <cell r="C59" t="str">
            <v>1YD CONTAINER EXTRA PU</v>
          </cell>
          <cell r="F59">
            <v>5</v>
          </cell>
          <cell r="G59">
            <v>175</v>
          </cell>
          <cell r="H59">
            <v>875</v>
          </cell>
          <cell r="I59">
            <v>687.52460352278536</v>
          </cell>
          <cell r="J59">
            <v>-1.0931641196012247</v>
          </cell>
          <cell r="K59">
            <v>-1.1155874268815438</v>
          </cell>
          <cell r="L59">
            <v>-0.22311748537630877</v>
          </cell>
        </row>
        <row r="60">
          <cell r="C60" t="str">
            <v>1YD TEMP CONT PU</v>
          </cell>
          <cell r="F60">
            <v>4</v>
          </cell>
          <cell r="G60">
            <v>175</v>
          </cell>
          <cell r="H60">
            <v>700</v>
          </cell>
          <cell r="I60">
            <v>550.01968281822826</v>
          </cell>
          <cell r="J60">
            <v>-0.87453129568097976</v>
          </cell>
          <cell r="K60">
            <v>-0.89246994150523495</v>
          </cell>
          <cell r="L60">
            <v>-0.22311748537630874</v>
          </cell>
        </row>
        <row r="61">
          <cell r="C61" t="str">
            <v>1YD TEMP CONT PU</v>
          </cell>
          <cell r="F61">
            <v>44.000000000000007</v>
          </cell>
          <cell r="G61">
            <v>175</v>
          </cell>
          <cell r="H61">
            <v>7700.0000000000009</v>
          </cell>
          <cell r="I61">
            <v>6050.2165110005126</v>
          </cell>
          <cell r="J61">
            <v>-9.619844252490779</v>
          </cell>
          <cell r="K61">
            <v>-9.8171693565575868</v>
          </cell>
          <cell r="L61">
            <v>-0.22311748537630877</v>
          </cell>
        </row>
        <row r="62">
          <cell r="C62" t="str">
            <v>1.5YD CONT EXTRA P/U</v>
          </cell>
          <cell r="F62">
            <v>4</v>
          </cell>
          <cell r="G62">
            <v>250</v>
          </cell>
          <cell r="H62">
            <v>1000</v>
          </cell>
          <cell r="I62">
            <v>785.7424040260405</v>
          </cell>
          <cell r="J62">
            <v>-1.2493304224013999</v>
          </cell>
          <cell r="K62">
            <v>-1.2749570592931931</v>
          </cell>
          <cell r="L62">
            <v>-0.31873926482329829</v>
          </cell>
        </row>
        <row r="63">
          <cell r="C63" t="str">
            <v>1.5YD CONTAINER EXTRA PU</v>
          </cell>
          <cell r="F63">
            <v>1</v>
          </cell>
          <cell r="G63">
            <v>250</v>
          </cell>
          <cell r="H63">
            <v>250</v>
          </cell>
          <cell r="I63">
            <v>196.43560100651013</v>
          </cell>
          <cell r="J63">
            <v>-0.31233260560034998</v>
          </cell>
          <cell r="K63">
            <v>-0.31873926482329829</v>
          </cell>
          <cell r="L63">
            <v>-0.31873926482329829</v>
          </cell>
        </row>
        <row r="64">
          <cell r="C64" t="str">
            <v>1.5YD TEMP CONT PU</v>
          </cell>
          <cell r="F64">
            <v>58.999999999999993</v>
          </cell>
          <cell r="G64">
            <v>250</v>
          </cell>
          <cell r="H64">
            <v>14749.999999999998</v>
          </cell>
          <cell r="I64">
            <v>11589.700459384096</v>
          </cell>
          <cell r="J64">
            <v>-18.427623730420645</v>
          </cell>
          <cell r="K64">
            <v>-18.805616624574593</v>
          </cell>
          <cell r="L64">
            <v>-0.31873926482329823</v>
          </cell>
        </row>
        <row r="65">
          <cell r="C65" t="str">
            <v>1.5YD TEMP CONTAINER PU</v>
          </cell>
          <cell r="F65">
            <v>3</v>
          </cell>
          <cell r="G65">
            <v>250</v>
          </cell>
          <cell r="H65">
            <v>750</v>
          </cell>
          <cell r="I65">
            <v>589.30680301953032</v>
          </cell>
          <cell r="J65">
            <v>-0.93699781680104977</v>
          </cell>
          <cell r="K65">
            <v>-0.95621779446989463</v>
          </cell>
          <cell r="L65">
            <v>-0.31873926482329823</v>
          </cell>
        </row>
        <row r="66">
          <cell r="C66" t="str">
            <v>2YD CONT EXTRA P/U</v>
          </cell>
          <cell r="F66">
            <v>15</v>
          </cell>
          <cell r="G66">
            <v>324</v>
          </cell>
          <cell r="H66">
            <v>4860</v>
          </cell>
          <cell r="I66">
            <v>3818.7080835665565</v>
          </cell>
          <cell r="J66">
            <v>-6.0717458528708024</v>
          </cell>
          <cell r="K66">
            <v>-6.1962913081649171</v>
          </cell>
          <cell r="L66">
            <v>-0.41308608721099449</v>
          </cell>
        </row>
        <row r="67">
          <cell r="C67" t="str">
            <v>2YD CONTAINER EXTRA PU</v>
          </cell>
          <cell r="F67">
            <v>13.999999999999998</v>
          </cell>
          <cell r="G67">
            <v>324</v>
          </cell>
          <cell r="H67">
            <v>4535.9999999999991</v>
          </cell>
          <cell r="I67">
            <v>3564.1275446621189</v>
          </cell>
          <cell r="J67">
            <v>-5.666962796012748</v>
          </cell>
          <cell r="K67">
            <v>-5.7832052209539215</v>
          </cell>
          <cell r="L67">
            <v>-0.41308608721099443</v>
          </cell>
        </row>
        <row r="68">
          <cell r="C68" t="str">
            <v>2YD TEMP CONT PU</v>
          </cell>
          <cell r="F68">
            <v>953.70059810920316</v>
          </cell>
          <cell r="G68">
            <v>324</v>
          </cell>
          <cell r="H68">
            <v>308998.9937873818</v>
          </cell>
          <cell r="I68">
            <v>242793.61222012492</v>
          </cell>
          <cell r="J68">
            <v>-386.04184342999724</v>
          </cell>
          <cell r="K68">
            <v>-393.96044844371596</v>
          </cell>
          <cell r="L68">
            <v>-0.41308608721099455</v>
          </cell>
        </row>
        <row r="69">
          <cell r="C69" t="str">
            <v>2YD TEMP CONTAINER PU</v>
          </cell>
          <cell r="F69">
            <v>57</v>
          </cell>
          <cell r="G69">
            <v>324</v>
          </cell>
          <cell r="H69">
            <v>18468</v>
          </cell>
          <cell r="I69">
            <v>14511.090717552916</v>
          </cell>
          <cell r="J69">
            <v>-23.07263424090905</v>
          </cell>
          <cell r="K69">
            <v>-23.545906971026685</v>
          </cell>
          <cell r="L69">
            <v>-0.41308608721099449</v>
          </cell>
        </row>
        <row r="70">
          <cell r="C70" t="str">
            <v>3YD CONTAINER EXTRA PU</v>
          </cell>
          <cell r="F70">
            <v>41.999999999999993</v>
          </cell>
          <cell r="G70">
            <v>473</v>
          </cell>
          <cell r="H70">
            <v>19865.999999999996</v>
          </cell>
          <cell r="I70">
            <v>15609.558598381316</v>
          </cell>
          <cell r="J70">
            <v>-24.819198171426201</v>
          </cell>
          <cell r="K70">
            <v>-25.328296939918566</v>
          </cell>
          <cell r="L70">
            <v>-0.60305468904568027</v>
          </cell>
        </row>
        <row r="71">
          <cell r="C71" t="str">
            <v>4YD CONTAINER EXTRA PU</v>
          </cell>
          <cell r="F71">
            <v>11.97261207248944</v>
          </cell>
          <cell r="G71">
            <v>613</v>
          </cell>
          <cell r="H71">
            <v>7339.211200436027</v>
          </cell>
          <cell r="I71">
            <v>5766.7294522854463</v>
          </cell>
          <cell r="J71">
            <v>-9.1690998291338257</v>
          </cell>
          <cell r="K71">
            <v>-9.3571791296395812</v>
          </cell>
          <cell r="L71">
            <v>-0.78154867734672728</v>
          </cell>
        </row>
        <row r="72">
          <cell r="C72" t="str">
            <v>4YD CONTAINER EXTRA PU</v>
          </cell>
          <cell r="F72">
            <v>1</v>
          </cell>
          <cell r="G72">
            <v>613</v>
          </cell>
          <cell r="H72">
            <v>613</v>
          </cell>
          <cell r="I72">
            <v>481.66009366796277</v>
          </cell>
          <cell r="J72">
            <v>-0.76583954893205797</v>
          </cell>
          <cell r="K72">
            <v>-0.78154867734672717</v>
          </cell>
          <cell r="L72">
            <v>-0.78154867734672717</v>
          </cell>
        </row>
        <row r="73">
          <cell r="C73" t="str">
            <v>6YD CONTAINER EXTRA PU</v>
          </cell>
          <cell r="F73">
            <v>1</v>
          </cell>
          <cell r="G73">
            <v>840</v>
          </cell>
          <cell r="H73">
            <v>840</v>
          </cell>
          <cell r="I73">
            <v>660.02361938187403</v>
          </cell>
          <cell r="J73">
            <v>-1.0494375548171759</v>
          </cell>
          <cell r="K73">
            <v>-1.0709639298062823</v>
          </cell>
          <cell r="L73">
            <v>-1.0709639298062823</v>
          </cell>
        </row>
        <row r="74">
          <cell r="C74" t="str">
            <v>4 YD COMPACTOR 1X WK</v>
          </cell>
          <cell r="F74">
            <v>48.761475011150623</v>
          </cell>
          <cell r="G74">
            <v>1686</v>
          </cell>
          <cell r="H74">
            <v>82211.846868799956</v>
          </cell>
          <cell r="I74">
            <v>64597.334198111581</v>
          </cell>
          <cell r="J74">
            <v>-102.70976137499704</v>
          </cell>
          <cell r="K74">
            <v>-104.81657452290749</v>
          </cell>
          <cell r="L74">
            <v>-2.1495776019683235</v>
          </cell>
        </row>
        <row r="75">
          <cell r="C75" t="str">
            <v>1-32 GAL CAN WEEKLY SVC</v>
          </cell>
          <cell r="F75">
            <v>304.18351643192489</v>
          </cell>
          <cell r="G75">
            <v>29</v>
          </cell>
          <cell r="H75">
            <v>8821.3219765258218</v>
          </cell>
          <cell r="I75">
            <v>6931.2867365231423</v>
          </cell>
          <cell r="J75">
            <v>-11.020745911071756</v>
          </cell>
          <cell r="K75">
            <v>-11.24680672626978</v>
          </cell>
          <cell r="L75">
            <v>-3.6973754719502601E-2</v>
          </cell>
        </row>
        <row r="76">
          <cell r="C76" t="str">
            <v>3-32 GAL CANS WKLY SVC</v>
          </cell>
          <cell r="F76">
            <v>51.96</v>
          </cell>
          <cell r="G76">
            <v>29</v>
          </cell>
          <cell r="H76">
            <v>1506.84</v>
          </cell>
          <cell r="I76">
            <v>1183.9880840825988</v>
          </cell>
          <cell r="J76">
            <v>-1.8825410536913252</v>
          </cell>
          <cell r="K76">
            <v>-1.9211562952253549</v>
          </cell>
          <cell r="L76">
            <v>-3.6973754719502594E-2</v>
          </cell>
        </row>
        <row r="77">
          <cell r="C77" t="str">
            <v>1-35 GAL CAN WEEKLY SVC</v>
          </cell>
          <cell r="F77">
            <v>165.62479830148624</v>
          </cell>
          <cell r="G77">
            <v>37</v>
          </cell>
          <cell r="H77">
            <v>6128.1175371549907</v>
          </cell>
          <cell r="I77">
            <v>4815.1218057983006</v>
          </cell>
          <cell r="J77">
            <v>-7.6560436712192699</v>
          </cell>
          <cell r="K77">
            <v>-7.8130867141741707</v>
          </cell>
          <cell r="L77">
            <v>-4.7173411193848137E-2</v>
          </cell>
        </row>
        <row r="78">
          <cell r="C78" t="str">
            <v>1-60 GAL CART CMML WKLY</v>
          </cell>
          <cell r="F78">
            <v>2422.6406684917802</v>
          </cell>
          <cell r="G78">
            <v>47</v>
          </cell>
          <cell r="H78">
            <v>113864.11141911367</v>
          </cell>
          <cell r="I78">
            <v>89467.860638743296</v>
          </cell>
          <cell r="J78">
            <v>-142.25389841560133</v>
          </cell>
          <cell r="K78">
            <v>-145.17185265394565</v>
          </cell>
          <cell r="L78">
            <v>-5.9922981786780079E-2</v>
          </cell>
        </row>
        <row r="79">
          <cell r="C79" t="str">
            <v>2-60 GAL CAN WEEKLY SVC</v>
          </cell>
          <cell r="F79">
            <v>225.16</v>
          </cell>
          <cell r="G79">
            <v>47</v>
          </cell>
          <cell r="H79">
            <v>10582.52</v>
          </cell>
          <cell r="I79">
            <v>8315.1347054536545</v>
          </cell>
          <cell r="J79">
            <v>-13.221064181671263</v>
          </cell>
          <cell r="K79">
            <v>-13.492258579111402</v>
          </cell>
          <cell r="L79">
            <v>-5.9922981786780079E-2</v>
          </cell>
        </row>
        <row r="80">
          <cell r="C80" t="str">
            <v>Total</v>
          </cell>
          <cell r="D80">
            <v>0</v>
          </cell>
          <cell r="F80">
            <v>29367.823939339123</v>
          </cell>
          <cell r="H80">
            <v>8379819.2680033371</v>
          </cell>
          <cell r="I80">
            <v>6584379.3369446751</v>
          </cell>
          <cell r="J80">
            <v>-10469.163145742004</v>
          </cell>
          <cell r="K80">
            <v>-10683.909731341972</v>
          </cell>
        </row>
        <row r="81">
          <cell r="C81" t="str">
            <v>Totals</v>
          </cell>
          <cell r="D81">
            <v>8115.433</v>
          </cell>
          <cell r="F81">
            <v>360935.77993933915</v>
          </cell>
          <cell r="H81">
            <v>22586358.976003338</v>
          </cell>
          <cell r="I81">
            <v>17747059.999999996</v>
          </cell>
          <cell r="J81">
            <v>-28217.8253999999</v>
          </cell>
          <cell r="K81">
            <v>-28796.637820185635</v>
          </cell>
        </row>
        <row r="84">
          <cell r="C84" t="str">
            <v>No Current Customers</v>
          </cell>
        </row>
        <row r="85">
          <cell r="C85" t="str">
            <v>4 Can</v>
          </cell>
          <cell r="D85">
            <v>0</v>
          </cell>
          <cell r="E85">
            <v>4.333333333333333</v>
          </cell>
          <cell r="F85">
            <v>52</v>
          </cell>
          <cell r="G85">
            <v>97</v>
          </cell>
          <cell r="H85">
            <v>420.33333333333331</v>
          </cell>
          <cell r="I85">
            <v>330.27372382561231</v>
          </cell>
          <cell r="J85">
            <v>-0.52513522088272169</v>
          </cell>
          <cell r="K85">
            <v>-0.53590695058957205</v>
          </cell>
          <cell r="L85">
            <v>-0.53590695058957205</v>
          </cell>
        </row>
        <row r="86">
          <cell r="C86" t="str">
            <v>5 Can</v>
          </cell>
          <cell r="D86">
            <v>0</v>
          </cell>
          <cell r="E86">
            <v>4.333333333333333</v>
          </cell>
          <cell r="F86">
            <v>52</v>
          </cell>
          <cell r="G86">
            <v>117</v>
          </cell>
          <cell r="H86">
            <v>507</v>
          </cell>
          <cell r="I86">
            <v>398.37139884120251</v>
          </cell>
          <cell r="J86">
            <v>-0.63341052415750965</v>
          </cell>
          <cell r="K86">
            <v>-0.64640322906164882</v>
          </cell>
          <cell r="L86">
            <v>-0.64640322906164882</v>
          </cell>
        </row>
        <row r="87">
          <cell r="C87" t="str">
            <v xml:space="preserve">Cart/Toter 96 NEW </v>
          </cell>
          <cell r="D87">
            <v>0</v>
          </cell>
          <cell r="E87">
            <v>4.333333333333333</v>
          </cell>
          <cell r="F87">
            <v>52</v>
          </cell>
          <cell r="G87">
            <v>68</v>
          </cell>
          <cell r="H87">
            <v>294.66666666666669</v>
          </cell>
          <cell r="I87">
            <v>231.5320950530066</v>
          </cell>
          <cell r="J87">
            <v>-0.36813603113427917</v>
          </cell>
          <cell r="K87">
            <v>-0.37568734680506088</v>
          </cell>
          <cell r="L87">
            <v>-0.37568734680506088</v>
          </cell>
        </row>
        <row r="88">
          <cell r="C88" t="str">
            <v>Cart 96 gal EOW NEW</v>
          </cell>
          <cell r="D88">
            <v>0</v>
          </cell>
          <cell r="E88">
            <v>2.1666666666666665</v>
          </cell>
          <cell r="F88">
            <v>26</v>
          </cell>
          <cell r="G88">
            <v>68</v>
          </cell>
          <cell r="H88">
            <v>147.33333333333334</v>
          </cell>
          <cell r="I88">
            <v>115.7660475265033</v>
          </cell>
          <cell r="J88">
            <v>-0.18406801556713959</v>
          </cell>
          <cell r="K88">
            <v>-0.18784367340253044</v>
          </cell>
          <cell r="L88">
            <v>-0.18784367340253044</v>
          </cell>
        </row>
        <row r="89">
          <cell r="C89" t="str">
            <v>Cart 96 gal MG NEW</v>
          </cell>
          <cell r="D89">
            <v>0</v>
          </cell>
          <cell r="E89">
            <v>1</v>
          </cell>
          <cell r="F89">
            <v>12</v>
          </cell>
          <cell r="G89">
            <v>68</v>
          </cell>
          <cell r="H89">
            <v>68</v>
          </cell>
          <cell r="I89">
            <v>53.430483473770749</v>
          </cell>
          <cell r="J89">
            <v>-8.4954468723295179E-2</v>
          </cell>
          <cell r="K89">
            <v>-8.6697080031937115E-2</v>
          </cell>
          <cell r="L89">
            <v>-8.6697080031937115E-2</v>
          </cell>
        </row>
        <row r="90">
          <cell r="C90" t="str">
            <v>Loose Yard</v>
          </cell>
          <cell r="D90">
            <v>0</v>
          </cell>
          <cell r="E90">
            <v>1</v>
          </cell>
          <cell r="F90">
            <v>12</v>
          </cell>
          <cell r="G90">
            <v>125</v>
          </cell>
          <cell r="H90">
            <v>125</v>
          </cell>
          <cell r="I90">
            <v>98.217800503255063</v>
          </cell>
          <cell r="J90">
            <v>-0.15616630280017499</v>
          </cell>
          <cell r="K90">
            <v>-0.15936963241164914</v>
          </cell>
          <cell r="L90">
            <v>-0.15936963241164914</v>
          </cell>
        </row>
        <row r="91">
          <cell r="C91" t="str">
            <v>8 Yard</v>
          </cell>
          <cell r="D91">
            <v>0</v>
          </cell>
          <cell r="E91">
            <v>1</v>
          </cell>
          <cell r="F91">
            <v>12</v>
          </cell>
          <cell r="G91">
            <v>980</v>
          </cell>
          <cell r="H91">
            <v>980</v>
          </cell>
          <cell r="I91">
            <v>770.02755594551968</v>
          </cell>
          <cell r="J91">
            <v>-1.2243438139533718</v>
          </cell>
          <cell r="K91">
            <v>-1.2494579181073291</v>
          </cell>
          <cell r="L91">
            <v>-1.2494579181073291</v>
          </cell>
        </row>
        <row r="92">
          <cell r="C92" t="str">
            <v>8 YD Cont Extra PU</v>
          </cell>
          <cell r="D92">
            <v>0</v>
          </cell>
          <cell r="E92">
            <v>1</v>
          </cell>
          <cell r="F92">
            <v>12</v>
          </cell>
          <cell r="G92">
            <v>980</v>
          </cell>
          <cell r="H92">
            <v>980</v>
          </cell>
          <cell r="I92">
            <v>770.02755594551968</v>
          </cell>
          <cell r="J92">
            <v>-1.2243438139533718</v>
          </cell>
          <cell r="K92">
            <v>-1.2494579181073291</v>
          </cell>
          <cell r="L92">
            <v>-1.2494579181073291</v>
          </cell>
        </row>
        <row r="93">
          <cell r="C93" t="str">
            <v>35 gal Temp</v>
          </cell>
          <cell r="D93">
            <v>0</v>
          </cell>
          <cell r="E93">
            <v>1</v>
          </cell>
          <cell r="F93">
            <v>12</v>
          </cell>
          <cell r="G93">
            <v>37</v>
          </cell>
          <cell r="H93">
            <v>37</v>
          </cell>
          <cell r="I93">
            <v>29.072468948963497</v>
          </cell>
          <cell r="J93">
            <v>-4.6225225628851792E-2</v>
          </cell>
          <cell r="K93">
            <v>-4.7173411193848137E-2</v>
          </cell>
          <cell r="L93">
            <v>-4.7173411193848137E-2</v>
          </cell>
        </row>
        <row r="94">
          <cell r="C94" t="str">
            <v>60 gal Temp</v>
          </cell>
          <cell r="D94">
            <v>0</v>
          </cell>
          <cell r="E94">
            <v>1</v>
          </cell>
          <cell r="F94">
            <v>12</v>
          </cell>
          <cell r="G94">
            <v>47</v>
          </cell>
          <cell r="H94">
            <v>47</v>
          </cell>
          <cell r="I94">
            <v>36.929892989223902</v>
          </cell>
          <cell r="J94">
            <v>-5.871852985286579E-2</v>
          </cell>
          <cell r="K94">
            <v>-5.9922981786780072E-2</v>
          </cell>
          <cell r="L94">
            <v>-5.9922981786780072E-2</v>
          </cell>
        </row>
        <row r="95">
          <cell r="C95" t="str">
            <v>96 gal NEW</v>
          </cell>
          <cell r="D95">
            <v>0</v>
          </cell>
          <cell r="E95">
            <v>1</v>
          </cell>
          <cell r="F95">
            <v>12</v>
          </cell>
          <cell r="G95">
            <v>68</v>
          </cell>
          <cell r="H95">
            <v>68</v>
          </cell>
          <cell r="I95">
            <v>53.430483473770749</v>
          </cell>
          <cell r="J95">
            <v>-8.4954468723295179E-2</v>
          </cell>
          <cell r="K95">
            <v>-8.6697080031937115E-2</v>
          </cell>
          <cell r="L95">
            <v>-8.6697080031937115E-2</v>
          </cell>
        </row>
        <row r="96">
          <cell r="C96" t="str">
            <v>96 gal Temp NEW</v>
          </cell>
          <cell r="D96">
            <v>0</v>
          </cell>
          <cell r="E96">
            <v>1</v>
          </cell>
          <cell r="F96">
            <v>12</v>
          </cell>
          <cell r="G96">
            <v>68</v>
          </cell>
          <cell r="H96">
            <v>68</v>
          </cell>
          <cell r="I96">
            <v>53.430483473770749</v>
          </cell>
          <cell r="J96">
            <v>-8.4954468723295179E-2</v>
          </cell>
          <cell r="K96">
            <v>-8.6697080031937115E-2</v>
          </cell>
          <cell r="L96">
            <v>-8.6697080031937115E-2</v>
          </cell>
        </row>
        <row r="97">
          <cell r="C97" t="str">
            <v>32 gal Temp</v>
          </cell>
          <cell r="D97">
            <v>0</v>
          </cell>
          <cell r="E97">
            <v>1</v>
          </cell>
          <cell r="F97">
            <v>12</v>
          </cell>
          <cell r="G97">
            <v>29</v>
          </cell>
          <cell r="H97">
            <v>29</v>
          </cell>
          <cell r="I97">
            <v>22.786529716755172</v>
          </cell>
          <cell r="J97">
            <v>-3.623058224964059E-2</v>
          </cell>
          <cell r="K97">
            <v>-3.6973754719502594E-2</v>
          </cell>
          <cell r="L97">
            <v>-3.6973754719502594E-2</v>
          </cell>
        </row>
        <row r="98">
          <cell r="C98" t="str">
            <v>2 Yard NEW</v>
          </cell>
          <cell r="D98">
            <v>0</v>
          </cell>
          <cell r="E98">
            <v>1</v>
          </cell>
          <cell r="F98">
            <v>12</v>
          </cell>
          <cell r="G98">
            <v>324</v>
          </cell>
          <cell r="H98">
            <v>324</v>
          </cell>
          <cell r="I98">
            <v>254.58053890443711</v>
          </cell>
          <cell r="J98">
            <v>-0.40478305685805355</v>
          </cell>
          <cell r="K98">
            <v>-0.41308608721099455</v>
          </cell>
          <cell r="L98">
            <v>-0.41308608721099455</v>
          </cell>
        </row>
        <row r="99">
          <cell r="C99" t="str">
            <v>3 Yard NEW</v>
          </cell>
          <cell r="D99">
            <v>0</v>
          </cell>
          <cell r="E99">
            <v>1</v>
          </cell>
          <cell r="F99">
            <v>12</v>
          </cell>
          <cell r="G99">
            <v>473</v>
          </cell>
          <cell r="H99">
            <v>473</v>
          </cell>
          <cell r="I99">
            <v>371.65615710431712</v>
          </cell>
          <cell r="J99">
            <v>-0.59093328979586202</v>
          </cell>
          <cell r="K99">
            <v>-0.60305468904568016</v>
          </cell>
          <cell r="L99">
            <v>-0.60305468904568016</v>
          </cell>
        </row>
        <row r="100">
          <cell r="C100" t="str">
            <v>4 Yard NEW</v>
          </cell>
          <cell r="D100">
            <v>0</v>
          </cell>
          <cell r="E100">
            <v>1</v>
          </cell>
          <cell r="F100">
            <v>12</v>
          </cell>
          <cell r="G100">
            <v>613</v>
          </cell>
          <cell r="H100">
            <v>613</v>
          </cell>
          <cell r="I100">
            <v>481.66009366796277</v>
          </cell>
          <cell r="J100">
            <v>-0.76583954893205797</v>
          </cell>
          <cell r="K100">
            <v>-0.78154867734672717</v>
          </cell>
          <cell r="L100">
            <v>-0.78154867734672717</v>
          </cell>
        </row>
        <row r="101">
          <cell r="C101" t="str">
            <v>6  Yard NEW</v>
          </cell>
          <cell r="D101">
            <v>0</v>
          </cell>
          <cell r="E101">
            <v>1</v>
          </cell>
          <cell r="F101">
            <v>12</v>
          </cell>
          <cell r="G101">
            <v>840</v>
          </cell>
          <cell r="H101">
            <v>840</v>
          </cell>
          <cell r="I101">
            <v>660.02361938187403</v>
          </cell>
          <cell r="J101">
            <v>-1.0494375548171759</v>
          </cell>
          <cell r="K101">
            <v>-1.0709639298062823</v>
          </cell>
          <cell r="L101">
            <v>-1.0709639298062823</v>
          </cell>
        </row>
        <row r="102">
          <cell r="C102" t="str">
            <v>Overweight</v>
          </cell>
          <cell r="D102">
            <v>0</v>
          </cell>
          <cell r="E102">
            <v>1</v>
          </cell>
          <cell r="F102">
            <v>12</v>
          </cell>
          <cell r="G102">
            <v>125</v>
          </cell>
          <cell r="H102">
            <v>125</v>
          </cell>
          <cell r="I102">
            <v>98.217800503255063</v>
          </cell>
          <cell r="J102">
            <v>-0.15616630280017499</v>
          </cell>
          <cell r="K102">
            <v>-0.15936963241164914</v>
          </cell>
          <cell r="L102">
            <v>-0.15936963241164914</v>
          </cell>
        </row>
        <row r="103">
          <cell r="C103" t="str">
            <v>Extra Unit</v>
          </cell>
          <cell r="D103">
            <v>0</v>
          </cell>
          <cell r="E103">
            <v>1</v>
          </cell>
          <cell r="F103">
            <v>12</v>
          </cell>
          <cell r="G103">
            <v>125</v>
          </cell>
          <cell r="H103">
            <v>125</v>
          </cell>
          <cell r="I103">
            <v>98.217800503255063</v>
          </cell>
          <cell r="J103">
            <v>-0.15616630280017499</v>
          </cell>
          <cell r="K103">
            <v>-0.15936963241164914</v>
          </cell>
          <cell r="L103">
            <v>-0.15936963241164914</v>
          </cell>
        </row>
        <row r="104">
          <cell r="C104" t="str">
            <v>4 Yard Compactor Special PU</v>
          </cell>
          <cell r="D104">
            <v>0</v>
          </cell>
          <cell r="E104">
            <v>1</v>
          </cell>
          <cell r="F104">
            <v>12</v>
          </cell>
          <cell r="G104">
            <v>1686</v>
          </cell>
          <cell r="H104">
            <v>1686</v>
          </cell>
          <cell r="I104">
            <v>1324.7616931879043</v>
          </cell>
          <cell r="J104">
            <v>-2.10637109216876</v>
          </cell>
          <cell r="K104">
            <v>-2.1495776019683235</v>
          </cell>
          <cell r="L104">
            <v>-2.1495776019683235</v>
          </cell>
        </row>
        <row r="108">
          <cell r="C108" t="str">
            <v>Adjustment Factor Calculation</v>
          </cell>
          <cell r="H108" t="str">
            <v>Comments</v>
          </cell>
        </row>
        <row r="109">
          <cell r="D109" t="str">
            <v>Total</v>
          </cell>
          <cell r="H109" t="str">
            <v>Not on Meeks</v>
          </cell>
        </row>
        <row r="110">
          <cell r="C110" t="str">
            <v>Total Tonnage</v>
          </cell>
          <cell r="D110">
            <v>8873.5300000000007</v>
          </cell>
          <cell r="E110" t="str">
            <v>For tonnage information see -</v>
          </cell>
          <cell r="H110" t="str">
            <v>Differ from Company</v>
          </cell>
        </row>
        <row r="111">
          <cell r="C111" t="str">
            <v>Total Pounds</v>
          </cell>
          <cell r="D111">
            <v>17747060</v>
          </cell>
          <cell r="E111" t="str">
            <v xml:space="preserve"> TG-132227    2-1-2014</v>
          </cell>
        </row>
        <row r="112">
          <cell r="C112" t="str">
            <v>Total Pick Ups</v>
          </cell>
          <cell r="D112">
            <v>360935.77993933915</v>
          </cell>
        </row>
        <row r="113">
          <cell r="C113" t="str">
            <v>Adjustment factor</v>
          </cell>
          <cell r="D113">
            <v>0.78574240402604045</v>
          </cell>
        </row>
        <row r="115">
          <cell r="C115" t="str">
            <v>Residential</v>
          </cell>
          <cell r="D115">
            <v>-18112.728088843807</v>
          </cell>
          <cell r="E115">
            <v>-7.9062399188428081E-3</v>
          </cell>
        </row>
        <row r="116">
          <cell r="C116" t="str">
            <v>Commercial</v>
          </cell>
          <cell r="D116">
            <v>-10683.909731342006</v>
          </cell>
          <cell r="E116">
            <v>-9.9333057813287846E-3</v>
          </cell>
        </row>
        <row r="117">
          <cell r="C117" t="str">
            <v>Total</v>
          </cell>
          <cell r="D117">
            <v>-28796.637820185813</v>
          </cell>
        </row>
        <row r="119">
          <cell r="C119" t="str">
            <v>Roll-Off Tons</v>
          </cell>
          <cell r="D119">
            <v>4269.4799999999996</v>
          </cell>
          <cell r="E119">
            <v>-2.146183437942889E-2</v>
          </cell>
        </row>
        <row r="120">
          <cell r="E120" t="str">
            <v>For tonnage information see -</v>
          </cell>
        </row>
        <row r="121">
          <cell r="C121" t="str">
            <v>Decrease</v>
          </cell>
          <cell r="D121">
            <v>-13576.946399999906</v>
          </cell>
          <cell r="E121" t="str">
            <v xml:space="preserve"> TG-132227    2-1-2014</v>
          </cell>
        </row>
        <row r="124">
          <cell r="D124">
            <v>-42373.584220185716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ject_LastPulledValues"/>
      <sheetName val="DF Schedule"/>
      <sheetName val="GL Balances"/>
      <sheetName val="Pivot"/>
      <sheetName val="Recy Pivot"/>
      <sheetName val="Data"/>
      <sheetName val="Mill Haul Data"/>
      <sheetName val="Route Mapping"/>
    </sheetNames>
    <sheetDataSet>
      <sheetData sheetId="0" refreshError="1"/>
      <sheetData sheetId="1">
        <row r="9">
          <cell r="B9">
            <v>541.85000000000014</v>
          </cell>
          <cell r="C9">
            <v>405.5200000000001</v>
          </cell>
          <cell r="D9">
            <v>471.04</v>
          </cell>
          <cell r="E9">
            <v>431.74000000000018</v>
          </cell>
          <cell r="F9">
            <v>397.81000000000017</v>
          </cell>
          <cell r="G9">
            <v>422.45999999999987</v>
          </cell>
          <cell r="H9">
            <v>466.29999999999984</v>
          </cell>
          <cell r="I9">
            <v>478.7399999999999</v>
          </cell>
          <cell r="J9">
            <v>373.70000000000005</v>
          </cell>
          <cell r="K9">
            <v>503.65999999999991</v>
          </cell>
          <cell r="L9">
            <v>445.02999999999986</v>
          </cell>
          <cell r="M9">
            <v>375.76000000000016</v>
          </cell>
        </row>
        <row r="10">
          <cell r="B10">
            <v>300.90999999999997</v>
          </cell>
          <cell r="C10">
            <v>291.12</v>
          </cell>
          <cell r="D10">
            <v>219.54999999999995</v>
          </cell>
          <cell r="E10">
            <v>264.44</v>
          </cell>
          <cell r="F10">
            <v>228.13</v>
          </cell>
          <cell r="G10">
            <v>260.38</v>
          </cell>
          <cell r="H10">
            <v>233.93</v>
          </cell>
          <cell r="I10">
            <v>277.08000000000004</v>
          </cell>
          <cell r="J10">
            <v>245.86</v>
          </cell>
          <cell r="K10">
            <v>311.71999999999997</v>
          </cell>
          <cell r="L10">
            <v>330.77</v>
          </cell>
          <cell r="M10">
            <v>265.24999999999989</v>
          </cell>
        </row>
        <row r="12">
          <cell r="B12">
            <v>144.99</v>
          </cell>
          <cell r="C12">
            <v>144.99</v>
          </cell>
          <cell r="D12">
            <v>144.99</v>
          </cell>
          <cell r="E12">
            <v>144.99</v>
          </cell>
          <cell r="F12">
            <v>144.99</v>
          </cell>
          <cell r="G12">
            <v>144.99</v>
          </cell>
          <cell r="H12">
            <v>144.99</v>
          </cell>
          <cell r="I12">
            <v>144.99</v>
          </cell>
          <cell r="J12">
            <v>144.99</v>
          </cell>
          <cell r="K12">
            <v>144.99</v>
          </cell>
          <cell r="L12">
            <v>144.99</v>
          </cell>
          <cell r="M12">
            <v>144.99</v>
          </cell>
        </row>
        <row r="20">
          <cell r="B20">
            <v>793.43999999999994</v>
          </cell>
          <cell r="C20">
            <v>760.06</v>
          </cell>
          <cell r="D20">
            <v>678.39</v>
          </cell>
          <cell r="E20">
            <v>786.67</v>
          </cell>
          <cell r="F20">
            <v>669.81</v>
          </cell>
          <cell r="G20">
            <v>746.18000000000018</v>
          </cell>
          <cell r="H20">
            <v>605.06999999999994</v>
          </cell>
          <cell r="I20">
            <v>740.9</v>
          </cell>
          <cell r="J20">
            <v>668.68</v>
          </cell>
          <cell r="K20">
            <v>814.09</v>
          </cell>
          <cell r="L20">
            <v>783.44</v>
          </cell>
          <cell r="M20">
            <v>767.98</v>
          </cell>
        </row>
        <row r="21">
          <cell r="B21">
            <v>429.2700000000001</v>
          </cell>
          <cell r="C21">
            <v>382.79000000000013</v>
          </cell>
          <cell r="D21">
            <v>374.55999999999995</v>
          </cell>
          <cell r="E21">
            <v>406.78000000000003</v>
          </cell>
          <cell r="F21">
            <v>323.73400000000004</v>
          </cell>
          <cell r="G21">
            <v>363.22</v>
          </cell>
          <cell r="H21">
            <v>319.13</v>
          </cell>
          <cell r="I21">
            <v>395.67999999999995</v>
          </cell>
          <cell r="J21">
            <v>333.35</v>
          </cell>
          <cell r="K21">
            <v>405.58</v>
          </cell>
          <cell r="L21">
            <v>411.63</v>
          </cell>
          <cell r="M21">
            <v>390.25999999999988</v>
          </cell>
        </row>
        <row r="22">
          <cell r="B22">
            <v>512.4</v>
          </cell>
          <cell r="C22">
            <v>456.03999999999996</v>
          </cell>
          <cell r="D22">
            <v>398.87</v>
          </cell>
          <cell r="E22">
            <v>401.27</v>
          </cell>
          <cell r="F22">
            <v>369.43</v>
          </cell>
          <cell r="G22">
            <v>428.95000000000005</v>
          </cell>
          <cell r="H22">
            <v>348.78</v>
          </cell>
          <cell r="I22">
            <v>406.56999999999994</v>
          </cell>
          <cell r="J22">
            <v>368.53</v>
          </cell>
          <cell r="K22">
            <v>449.20999999999992</v>
          </cell>
          <cell r="L22">
            <v>438.65</v>
          </cell>
          <cell r="M22">
            <v>431.19999999999993</v>
          </cell>
        </row>
        <row r="23">
          <cell r="B23">
            <v>144.99</v>
          </cell>
          <cell r="C23">
            <v>144.99</v>
          </cell>
          <cell r="D23">
            <v>144.99</v>
          </cell>
          <cell r="E23">
            <v>144.99</v>
          </cell>
          <cell r="F23">
            <v>144.99</v>
          </cell>
          <cell r="G23">
            <v>144.99</v>
          </cell>
          <cell r="H23">
            <v>144.99</v>
          </cell>
          <cell r="I23">
            <v>144.99</v>
          </cell>
          <cell r="J23">
            <v>144.99</v>
          </cell>
          <cell r="K23">
            <v>144.99</v>
          </cell>
          <cell r="L23">
            <v>144.99</v>
          </cell>
          <cell r="M23">
            <v>144.99</v>
          </cell>
        </row>
        <row r="36">
          <cell r="B36">
            <v>188.76</v>
          </cell>
          <cell r="C36">
            <v>139.12999999999997</v>
          </cell>
          <cell r="D36">
            <v>137.01</v>
          </cell>
          <cell r="E36">
            <v>131.32999999999998</v>
          </cell>
          <cell r="F36">
            <v>121.60000000000002</v>
          </cell>
          <cell r="G36">
            <v>162.07999999999998</v>
          </cell>
          <cell r="H36">
            <v>73.81</v>
          </cell>
          <cell r="I36">
            <v>102.08</v>
          </cell>
          <cell r="J36">
            <v>83.59999999999998</v>
          </cell>
          <cell r="K36">
            <v>135.62999999999994</v>
          </cell>
          <cell r="L36">
            <v>128.94</v>
          </cell>
          <cell r="M36">
            <v>125.65999999999998</v>
          </cell>
        </row>
        <row r="37">
          <cell r="B37">
            <v>115.17000000000002</v>
          </cell>
          <cell r="C37">
            <v>58.059999999999988</v>
          </cell>
          <cell r="D37">
            <v>85.080000000000013</v>
          </cell>
          <cell r="E37">
            <v>64.13</v>
          </cell>
          <cell r="F37">
            <v>91.14</v>
          </cell>
          <cell r="G37">
            <v>102.09999999999998</v>
          </cell>
          <cell r="H37">
            <v>70.619999999999976</v>
          </cell>
          <cell r="I37">
            <v>107.66</v>
          </cell>
          <cell r="J37">
            <v>113.08000000000001</v>
          </cell>
          <cell r="K37">
            <v>89.55</v>
          </cell>
          <cell r="L37">
            <v>89.65000000000002</v>
          </cell>
          <cell r="M37">
            <v>80.929999999999993</v>
          </cell>
        </row>
        <row r="39">
          <cell r="B39">
            <v>157.27000000000001</v>
          </cell>
          <cell r="C39">
            <v>157.27000000000001</v>
          </cell>
          <cell r="D39">
            <v>157.27000000000001</v>
          </cell>
          <cell r="E39">
            <v>157.27000000000001</v>
          </cell>
          <cell r="F39">
            <v>157.27000000000001</v>
          </cell>
          <cell r="G39">
            <v>157.27000000000001</v>
          </cell>
          <cell r="H39">
            <v>157.27000000000001</v>
          </cell>
          <cell r="I39">
            <v>157.27000000000001</v>
          </cell>
          <cell r="J39">
            <v>157.27000000000001</v>
          </cell>
          <cell r="K39">
            <v>157.27000000000001</v>
          </cell>
          <cell r="L39">
            <v>157.27000000000001</v>
          </cell>
          <cell r="M39">
            <v>157.27000000000001</v>
          </cell>
        </row>
        <row r="47">
          <cell r="B47">
            <v>256.07</v>
          </cell>
          <cell r="C47">
            <v>225.96000000000004</v>
          </cell>
          <cell r="D47">
            <v>215.20999999999998</v>
          </cell>
          <cell r="E47">
            <v>254.68000000000004</v>
          </cell>
          <cell r="F47">
            <v>195.52</v>
          </cell>
          <cell r="G47">
            <v>261.68</v>
          </cell>
          <cell r="H47">
            <v>191.42000000000002</v>
          </cell>
          <cell r="I47">
            <v>216.86000000000004</v>
          </cell>
          <cell r="J47">
            <v>201.20999999999998</v>
          </cell>
          <cell r="K47">
            <v>243.57</v>
          </cell>
          <cell r="L47">
            <v>246.42</v>
          </cell>
          <cell r="M47">
            <v>235.96999999999997</v>
          </cell>
        </row>
        <row r="48">
          <cell r="B48">
            <v>293.12</v>
          </cell>
          <cell r="C48">
            <v>243.95</v>
          </cell>
          <cell r="D48">
            <v>223.93</v>
          </cell>
          <cell r="E48">
            <v>229.19999999999996</v>
          </cell>
          <cell r="F48">
            <v>210.23999999999998</v>
          </cell>
          <cell r="G48">
            <v>248.44</v>
          </cell>
          <cell r="H48">
            <v>213</v>
          </cell>
          <cell r="I48">
            <v>264.96999999999997</v>
          </cell>
          <cell r="J48">
            <v>239.16999999999996</v>
          </cell>
          <cell r="K48">
            <v>281.90999999999997</v>
          </cell>
          <cell r="L48">
            <v>263.03000000000003</v>
          </cell>
          <cell r="M48">
            <v>262.57</v>
          </cell>
        </row>
        <row r="49">
          <cell r="B49">
            <v>360.1</v>
          </cell>
          <cell r="C49">
            <v>329.72</v>
          </cell>
          <cell r="D49">
            <v>287.15999999999997</v>
          </cell>
          <cell r="E49">
            <v>283.38</v>
          </cell>
          <cell r="F49">
            <v>239.20999999999998</v>
          </cell>
          <cell r="G49">
            <v>344.93999999999994</v>
          </cell>
          <cell r="H49">
            <v>255.61</v>
          </cell>
          <cell r="I49">
            <v>316.94</v>
          </cell>
          <cell r="J49">
            <v>283.78999999999996</v>
          </cell>
          <cell r="K49">
            <v>315.07000000000005</v>
          </cell>
          <cell r="L49">
            <v>312</v>
          </cell>
          <cell r="M49">
            <v>327.61</v>
          </cell>
        </row>
        <row r="50">
          <cell r="B50">
            <v>157.27000000000001</v>
          </cell>
        </row>
        <row r="79">
          <cell r="B79">
            <v>1618.2219945355191</v>
          </cell>
          <cell r="C79">
            <v>1219.7687841530055</v>
          </cell>
          <cell r="D79">
            <v>868.84904371584696</v>
          </cell>
          <cell r="E79">
            <v>997.31967213114751</v>
          </cell>
          <cell r="F79">
            <v>740.97984972677591</v>
          </cell>
          <cell r="G79">
            <v>1380.1526639344263</v>
          </cell>
          <cell r="H79">
            <v>1244.799180327869</v>
          </cell>
          <cell r="I79">
            <v>1393.0505464480873</v>
          </cell>
          <cell r="J79">
            <v>1281.6396857923498</v>
          </cell>
          <cell r="K79">
            <v>1589.4217896174862</v>
          </cell>
          <cell r="L79">
            <v>1098.4419398907103</v>
          </cell>
          <cell r="M79">
            <v>571.15981452859353</v>
          </cell>
        </row>
        <row r="80">
          <cell r="B80">
            <v>1092.8800000000003</v>
          </cell>
          <cell r="C80">
            <v>1129.9899999999996</v>
          </cell>
          <cell r="D80">
            <v>990.06999999999971</v>
          </cell>
          <cell r="E80">
            <v>802.07000000000016</v>
          </cell>
          <cell r="F80">
            <v>329.88</v>
          </cell>
          <cell r="G80">
            <v>1415.2600000000004</v>
          </cell>
          <cell r="H80">
            <v>1072.48</v>
          </cell>
          <cell r="I80">
            <v>1649.6500000000005</v>
          </cell>
          <cell r="J80">
            <v>1199.1099999999997</v>
          </cell>
          <cell r="K80">
            <v>1495.8299999999995</v>
          </cell>
          <cell r="L80">
            <v>1490.56</v>
          </cell>
          <cell r="M80">
            <v>1795.59</v>
          </cell>
        </row>
        <row r="81">
          <cell r="B81">
            <v>525.34199453551878</v>
          </cell>
          <cell r="C81">
            <v>89.778784153005972</v>
          </cell>
          <cell r="D81">
            <v>-121.22095628415275</v>
          </cell>
          <cell r="E81">
            <v>195.24967213114735</v>
          </cell>
          <cell r="F81">
            <v>411.09984972677591</v>
          </cell>
          <cell r="G81">
            <v>-35.107336065574145</v>
          </cell>
          <cell r="H81">
            <v>172.31918032786893</v>
          </cell>
          <cell r="I81">
            <v>-256.59945355191326</v>
          </cell>
          <cell r="J81">
            <v>82.529685792350165</v>
          </cell>
          <cell r="K81">
            <v>93.591789617486711</v>
          </cell>
          <cell r="L81">
            <v>-392.11806010928967</v>
          </cell>
          <cell r="M81">
            <v>-1224.4301854714063</v>
          </cell>
        </row>
        <row r="82">
          <cell r="B82">
            <v>29.28</v>
          </cell>
          <cell r="C82">
            <v>29.28</v>
          </cell>
          <cell r="D82">
            <v>29.28</v>
          </cell>
          <cell r="E82">
            <v>29.28</v>
          </cell>
          <cell r="F82">
            <v>29.28</v>
          </cell>
          <cell r="G82">
            <v>29.28</v>
          </cell>
          <cell r="H82">
            <v>29.28</v>
          </cell>
          <cell r="I82">
            <v>29.28</v>
          </cell>
          <cell r="J82">
            <v>29.28</v>
          </cell>
          <cell r="K82">
            <v>29.28</v>
          </cell>
          <cell r="L82">
            <v>29.28</v>
          </cell>
          <cell r="M82">
            <v>32.35</v>
          </cell>
        </row>
        <row r="83">
          <cell r="B83">
            <v>31999.52640000001</v>
          </cell>
          <cell r="C83">
            <v>33086.107199999991</v>
          </cell>
          <cell r="D83">
            <v>28989.249599999992</v>
          </cell>
          <cell r="E83">
            <v>23484.609600000007</v>
          </cell>
          <cell r="F83">
            <v>9658.8863999999994</v>
          </cell>
          <cell r="G83">
            <v>41438.812800000014</v>
          </cell>
          <cell r="H83">
            <v>31402.214400000001</v>
          </cell>
          <cell r="I83">
            <v>48301.752000000015</v>
          </cell>
          <cell r="J83">
            <v>35109.940799999989</v>
          </cell>
          <cell r="K83">
            <v>43797.902399999984</v>
          </cell>
          <cell r="L83">
            <v>43643.596799999999</v>
          </cell>
          <cell r="M83">
            <v>58087.336499999998</v>
          </cell>
        </row>
        <row r="87">
          <cell r="B87">
            <v>1412.6420765027324</v>
          </cell>
          <cell r="C87">
            <v>300.99043715846994</v>
          </cell>
          <cell r="D87">
            <v>384.27049180327867</v>
          </cell>
          <cell r="E87">
            <v>226.53073770491801</v>
          </cell>
          <cell r="F87">
            <v>360.60997267759564</v>
          </cell>
          <cell r="G87">
            <v>467.93101092896177</v>
          </cell>
          <cell r="H87">
            <v>617.32001366120221</v>
          </cell>
          <cell r="I87">
            <v>407.3104508196721</v>
          </cell>
          <cell r="J87">
            <v>416.45013661202182</v>
          </cell>
          <cell r="K87">
            <v>552.97096994535514</v>
          </cell>
          <cell r="L87">
            <v>481.20047814207646</v>
          </cell>
          <cell r="M87">
            <v>353.29057187017003</v>
          </cell>
        </row>
        <row r="88">
          <cell r="B88">
            <v>926.04999999999973</v>
          </cell>
          <cell r="C88">
            <v>300.99</v>
          </cell>
          <cell r="D88">
            <v>457.25</v>
          </cell>
          <cell r="E88">
            <v>50.769999999999996</v>
          </cell>
          <cell r="F88">
            <v>109.84</v>
          </cell>
          <cell r="G88">
            <v>380.34</v>
          </cell>
          <cell r="H88">
            <v>590.40000000000009</v>
          </cell>
          <cell r="I88">
            <v>541.75</v>
          </cell>
          <cell r="J88">
            <v>414.12000000000006</v>
          </cell>
          <cell r="K88">
            <v>561.92999999999995</v>
          </cell>
          <cell r="L88">
            <v>966.07000000000028</v>
          </cell>
          <cell r="M88">
            <v>1014.9599999999999</v>
          </cell>
        </row>
        <row r="89">
          <cell r="B89">
            <v>486.59207650273265</v>
          </cell>
          <cell r="C89">
            <v>4.37158469935639E-4</v>
          </cell>
          <cell r="D89">
            <v>-72.979508196721326</v>
          </cell>
          <cell r="E89">
            <v>175.76073770491803</v>
          </cell>
          <cell r="F89">
            <v>250.76997267759563</v>
          </cell>
          <cell r="G89">
            <v>87.591010928961794</v>
          </cell>
          <cell r="H89">
            <v>26.92001366120212</v>
          </cell>
          <cell r="I89">
            <v>-134.4395491803279</v>
          </cell>
          <cell r="J89">
            <v>2.3301366120217608</v>
          </cell>
          <cell r="K89">
            <v>-8.9590300546448134</v>
          </cell>
          <cell r="L89">
            <v>-484.86952185792381</v>
          </cell>
          <cell r="M89">
            <v>-661.66942812982984</v>
          </cell>
        </row>
        <row r="90">
          <cell r="B90">
            <v>29.28</v>
          </cell>
          <cell r="C90">
            <v>29.28</v>
          </cell>
          <cell r="D90">
            <v>29.28</v>
          </cell>
          <cell r="E90">
            <v>29.28</v>
          </cell>
          <cell r="F90">
            <v>29.28</v>
          </cell>
          <cell r="G90">
            <v>29.28</v>
          </cell>
          <cell r="H90">
            <v>29.28</v>
          </cell>
          <cell r="I90">
            <v>29.28</v>
          </cell>
          <cell r="J90">
            <v>29.28</v>
          </cell>
          <cell r="K90">
            <v>29.28</v>
          </cell>
          <cell r="L90">
            <v>29.28</v>
          </cell>
          <cell r="M90">
            <v>32.35</v>
          </cell>
        </row>
        <row r="91">
          <cell r="B91">
            <v>27114.743999999992</v>
          </cell>
          <cell r="C91">
            <v>8812.9872000000014</v>
          </cell>
          <cell r="D91">
            <v>13388.28</v>
          </cell>
          <cell r="E91">
            <v>1486.5455999999999</v>
          </cell>
          <cell r="F91">
            <v>3216.1152000000002</v>
          </cell>
          <cell r="G91">
            <v>11136.3552</v>
          </cell>
          <cell r="H91">
            <v>17286.912000000004</v>
          </cell>
          <cell r="I91">
            <v>15862.44</v>
          </cell>
          <cell r="J91">
            <v>12125.433600000002</v>
          </cell>
          <cell r="K91">
            <v>16453.310399999998</v>
          </cell>
          <cell r="L91">
            <v>28286.529600000009</v>
          </cell>
          <cell r="M91">
            <v>32833.955999999998</v>
          </cell>
        </row>
        <row r="97">
          <cell r="B97">
            <v>66.609636162503591</v>
          </cell>
          <cell r="C97">
            <v>39.117051881747173</v>
          </cell>
          <cell r="D97">
            <v>71.506417482120469</v>
          </cell>
          <cell r="E97">
            <v>72.856880940086072</v>
          </cell>
          <cell r="F97">
            <v>5.0764508423961798</v>
          </cell>
          <cell r="G97">
            <v>96.499912277333678</v>
          </cell>
          <cell r="H97">
            <v>121.65296127175532</v>
          </cell>
          <cell r="I97">
            <v>9.2233547935206666</v>
          </cell>
          <cell r="J97">
            <v>132.922419411118</v>
          </cell>
          <cell r="K97">
            <v>90.265683619329849</v>
          </cell>
          <cell r="L97">
            <v>33.70789632426748</v>
          </cell>
          <cell r="M97">
            <v>73.662150709813091</v>
          </cell>
        </row>
        <row r="98">
          <cell r="B98">
            <v>42.33</v>
          </cell>
          <cell r="C98">
            <v>82.960000000000008</v>
          </cell>
          <cell r="D98">
            <v>48.18</v>
          </cell>
          <cell r="E98">
            <v>79.88</v>
          </cell>
          <cell r="F98">
            <v>95.86999999999999</v>
          </cell>
          <cell r="G98">
            <v>147.72</v>
          </cell>
          <cell r="H98">
            <v>90.32</v>
          </cell>
          <cell r="I98">
            <v>120.92000000000002</v>
          </cell>
          <cell r="J98">
            <v>73</v>
          </cell>
          <cell r="K98">
            <v>147.26</v>
          </cell>
          <cell r="L98">
            <v>140.38</v>
          </cell>
          <cell r="M98">
            <v>185.04999999999998</v>
          </cell>
        </row>
        <row r="99">
          <cell r="B99">
            <v>24.279636162503593</v>
          </cell>
          <cell r="C99">
            <v>-43.842948118252835</v>
          </cell>
          <cell r="D99">
            <v>23.326417482120469</v>
          </cell>
          <cell r="E99">
            <v>-7.0231190599139239</v>
          </cell>
          <cell r="F99">
            <v>-90.793549157603806</v>
          </cell>
          <cell r="G99">
            <v>-51.220087722666321</v>
          </cell>
          <cell r="H99">
            <v>31.332961271755323</v>
          </cell>
          <cell r="I99">
            <v>-111.69664520647935</v>
          </cell>
          <cell r="J99">
            <v>59.922419411118</v>
          </cell>
          <cell r="K99">
            <v>-56.994316380670142</v>
          </cell>
          <cell r="L99">
            <v>-106.67210367573252</v>
          </cell>
          <cell r="M99">
            <v>-111.38784929018689</v>
          </cell>
        </row>
        <row r="101">
          <cell r="B101">
            <v>1950.3301468381053</v>
          </cell>
          <cell r="C101">
            <v>1145.3472790975572</v>
          </cell>
          <cell r="D101">
            <v>2093.7079038764873</v>
          </cell>
          <cell r="E101">
            <v>2133.2494739257204</v>
          </cell>
          <cell r="F101">
            <v>148.63848066536016</v>
          </cell>
          <cell r="G101">
            <v>2825.5174314803303</v>
          </cell>
          <cell r="H101">
            <v>3561.9987060369958</v>
          </cell>
          <cell r="I101">
            <v>270.05982835428512</v>
          </cell>
          <cell r="J101">
            <v>3987.67258233354</v>
          </cell>
          <cell r="K101">
            <v>2707.9705085798955</v>
          </cell>
          <cell r="L101">
            <v>1011.2368897280244</v>
          </cell>
          <cell r="M101">
            <v>2209.8645212943929</v>
          </cell>
        </row>
        <row r="103">
          <cell r="B103">
            <v>99.638314657168522</v>
          </cell>
          <cell r="C103">
            <v>58.513412599127122</v>
          </cell>
          <cell r="D103">
            <v>106.9631863430161</v>
          </cell>
          <cell r="E103">
            <v>108.98328299434013</v>
          </cell>
          <cell r="F103">
            <v>7.593631124816933</v>
          </cell>
          <cell r="G103">
            <v>144.34981449862255</v>
          </cell>
          <cell r="H103">
            <v>181.97511249873642</v>
          </cell>
          <cell r="I103">
            <v>13.796795479703373</v>
          </cell>
          <cell r="J103">
            <v>198.83258058888197</v>
          </cell>
          <cell r="K103">
            <v>135.02431638067011</v>
          </cell>
          <cell r="L103">
            <v>50.422103675732515</v>
          </cell>
          <cell r="M103">
            <v>110.18784929018688</v>
          </cell>
        </row>
        <row r="104">
          <cell r="B104">
            <v>84.76</v>
          </cell>
          <cell r="C104">
            <v>62.400000000000006</v>
          </cell>
          <cell r="D104">
            <v>99.139999999999986</v>
          </cell>
          <cell r="E104">
            <v>31.18</v>
          </cell>
          <cell r="F104">
            <v>49.510000000000005</v>
          </cell>
          <cell r="G104">
            <v>118.08999999999999</v>
          </cell>
          <cell r="H104">
            <v>50.319999999999993</v>
          </cell>
          <cell r="I104">
            <v>41.42</v>
          </cell>
          <cell r="J104">
            <v>56.12</v>
          </cell>
          <cell r="K104">
            <v>55.069999999999993</v>
          </cell>
          <cell r="L104">
            <v>102.61</v>
          </cell>
          <cell r="M104">
            <v>87.61</v>
          </cell>
        </row>
        <row r="107">
          <cell r="B107">
            <v>2917.4098531618943</v>
          </cell>
          <cell r="C107">
            <v>1713.2727209024422</v>
          </cell>
          <cell r="D107">
            <v>3131.8820961235115</v>
          </cell>
          <cell r="E107">
            <v>3191.0305260742789</v>
          </cell>
          <cell r="F107">
            <v>222.3415193346398</v>
          </cell>
          <cell r="G107">
            <v>4226.5625685196683</v>
          </cell>
          <cell r="H107">
            <v>5328.2312939630028</v>
          </cell>
          <cell r="I107">
            <v>403.9701716457148</v>
          </cell>
          <cell r="J107">
            <v>5964.9774176664587</v>
          </cell>
          <cell r="K107">
            <v>4050.7294914201034</v>
          </cell>
          <cell r="L107">
            <v>1512.6631102719755</v>
          </cell>
          <cell r="M107">
            <v>3305.6354787056061</v>
          </cell>
        </row>
        <row r="113">
          <cell r="B113">
            <v>205.25000000000003</v>
          </cell>
          <cell r="C113">
            <v>119.33</v>
          </cell>
          <cell r="D113">
            <v>178.47</v>
          </cell>
          <cell r="E113">
            <v>196.46000000000004</v>
          </cell>
          <cell r="F113">
            <v>12.67</v>
          </cell>
          <cell r="G113">
            <v>240.84999999999997</v>
          </cell>
          <cell r="H113">
            <v>295.09000000000003</v>
          </cell>
          <cell r="I113">
            <v>23.020000000000003</v>
          </cell>
          <cell r="J113">
            <v>332.92999999999995</v>
          </cell>
          <cell r="K113">
            <v>225.29</v>
          </cell>
          <cell r="L113">
            <v>84.13</v>
          </cell>
          <cell r="M113">
            <v>183.85</v>
          </cell>
        </row>
        <row r="114">
          <cell r="B114">
            <v>166.2479508196721</v>
          </cell>
          <cell r="C114">
            <v>97.630464480874295</v>
          </cell>
          <cell r="D114">
            <v>178.46960382513657</v>
          </cell>
          <cell r="E114">
            <v>181.84016393442619</v>
          </cell>
          <cell r="F114">
            <v>12.670081967213113</v>
          </cell>
          <cell r="G114">
            <v>240.84972677595624</v>
          </cell>
          <cell r="H114">
            <v>303.62807377049171</v>
          </cell>
          <cell r="I114">
            <v>23.02015027322404</v>
          </cell>
          <cell r="J114">
            <v>331.755</v>
          </cell>
          <cell r="K114">
            <v>225.28999999999996</v>
          </cell>
          <cell r="L114">
            <v>84.13</v>
          </cell>
          <cell r="M114">
            <v>183.84999999999997</v>
          </cell>
        </row>
        <row r="124">
          <cell r="B124">
            <v>10</v>
          </cell>
          <cell r="C124">
            <v>10</v>
          </cell>
          <cell r="D124">
            <v>10</v>
          </cell>
          <cell r="E124">
            <v>10</v>
          </cell>
          <cell r="F124">
            <v>10</v>
          </cell>
          <cell r="G124">
            <v>10</v>
          </cell>
          <cell r="H124">
            <v>10</v>
          </cell>
          <cell r="I124">
            <v>10</v>
          </cell>
          <cell r="J124">
            <v>10</v>
          </cell>
          <cell r="K124">
            <v>10</v>
          </cell>
          <cell r="L124">
            <v>10</v>
          </cell>
          <cell r="M124">
            <v>10</v>
          </cell>
          <cell r="N124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2 IS"/>
      <sheetName val="Master IS"/>
      <sheetName val="Clallam LOB"/>
      <sheetName val="Jefferson LOB"/>
      <sheetName val="Payroll Summary"/>
      <sheetName val="Restating Adj"/>
      <sheetName val="Pro forma Adj"/>
      <sheetName val="Allocators"/>
      <sheetName val="LG Total"/>
      <sheetName val="LG Clallam"/>
      <sheetName val="LG Clallam MSW"/>
      <sheetName val="LG Clallam Recycling"/>
      <sheetName val="LG Jefferson"/>
      <sheetName val="LG Jefferson MSW"/>
      <sheetName val="LG Jefferson Recycle"/>
      <sheetName val="LG Mill Haul"/>
      <sheetName val="Clallam Reg Price Out"/>
      <sheetName val="Jefferson Reg Price Out"/>
      <sheetName val="CityPA-M Price Out"/>
      <sheetName val="Interject_LastPulledValues"/>
      <sheetName val="Deprec. Summary"/>
      <sheetName val="Recycling"/>
      <sheetName val="DF Schedule"/>
      <sheetName val="DVP-DivCon Allocs  (C)"/>
      <sheetName val="Region OH"/>
      <sheetName val="Corp-OH"/>
      <sheetName val="Corp IS-BS"/>
      <sheetName val="43001 Detail"/>
      <sheetName val="41121 Detail"/>
      <sheetName val="70195 Detail"/>
      <sheetName val="52147 Detail"/>
      <sheetName val="57170 Detail"/>
      <sheetName val="2112_BS 12-2018"/>
      <sheetName val="2112_BS 12-2019"/>
    </sheetNames>
    <sheetDataSet>
      <sheetData sheetId="0"/>
      <sheetData sheetId="1">
        <row r="1">
          <cell r="B1" t="str">
            <v>Olympic Disposal Districts (2112/2113/2148)</v>
          </cell>
        </row>
      </sheetData>
      <sheetData sheetId="2">
        <row r="1">
          <cell r="B1"/>
        </row>
      </sheetData>
      <sheetData sheetId="3">
        <row r="1">
          <cell r="B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8">
          <cell r="N18">
            <v>3826.45</v>
          </cell>
        </row>
        <row r="42">
          <cell r="N42">
            <v>1288.5255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H74"/>
  <sheetViews>
    <sheetView tabSelected="1" topLeftCell="A41" workbookViewId="0">
      <selection activeCell="I16" sqref="I16"/>
    </sheetView>
  </sheetViews>
  <sheetFormatPr defaultRowHeight="15"/>
  <cols>
    <col min="1" max="1" width="36.28515625" bestFit="1" customWidth="1"/>
    <col min="2" max="2" width="19.42578125" bestFit="1" customWidth="1"/>
    <col min="3" max="3" width="16" bestFit="1" customWidth="1"/>
    <col min="4" max="4" width="10.5703125" bestFit="1" customWidth="1"/>
    <col min="5" max="5" width="7" bestFit="1" customWidth="1"/>
    <col min="6" max="6" width="11.42578125" bestFit="1" customWidth="1"/>
    <col min="7" max="7" width="10" bestFit="1" customWidth="1"/>
    <col min="8" max="8" width="8" bestFit="1" customWidth="1"/>
    <col min="9" max="9" width="15.85546875" bestFit="1" customWidth="1"/>
    <col min="10" max="10" width="12" bestFit="1" customWidth="1"/>
  </cols>
  <sheetData>
    <row r="1" spans="1:8">
      <c r="A1" s="15" t="s">
        <v>269</v>
      </c>
    </row>
    <row r="2" spans="1:8">
      <c r="A2" s="15" t="s">
        <v>344</v>
      </c>
    </row>
    <row r="3" spans="1:8">
      <c r="A3" s="15" t="s">
        <v>345</v>
      </c>
    </row>
    <row r="4" spans="1:8" ht="30.75" customHeight="1">
      <c r="A4" s="471" t="s">
        <v>641</v>
      </c>
      <c r="B4" s="471"/>
      <c r="C4" s="471"/>
      <c r="D4" s="471"/>
      <c r="E4" s="471"/>
      <c r="F4" s="471"/>
      <c r="G4" s="471"/>
      <c r="H4" s="471"/>
    </row>
    <row r="6" spans="1:8">
      <c r="A6" s="468" t="s">
        <v>17</v>
      </c>
      <c r="B6" s="468"/>
      <c r="C6" s="468"/>
      <c r="D6" s="468"/>
      <c r="E6" s="468"/>
      <c r="F6" s="468"/>
      <c r="G6" s="468"/>
      <c r="H6" s="468"/>
    </row>
    <row r="7" spans="1:8">
      <c r="A7" t="s">
        <v>59</v>
      </c>
      <c r="B7" s="8" t="s">
        <v>45</v>
      </c>
      <c r="C7" s="8" t="s">
        <v>46</v>
      </c>
      <c r="D7" s="8" t="s">
        <v>47</v>
      </c>
      <c r="E7" s="8" t="s">
        <v>50</v>
      </c>
      <c r="F7" s="8" t="s">
        <v>51</v>
      </c>
      <c r="G7" s="8" t="s">
        <v>52</v>
      </c>
      <c r="H7" s="8" t="s">
        <v>55</v>
      </c>
    </row>
    <row r="8" spans="1:8">
      <c r="A8" t="s">
        <v>56</v>
      </c>
      <c r="B8" s="1">
        <f>52*5/12</f>
        <v>21.666666666666668</v>
      </c>
      <c r="C8" s="9">
        <f>$B$8*2</f>
        <v>43.333333333333336</v>
      </c>
      <c r="D8" s="9">
        <f>$B$8*3</f>
        <v>65</v>
      </c>
      <c r="E8" s="9">
        <f>$B$8*4</f>
        <v>86.666666666666671</v>
      </c>
      <c r="F8" s="9">
        <f>$B$8*5</f>
        <v>108.33333333333334</v>
      </c>
      <c r="G8" s="9">
        <f>$B$8*6</f>
        <v>130</v>
      </c>
      <c r="H8" s="9">
        <f>$B$8*7</f>
        <v>151.66666666666669</v>
      </c>
    </row>
    <row r="9" spans="1:8">
      <c r="A9" t="s">
        <v>94</v>
      </c>
      <c r="B9" s="1">
        <f>52*4/12</f>
        <v>17.333333333333332</v>
      </c>
      <c r="C9" s="9">
        <f>$B$9*2</f>
        <v>34.666666666666664</v>
      </c>
      <c r="D9" s="9">
        <f>$B$9*3</f>
        <v>52</v>
      </c>
      <c r="E9" s="9">
        <f>$B$9*4</f>
        <v>69.333333333333329</v>
      </c>
      <c r="F9" s="9">
        <f>$B$9*5</f>
        <v>86.666666666666657</v>
      </c>
      <c r="G9" s="9">
        <f>$B$9*6</f>
        <v>104</v>
      </c>
      <c r="H9" s="9">
        <f>$B$9*7</f>
        <v>121.33333333333333</v>
      </c>
    </row>
    <row r="10" spans="1:8">
      <c r="A10" t="s">
        <v>57</v>
      </c>
      <c r="B10" s="1">
        <f>52*3/12</f>
        <v>13</v>
      </c>
      <c r="C10" s="9">
        <f>$B$10*2</f>
        <v>26</v>
      </c>
      <c r="D10" s="9">
        <f>$B$10*3</f>
        <v>39</v>
      </c>
      <c r="E10" s="9">
        <f>$B$10*4</f>
        <v>52</v>
      </c>
      <c r="F10" s="9">
        <f>$B$10*5</f>
        <v>65</v>
      </c>
      <c r="G10" s="9">
        <f>$B$10*6</f>
        <v>78</v>
      </c>
      <c r="H10" s="9">
        <f>$B$10*7</f>
        <v>91</v>
      </c>
    </row>
    <row r="11" spans="1:8">
      <c r="A11" t="s">
        <v>58</v>
      </c>
      <c r="B11" s="1">
        <f>52*2/12</f>
        <v>8.6666666666666661</v>
      </c>
      <c r="C11" s="30">
        <f>$B$11*2</f>
        <v>17.333333333333332</v>
      </c>
      <c r="D11" s="30">
        <f>$B$11*3</f>
        <v>26</v>
      </c>
      <c r="E11" s="30">
        <f>$B$11*4</f>
        <v>34.666666666666664</v>
      </c>
      <c r="F11" s="30">
        <f>$B$11*5</f>
        <v>43.333333333333329</v>
      </c>
      <c r="G11" s="30">
        <f>$B$11*6</f>
        <v>52</v>
      </c>
      <c r="H11" s="30">
        <f>$B$11*7</f>
        <v>60.666666666666664</v>
      </c>
    </row>
    <row r="12" spans="1:8">
      <c r="A12" t="s">
        <v>20</v>
      </c>
      <c r="B12" s="1">
        <f>52/12</f>
        <v>4.333333333333333</v>
      </c>
      <c r="C12" s="30">
        <f>$B$12*2</f>
        <v>8.6666666666666661</v>
      </c>
      <c r="D12" s="30">
        <f>$B$12*3</f>
        <v>13</v>
      </c>
      <c r="E12" s="30">
        <f>$B$12*4</f>
        <v>17.333333333333332</v>
      </c>
      <c r="F12" s="30">
        <f>$B$12*5</f>
        <v>21.666666666666664</v>
      </c>
      <c r="G12" s="30">
        <f>$B$12*6</f>
        <v>26</v>
      </c>
      <c r="H12" s="30">
        <f>$B$12*7</f>
        <v>30.333333333333332</v>
      </c>
    </row>
    <row r="13" spans="1:8">
      <c r="A13" t="s">
        <v>22</v>
      </c>
      <c r="B13" s="1">
        <f>26/12</f>
        <v>2.1666666666666665</v>
      </c>
      <c r="C13" s="30">
        <f>$B$13*2</f>
        <v>4.333333333333333</v>
      </c>
      <c r="D13" s="30">
        <f>$B$13*3</f>
        <v>6.5</v>
      </c>
      <c r="E13" s="30">
        <f>$B$13*4</f>
        <v>8.6666666666666661</v>
      </c>
      <c r="F13" s="30">
        <f>$B$13*5</f>
        <v>10.833333333333332</v>
      </c>
      <c r="G13" s="30">
        <f>$B$13*6</f>
        <v>13</v>
      </c>
      <c r="H13" s="30">
        <f>$B$13*7</f>
        <v>15.166666666666666</v>
      </c>
    </row>
    <row r="14" spans="1:8">
      <c r="A14" t="s">
        <v>21</v>
      </c>
      <c r="B14" s="1">
        <f>12/12</f>
        <v>1</v>
      </c>
      <c r="C14" s="30">
        <f>$B$14*2</f>
        <v>2</v>
      </c>
      <c r="D14" s="30">
        <f>$B$14*3</f>
        <v>3</v>
      </c>
      <c r="E14" s="30">
        <f>$B$14*4</f>
        <v>4</v>
      </c>
      <c r="F14" s="30">
        <f>$B$14*5</f>
        <v>5</v>
      </c>
      <c r="G14" s="30">
        <f>$B$14*6</f>
        <v>6</v>
      </c>
      <c r="H14" s="30">
        <f>$B$14*7</f>
        <v>7</v>
      </c>
    </row>
    <row r="15" spans="1:8">
      <c r="B15" s="1"/>
      <c r="C15" s="30"/>
      <c r="D15" s="30"/>
      <c r="E15" s="30"/>
      <c r="F15" s="30"/>
      <c r="G15" s="30"/>
      <c r="H15" s="30"/>
    </row>
    <row r="16" spans="1:8">
      <c r="A16" s="468" t="s">
        <v>9</v>
      </c>
      <c r="B16" s="468"/>
      <c r="C16" s="30"/>
      <c r="D16" s="30"/>
      <c r="E16" s="30"/>
      <c r="F16" s="30"/>
      <c r="G16" s="30"/>
      <c r="H16" s="30"/>
    </row>
    <row r="17" spans="1:8">
      <c r="A17" s="15" t="s">
        <v>54</v>
      </c>
      <c r="B17" s="16" t="s">
        <v>84</v>
      </c>
      <c r="C17" s="30"/>
      <c r="D17" s="30"/>
      <c r="E17" s="30"/>
      <c r="F17" s="30"/>
      <c r="G17" s="30"/>
      <c r="H17" s="30"/>
    </row>
    <row r="18" spans="1:8">
      <c r="A18" s="33" t="s">
        <v>85</v>
      </c>
      <c r="B18" s="24">
        <v>20</v>
      </c>
      <c r="C18" s="30"/>
      <c r="D18" s="30"/>
      <c r="E18" s="30"/>
      <c r="F18" s="30"/>
      <c r="G18" s="30"/>
      <c r="H18" s="30"/>
    </row>
    <row r="19" spans="1:8">
      <c r="A19" s="33" t="s">
        <v>60</v>
      </c>
      <c r="B19" s="24">
        <v>34</v>
      </c>
      <c r="C19" s="30"/>
      <c r="D19" s="30"/>
      <c r="E19" s="30"/>
      <c r="F19" s="30"/>
      <c r="G19" s="30"/>
      <c r="H19" s="30"/>
    </row>
    <row r="20" spans="1:8">
      <c r="A20" s="33" t="s">
        <v>61</v>
      </c>
      <c r="B20" s="24">
        <v>51</v>
      </c>
      <c r="C20" s="30"/>
      <c r="D20" s="30"/>
      <c r="E20" s="30"/>
      <c r="F20" s="30"/>
      <c r="G20" s="30"/>
      <c r="H20" s="30"/>
    </row>
    <row r="21" spans="1:8">
      <c r="A21" s="33" t="s">
        <v>62</v>
      </c>
      <c r="B21" s="24">
        <v>77</v>
      </c>
      <c r="C21" s="30"/>
      <c r="D21" s="30"/>
      <c r="E21" s="30"/>
      <c r="F21" t="s">
        <v>18</v>
      </c>
      <c r="G21" s="24">
        <v>2000</v>
      </c>
      <c r="H21" s="30"/>
    </row>
    <row r="22" spans="1:8">
      <c r="A22" s="33" t="s">
        <v>63</v>
      </c>
      <c r="B22" s="24">
        <v>97</v>
      </c>
      <c r="C22" s="30"/>
      <c r="D22" s="30"/>
      <c r="E22" s="30"/>
      <c r="F22" t="s">
        <v>19</v>
      </c>
      <c r="G22" s="10" t="s">
        <v>48</v>
      </c>
      <c r="H22" s="30"/>
    </row>
    <row r="23" spans="1:8">
      <c r="A23" s="33" t="s">
        <v>64</v>
      </c>
      <c r="B23" s="24">
        <v>117</v>
      </c>
      <c r="C23" s="30"/>
      <c r="D23" s="30"/>
      <c r="E23" s="30"/>
      <c r="H23" s="30"/>
    </row>
    <row r="24" spans="1:8">
      <c r="A24" s="33" t="s">
        <v>65</v>
      </c>
      <c r="B24" s="24">
        <v>157</v>
      </c>
      <c r="C24" s="30"/>
      <c r="D24" s="30"/>
      <c r="E24" s="30"/>
      <c r="F24" s="6"/>
      <c r="G24" s="7"/>
      <c r="H24" s="30"/>
    </row>
    <row r="25" spans="1:8">
      <c r="A25" s="33" t="s">
        <v>327</v>
      </c>
      <c r="B25" s="24">
        <v>37</v>
      </c>
      <c r="C25" s="30" t="s">
        <v>353</v>
      </c>
      <c r="D25" s="30"/>
      <c r="E25" s="30"/>
      <c r="F25" s="6"/>
      <c r="G25" s="7"/>
      <c r="H25" s="30"/>
    </row>
    <row r="26" spans="1:8">
      <c r="A26" s="33" t="s">
        <v>66</v>
      </c>
      <c r="B26" s="24">
        <v>47</v>
      </c>
      <c r="C26" s="30"/>
      <c r="D26" s="30"/>
      <c r="E26" s="30"/>
      <c r="F26" s="30"/>
      <c r="G26" s="30"/>
      <c r="H26" s="30"/>
    </row>
    <row r="27" spans="1:8">
      <c r="A27" s="33" t="s">
        <v>67</v>
      </c>
      <c r="B27" s="24">
        <v>68</v>
      </c>
      <c r="C27" s="30"/>
      <c r="D27" s="30"/>
      <c r="E27" s="30"/>
      <c r="F27" s="30"/>
      <c r="G27" s="30"/>
      <c r="H27" s="30"/>
    </row>
    <row r="28" spans="1:8">
      <c r="A28" s="33" t="s">
        <v>68</v>
      </c>
      <c r="B28" s="24">
        <v>34</v>
      </c>
      <c r="C28" s="30"/>
      <c r="D28" s="30"/>
      <c r="E28" s="30"/>
      <c r="F28" s="30"/>
      <c r="G28" s="30"/>
      <c r="H28" s="30"/>
    </row>
    <row r="29" spans="1:8">
      <c r="A29" s="33" t="s">
        <v>30</v>
      </c>
      <c r="B29" s="24">
        <v>34</v>
      </c>
      <c r="C29" s="30"/>
      <c r="D29" s="30"/>
      <c r="E29" s="30"/>
      <c r="F29" s="30"/>
      <c r="G29" s="30"/>
      <c r="H29" s="30"/>
    </row>
    <row r="30" spans="1:8">
      <c r="A30" s="15" t="s">
        <v>69</v>
      </c>
      <c r="B30" s="24"/>
      <c r="C30" s="30"/>
      <c r="D30" s="30"/>
      <c r="E30" s="30"/>
      <c r="F30" s="30"/>
      <c r="G30" s="30"/>
      <c r="H30" s="30"/>
    </row>
    <row r="31" spans="1:8">
      <c r="A31" s="33" t="s">
        <v>70</v>
      </c>
      <c r="B31" s="24">
        <v>29</v>
      </c>
      <c r="C31" s="30"/>
      <c r="D31" s="30"/>
      <c r="E31" s="30"/>
      <c r="F31" s="30"/>
      <c r="G31" s="30"/>
      <c r="H31" s="30"/>
    </row>
    <row r="32" spans="1:8">
      <c r="A32" s="33" t="s">
        <v>71</v>
      </c>
      <c r="B32" s="24">
        <v>175</v>
      </c>
      <c r="C32" s="30"/>
      <c r="D32" s="30"/>
      <c r="E32" s="30"/>
      <c r="F32" s="30"/>
      <c r="G32" s="30"/>
      <c r="H32" s="30"/>
    </row>
    <row r="33" spans="1:8">
      <c r="A33" s="33" t="s">
        <v>72</v>
      </c>
      <c r="B33" s="24">
        <v>250</v>
      </c>
      <c r="C33" s="30"/>
      <c r="D33" s="30"/>
      <c r="E33" s="30"/>
      <c r="F33" s="30"/>
      <c r="G33" s="30"/>
      <c r="H33" s="30"/>
    </row>
    <row r="34" spans="1:8">
      <c r="A34" s="33" t="s">
        <v>105</v>
      </c>
      <c r="B34" s="24">
        <v>375</v>
      </c>
      <c r="C34" s="30" t="s">
        <v>86</v>
      </c>
      <c r="D34" s="30"/>
      <c r="E34" s="30"/>
      <c r="F34" s="30"/>
      <c r="G34" s="30"/>
      <c r="H34" s="30"/>
    </row>
    <row r="35" spans="1:8">
      <c r="A35" s="33" t="s">
        <v>73</v>
      </c>
      <c r="B35" s="24">
        <v>324</v>
      </c>
      <c r="C35" s="30"/>
      <c r="D35" s="30"/>
      <c r="E35" s="30"/>
      <c r="F35" s="30"/>
      <c r="G35" s="30"/>
      <c r="H35" s="30"/>
    </row>
    <row r="36" spans="1:8">
      <c r="A36" s="33" t="s">
        <v>74</v>
      </c>
      <c r="B36" s="24">
        <v>473</v>
      </c>
      <c r="C36" s="30"/>
      <c r="D36" s="30"/>
      <c r="E36" s="30"/>
      <c r="F36" s="30"/>
      <c r="G36" s="30"/>
      <c r="H36" s="30"/>
    </row>
    <row r="37" spans="1:8">
      <c r="A37" s="33" t="s">
        <v>104</v>
      </c>
      <c r="B37" s="24">
        <v>710</v>
      </c>
      <c r="C37" s="30" t="s">
        <v>86</v>
      </c>
      <c r="D37" s="30"/>
      <c r="E37" s="30"/>
      <c r="F37" s="30"/>
      <c r="G37" s="30"/>
      <c r="H37" s="30"/>
    </row>
    <row r="38" spans="1:8">
      <c r="A38" s="33" t="s">
        <v>75</v>
      </c>
      <c r="B38" s="24">
        <v>613</v>
      </c>
      <c r="C38" s="30"/>
      <c r="D38" s="30"/>
      <c r="E38" s="30"/>
      <c r="F38" s="30"/>
      <c r="G38" s="30"/>
      <c r="H38" s="30"/>
    </row>
    <row r="39" spans="1:8">
      <c r="A39" s="33" t="s">
        <v>103</v>
      </c>
      <c r="B39" s="24">
        <v>920</v>
      </c>
      <c r="C39" s="30" t="s">
        <v>86</v>
      </c>
      <c r="D39" s="30"/>
      <c r="E39" s="30"/>
      <c r="F39" s="30"/>
      <c r="G39" s="30"/>
      <c r="H39" s="30"/>
    </row>
    <row r="40" spans="1:8">
      <c r="A40" s="33" t="s">
        <v>76</v>
      </c>
      <c r="B40" s="24">
        <v>840</v>
      </c>
      <c r="C40" s="30"/>
      <c r="D40" s="30"/>
      <c r="E40" s="30"/>
      <c r="F40" s="30"/>
      <c r="G40" s="30"/>
      <c r="H40" s="30"/>
    </row>
    <row r="41" spans="1:8">
      <c r="A41" s="33" t="s">
        <v>102</v>
      </c>
      <c r="B41" s="24">
        <v>1260</v>
      </c>
      <c r="C41" s="30" t="s">
        <v>86</v>
      </c>
      <c r="D41" s="30"/>
      <c r="E41" s="30"/>
      <c r="F41" s="30"/>
      <c r="G41" s="30"/>
      <c r="H41" s="30"/>
    </row>
    <row r="42" spans="1:8">
      <c r="A42" s="33" t="s">
        <v>77</v>
      </c>
      <c r="B42" s="24">
        <v>980</v>
      </c>
      <c r="C42" s="30"/>
      <c r="D42" s="30"/>
      <c r="E42" s="30"/>
      <c r="F42" s="30"/>
      <c r="G42" s="30"/>
      <c r="H42" s="30"/>
    </row>
    <row r="43" spans="1:8">
      <c r="A43" s="33" t="s">
        <v>95</v>
      </c>
      <c r="B43" s="24">
        <v>482</v>
      </c>
      <c r="C43" s="30" t="s">
        <v>86</v>
      </c>
      <c r="D43" s="30"/>
      <c r="E43" s="30"/>
      <c r="F43" s="30"/>
      <c r="G43" s="30"/>
      <c r="H43" s="30"/>
    </row>
    <row r="44" spans="1:8">
      <c r="A44" s="33" t="s">
        <v>96</v>
      </c>
      <c r="B44" s="24">
        <v>689</v>
      </c>
      <c r="C44" s="30" t="s">
        <v>86</v>
      </c>
      <c r="D44" s="30"/>
      <c r="E44" s="30"/>
      <c r="F44" s="30"/>
      <c r="G44" s="30"/>
      <c r="H44" s="30"/>
    </row>
    <row r="45" spans="1:8">
      <c r="A45" s="33" t="s">
        <v>79</v>
      </c>
      <c r="B45" s="24">
        <v>892</v>
      </c>
      <c r="C45" s="30" t="s">
        <v>86</v>
      </c>
      <c r="D45" s="30"/>
      <c r="E45" s="30"/>
      <c r="F45" s="30"/>
      <c r="G45" s="30"/>
      <c r="H45" s="30"/>
    </row>
    <row r="46" spans="1:8">
      <c r="A46" s="33" t="s">
        <v>78</v>
      </c>
      <c r="B46" s="24">
        <v>1301</v>
      </c>
      <c r="C46" s="30"/>
      <c r="D46" s="30"/>
      <c r="E46" s="30"/>
      <c r="F46" s="30"/>
      <c r="G46" s="30"/>
      <c r="H46" s="30"/>
    </row>
    <row r="47" spans="1:8">
      <c r="A47" s="33" t="s">
        <v>80</v>
      </c>
      <c r="B47" s="24">
        <v>1686</v>
      </c>
      <c r="C47" s="30"/>
      <c r="D47" s="30"/>
      <c r="E47" s="30"/>
      <c r="F47" s="30"/>
      <c r="G47" s="30"/>
      <c r="H47" s="30"/>
    </row>
    <row r="48" spans="1:8">
      <c r="A48" s="33" t="s">
        <v>81</v>
      </c>
      <c r="B48" s="24">
        <v>2046</v>
      </c>
      <c r="C48" s="30"/>
      <c r="D48" s="30"/>
      <c r="E48" s="30"/>
      <c r="F48" s="30"/>
      <c r="G48" s="30"/>
      <c r="H48" s="30"/>
    </row>
    <row r="49" spans="1:8">
      <c r="A49" s="33" t="s">
        <v>82</v>
      </c>
      <c r="B49" s="24">
        <v>2310</v>
      </c>
      <c r="C49" s="30"/>
      <c r="D49" s="30"/>
      <c r="E49" s="30"/>
      <c r="F49" s="30"/>
      <c r="G49" s="30"/>
      <c r="H49" s="30"/>
    </row>
    <row r="50" spans="1:8">
      <c r="A50" s="33" t="s">
        <v>97</v>
      </c>
      <c r="B50" s="24">
        <v>2800</v>
      </c>
      <c r="C50" s="30" t="s">
        <v>86</v>
      </c>
      <c r="D50" s="30"/>
      <c r="E50" s="30"/>
      <c r="F50" s="30"/>
      <c r="G50" s="30"/>
      <c r="H50" s="30"/>
    </row>
    <row r="51" spans="1:8">
      <c r="A51" s="33" t="s">
        <v>83</v>
      </c>
      <c r="B51" s="24">
        <v>125</v>
      </c>
      <c r="C51" s="30"/>
      <c r="D51" s="30"/>
      <c r="E51" s="30"/>
      <c r="F51" s="30"/>
      <c r="G51" s="30"/>
      <c r="H51" s="30"/>
    </row>
    <row r="52" spans="1:8">
      <c r="B52" s="470" t="s">
        <v>101</v>
      </c>
      <c r="C52" s="470"/>
    </row>
    <row r="55" spans="1:8">
      <c r="A55" s="37" t="s">
        <v>335</v>
      </c>
      <c r="B55" s="36" t="s">
        <v>5</v>
      </c>
      <c r="C55" s="36" t="s">
        <v>6</v>
      </c>
      <c r="F55" s="469" t="s">
        <v>25</v>
      </c>
      <c r="G55" s="469"/>
    </row>
    <row r="56" spans="1:8">
      <c r="A56" s="31" t="s">
        <v>7</v>
      </c>
      <c r="B56" s="91">
        <v>144.99</v>
      </c>
      <c r="C56" s="93">
        <f>B56/2000</f>
        <v>7.2495000000000004E-2</v>
      </c>
      <c r="F56" t="s">
        <v>26</v>
      </c>
      <c r="G56" s="3">
        <f>0.0175</f>
        <v>1.7500000000000002E-2</v>
      </c>
    </row>
    <row r="57" spans="1:8">
      <c r="A57" s="31" t="s">
        <v>354</v>
      </c>
      <c r="B57" s="92">
        <v>195.42</v>
      </c>
      <c r="C57" s="94">
        <f>B57/2000</f>
        <v>9.7709999999999991E-2</v>
      </c>
      <c r="F57" t="s">
        <v>27</v>
      </c>
      <c r="G57" s="4">
        <v>5.1000000000000004E-3</v>
      </c>
    </row>
    <row r="58" spans="1:8">
      <c r="A58" s="33" t="s">
        <v>8</v>
      </c>
      <c r="B58" s="91">
        <f>B57-B56</f>
        <v>50.429999999999978</v>
      </c>
      <c r="C58" s="95">
        <f>C57-C56</f>
        <v>2.5214999999999987E-2</v>
      </c>
      <c r="D58" s="78">
        <f>B58/B56</f>
        <v>0.34781709083385043</v>
      </c>
      <c r="F58" t="s">
        <v>53</v>
      </c>
      <c r="G58" s="5"/>
    </row>
    <row r="59" spans="1:8">
      <c r="F59" t="s">
        <v>15</v>
      </c>
      <c r="G59" s="11">
        <f>SUM(G56:G58)</f>
        <v>2.2600000000000002E-2</v>
      </c>
    </row>
    <row r="60" spans="1:8">
      <c r="B60" s="14" t="s">
        <v>106</v>
      </c>
      <c r="D60" s="12"/>
    </row>
    <row r="61" spans="1:8">
      <c r="A61" t="s">
        <v>640</v>
      </c>
      <c r="B61" s="12">
        <f>B58</f>
        <v>50.429999999999978</v>
      </c>
      <c r="F61" t="s">
        <v>28</v>
      </c>
      <c r="G61" s="13">
        <f>1-G59</f>
        <v>0.97740000000000005</v>
      </c>
    </row>
    <row r="62" spans="1:8">
      <c r="A62" t="s">
        <v>24</v>
      </c>
      <c r="B62" s="12">
        <f>B61/$G$61</f>
        <v>51.596071209330852</v>
      </c>
      <c r="C62" s="12"/>
    </row>
    <row r="63" spans="1:8">
      <c r="A63" t="s">
        <v>23</v>
      </c>
      <c r="B63" s="27">
        <f>'Company Calc'!E113</f>
        <v>13350.694</v>
      </c>
      <c r="C63" s="12"/>
    </row>
    <row r="64" spans="1:8">
      <c r="A64" s="15" t="s">
        <v>29</v>
      </c>
      <c r="B64" s="2">
        <f>B62*B63</f>
        <v>688843.35831798613</v>
      </c>
    </row>
    <row r="66" spans="1:6">
      <c r="F66" s="12"/>
    </row>
    <row r="67" spans="1:6" ht="15.75" thickBot="1"/>
    <row r="68" spans="1:6">
      <c r="A68" s="66" t="s">
        <v>91</v>
      </c>
      <c r="B68" s="67" t="s">
        <v>89</v>
      </c>
      <c r="D68" s="12"/>
    </row>
    <row r="69" spans="1:6">
      <c r="A69" s="68" t="s">
        <v>90</v>
      </c>
      <c r="B69" s="69">
        <f>'Company Calc'!X89</f>
        <v>686241.10419106926</v>
      </c>
    </row>
    <row r="70" spans="1:6">
      <c r="A70" s="68" t="s">
        <v>11</v>
      </c>
      <c r="B70" s="69">
        <f>B69-B64</f>
        <v>-2602.2541269168723</v>
      </c>
      <c r="C70" s="446">
        <f>+B70/B69</f>
        <v>-3.7920405977202002E-3</v>
      </c>
      <c r="D70" s="447" t="s">
        <v>642</v>
      </c>
    </row>
    <row r="71" spans="1:6">
      <c r="A71" s="68"/>
      <c r="B71" s="70"/>
    </row>
    <row r="72" spans="1:6">
      <c r="A72" s="71" t="s">
        <v>92</v>
      </c>
      <c r="B72" s="72" t="s">
        <v>89</v>
      </c>
    </row>
    <row r="73" spans="1:6">
      <c r="A73" s="68" t="s">
        <v>49</v>
      </c>
      <c r="B73" s="69">
        <f>'Company Calc'!X89</f>
        <v>686241.10419106926</v>
      </c>
    </row>
    <row r="74" spans="1:6" ht="15.75" thickBot="1">
      <c r="A74" s="73" t="s">
        <v>11</v>
      </c>
      <c r="B74" s="74">
        <f>B73-B64</f>
        <v>-2602.2541269168723</v>
      </c>
    </row>
  </sheetData>
  <mergeCells count="5">
    <mergeCell ref="A6:H6"/>
    <mergeCell ref="F55:G55"/>
    <mergeCell ref="A16:B16"/>
    <mergeCell ref="B52:C52"/>
    <mergeCell ref="A4:H4"/>
  </mergeCells>
  <pageMargins left="0.7" right="0.7" top="0.75" bottom="0.75" header="0.3" footer="0.3"/>
  <pageSetup scale="61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F120"/>
  <sheetViews>
    <sheetView tabSelected="1" topLeftCell="A109" workbookViewId="0">
      <selection activeCell="I16" sqref="I16"/>
    </sheetView>
  </sheetViews>
  <sheetFormatPr defaultRowHeight="15" outlineLevelCol="1"/>
  <cols>
    <col min="1" max="1" width="25.85546875" customWidth="1" outlineLevel="1"/>
    <col min="2" max="2" width="28.28515625" customWidth="1"/>
    <col min="3" max="3" width="12.7109375" customWidth="1"/>
    <col min="4" max="4" width="15" style="1" customWidth="1"/>
    <col min="5" max="5" width="12.5703125" customWidth="1"/>
  </cols>
  <sheetData>
    <row r="1" spans="1:6">
      <c r="B1" s="15" t="s">
        <v>269</v>
      </c>
    </row>
    <row r="2" spans="1:6">
      <c r="B2" s="15" t="s">
        <v>344</v>
      </c>
    </row>
    <row r="3" spans="1:6">
      <c r="B3" s="15" t="s">
        <v>347</v>
      </c>
      <c r="C3" s="96">
        <v>45292</v>
      </c>
    </row>
    <row r="4" spans="1:6">
      <c r="B4" s="15"/>
    </row>
    <row r="5" spans="1:6">
      <c r="B5" t="s">
        <v>98</v>
      </c>
      <c r="C5" s="81"/>
      <c r="D5" s="289"/>
      <c r="E5" s="25"/>
    </row>
    <row r="6" spans="1:6" ht="60" customHeight="1">
      <c r="C6" s="87" t="s">
        <v>582</v>
      </c>
      <c r="D6" s="290" t="s">
        <v>342</v>
      </c>
      <c r="E6" s="88" t="s">
        <v>583</v>
      </c>
    </row>
    <row r="7" spans="1:6">
      <c r="B7" s="15" t="s">
        <v>270</v>
      </c>
    </row>
    <row r="8" spans="1:6">
      <c r="B8" t="s">
        <v>271</v>
      </c>
      <c r="C8" s="30">
        <v>7.23</v>
      </c>
      <c r="D8" s="291">
        <f>'Company Calc'!M24</f>
        <v>0.66383368224636352</v>
      </c>
      <c r="E8" s="30">
        <f>C8+D8</f>
        <v>7.8938336822463642</v>
      </c>
      <c r="F8" s="292">
        <f>+D8/C8</f>
        <v>9.1816553561046121E-2</v>
      </c>
    </row>
    <row r="9" spans="1:6">
      <c r="D9" s="291"/>
      <c r="F9" s="30"/>
    </row>
    <row r="10" spans="1:6">
      <c r="B10" s="15" t="s">
        <v>272</v>
      </c>
      <c r="C10" s="30"/>
      <c r="D10" s="291"/>
      <c r="E10" s="30"/>
      <c r="F10" s="30"/>
    </row>
    <row r="11" spans="1:6">
      <c r="A11" t="s">
        <v>356</v>
      </c>
      <c r="B11" t="s">
        <v>647</v>
      </c>
      <c r="C11" s="30">
        <v>16.809999999999999</v>
      </c>
      <c r="D11" s="291">
        <f>VLOOKUP(A11,'Company Calc'!D:M,10,FALSE)</f>
        <v>1.6921250723926911</v>
      </c>
      <c r="E11" s="30">
        <f t="shared" ref="E11:E16" si="0">C11+D11</f>
        <v>18.50212507239269</v>
      </c>
      <c r="F11" s="452">
        <f t="shared" ref="F11:F16" si="1">+D11/C11</f>
        <v>0.10066181275387812</v>
      </c>
    </row>
    <row r="12" spans="1:6">
      <c r="A12" t="s">
        <v>648</v>
      </c>
      <c r="B12" t="s">
        <v>649</v>
      </c>
      <c r="C12" s="30">
        <v>21.93</v>
      </c>
      <c r="D12" s="291">
        <f>VLOOKUP(A12,'Company Calc'!D:M,10,FALSE)</f>
        <v>0.66383368224636352</v>
      </c>
      <c r="E12" s="30">
        <f t="shared" si="0"/>
        <v>22.593833682246363</v>
      </c>
      <c r="F12" s="452">
        <f t="shared" si="1"/>
        <v>3.0270573745844211E-2</v>
      </c>
    </row>
    <row r="13" spans="1:6">
      <c r="A13" t="s">
        <v>650</v>
      </c>
      <c r="B13" t="s">
        <v>651</v>
      </c>
      <c r="C13" s="30">
        <v>33.58</v>
      </c>
      <c r="D13" s="291">
        <f>VLOOKUP(A13,'Company Calc'!D:M,10,FALSE)</f>
        <v>0.99575052336954528</v>
      </c>
      <c r="E13" s="30">
        <f t="shared" si="0"/>
        <v>34.575750523369543</v>
      </c>
      <c r="F13" s="452">
        <f t="shared" si="1"/>
        <v>2.9653082887717251E-2</v>
      </c>
    </row>
    <row r="14" spans="1:6">
      <c r="A14" t="s">
        <v>652</v>
      </c>
      <c r="B14" t="s">
        <v>653</v>
      </c>
      <c r="C14" s="30">
        <v>46.17</v>
      </c>
      <c r="D14" s="291">
        <f>VLOOKUP(A14,'Company Calc'!D:M,10,FALSE)</f>
        <v>1.5033880450873527</v>
      </c>
      <c r="E14" s="30">
        <f t="shared" si="0"/>
        <v>47.673388045087357</v>
      </c>
      <c r="F14" s="452">
        <f t="shared" si="1"/>
        <v>3.25620109397304E-2</v>
      </c>
    </row>
    <row r="15" spans="1:6">
      <c r="A15" s="444" t="s">
        <v>654</v>
      </c>
      <c r="B15" t="s">
        <v>655</v>
      </c>
      <c r="C15" s="30">
        <v>60.24</v>
      </c>
      <c r="D15" s="291">
        <f>VLOOKUP(A15,'Company Calc'!D:M,10,FALSE)</f>
        <v>1.8938784464087428</v>
      </c>
      <c r="E15" s="30">
        <f t="shared" si="0"/>
        <v>62.133878446408744</v>
      </c>
      <c r="F15" s="452">
        <f t="shared" si="1"/>
        <v>3.1438885232548848E-2</v>
      </c>
    </row>
    <row r="16" spans="1:6">
      <c r="A16" s="444" t="s">
        <v>656</v>
      </c>
      <c r="B16" t="s">
        <v>657</v>
      </c>
      <c r="C16" s="30">
        <v>71.45</v>
      </c>
      <c r="D16" s="291">
        <f>VLOOKUP(A16,'Company Calc'!D:M,10,FALSE)</f>
        <v>2.2843688477301334</v>
      </c>
      <c r="E16" s="30">
        <f t="shared" si="0"/>
        <v>73.734368847730138</v>
      </c>
      <c r="F16" s="452">
        <f t="shared" si="1"/>
        <v>3.1971572396502917E-2</v>
      </c>
    </row>
    <row r="17" spans="1:6">
      <c r="A17" t="s">
        <v>107</v>
      </c>
      <c r="B17" t="s">
        <v>273</v>
      </c>
      <c r="C17" s="30">
        <v>24.35</v>
      </c>
      <c r="D17" s="291">
        <f>VLOOKUP(A17,'Company Calc'!D:M,10,FALSE)</f>
        <v>3.1304313839264784</v>
      </c>
      <c r="E17" s="30">
        <f t="shared" ref="E17:E81" si="2">C17+D17</f>
        <v>27.480431383926479</v>
      </c>
      <c r="F17" s="292">
        <f t="shared" ref="F17:F27" si="3">+D17/C17</f>
        <v>0.12855981042819212</v>
      </c>
    </row>
    <row r="18" spans="1:6">
      <c r="A18" t="s">
        <v>108</v>
      </c>
      <c r="B18" t="s">
        <v>274</v>
      </c>
      <c r="C18" s="30">
        <v>31.75</v>
      </c>
      <c r="D18" s="291">
        <f>VLOOKUP(A18,'Company Calc'!D:M,10,FALSE)</f>
        <v>3.9764939201228247</v>
      </c>
      <c r="E18" s="30">
        <f t="shared" si="2"/>
        <v>35.726493920122827</v>
      </c>
      <c r="F18" s="292">
        <f t="shared" si="3"/>
        <v>0.12524390299599447</v>
      </c>
    </row>
    <row r="19" spans="1:6">
      <c r="A19" t="s">
        <v>358</v>
      </c>
      <c r="B19" t="s">
        <v>275</v>
      </c>
      <c r="C19" s="30">
        <v>41.3</v>
      </c>
      <c r="D19" s="291">
        <f>VLOOKUP(A19,'Company Calc'!D:M,10,FALSE)</f>
        <v>5.7532252461351492</v>
      </c>
      <c r="E19" s="30">
        <f t="shared" si="2"/>
        <v>47.053225246135149</v>
      </c>
      <c r="F19" s="292">
        <f t="shared" si="3"/>
        <v>0.13930327472482201</v>
      </c>
    </row>
    <row r="20" spans="1:6">
      <c r="A20" t="s">
        <v>110</v>
      </c>
      <c r="B20" t="s">
        <v>659</v>
      </c>
      <c r="C20" s="30">
        <v>12.68</v>
      </c>
      <c r="D20" s="291">
        <f>VLOOKUP(A20,'Company Calc'!D:M,10,FALSE)</f>
        <v>1.4383063115337875</v>
      </c>
      <c r="E20" s="30">
        <f t="shared" ref="E20" si="4">C20+D20</f>
        <v>14.118306311533788</v>
      </c>
      <c r="F20" s="452">
        <f t="shared" ref="F20" si="5">+D20/C20</f>
        <v>0.11343109712411574</v>
      </c>
    </row>
    <row r="21" spans="1:6">
      <c r="A21" t="s">
        <v>111</v>
      </c>
      <c r="B21" t="s">
        <v>276</v>
      </c>
      <c r="C21" s="291">
        <v>14.05</v>
      </c>
      <c r="D21" s="291">
        <f>VLOOKUP(A21,'Company Calc'!D:M,10,FALSE)</f>
        <v>1.5652156919632394</v>
      </c>
      <c r="E21" s="30">
        <f t="shared" si="2"/>
        <v>15.61521569196324</v>
      </c>
      <c r="F21" s="292">
        <f t="shared" si="3"/>
        <v>0.11140325209702771</v>
      </c>
    </row>
    <row r="22" spans="1:6">
      <c r="A22" t="s">
        <v>112</v>
      </c>
      <c r="B22" t="s">
        <v>277</v>
      </c>
      <c r="C22" s="291">
        <v>18.190000000000001</v>
      </c>
      <c r="D22" s="291">
        <f>VLOOKUP(A22,'Company Calc'!D:M,10,FALSE)</f>
        <v>1.9882469600614121</v>
      </c>
      <c r="E22" s="30">
        <f t="shared" si="2"/>
        <v>20.178246960061415</v>
      </c>
      <c r="F22" s="292">
        <f t="shared" si="3"/>
        <v>0.10930439582525629</v>
      </c>
    </row>
    <row r="23" spans="1:6">
      <c r="A23" t="s">
        <v>361</v>
      </c>
      <c r="B23" t="s">
        <v>278</v>
      </c>
      <c r="C23" s="291">
        <v>23.64</v>
      </c>
      <c r="D23" s="291">
        <f>VLOOKUP(A23,'Company Calc'!D:M,10,FALSE)</f>
        <v>2.8766126230675755</v>
      </c>
      <c r="E23" s="30">
        <f t="shared" si="2"/>
        <v>26.516612623067576</v>
      </c>
      <c r="F23" s="292">
        <f t="shared" si="3"/>
        <v>0.12168412111114955</v>
      </c>
    </row>
    <row r="24" spans="1:6">
      <c r="A24" s="448" t="s">
        <v>661</v>
      </c>
      <c r="B24" s="448" t="s">
        <v>662</v>
      </c>
      <c r="C24" s="466">
        <v>7.5</v>
      </c>
      <c r="D24" s="291">
        <f>VLOOKUP(A24,'Company Calc'!D:M,10,FALSE)</f>
        <v>0.66383368224636352</v>
      </c>
      <c r="E24" s="450">
        <f t="shared" si="2"/>
        <v>8.1638336822463629</v>
      </c>
      <c r="F24" s="292">
        <f t="shared" si="3"/>
        <v>8.8511157632848475E-2</v>
      </c>
    </row>
    <row r="25" spans="1:6">
      <c r="A25" t="s">
        <v>359</v>
      </c>
      <c r="B25" t="s">
        <v>279</v>
      </c>
      <c r="C25" s="30">
        <v>8.6</v>
      </c>
      <c r="D25" s="291">
        <f>VLOOKUP(A25,'Company Calc'!D:M,10,FALSE)</f>
        <v>0.72240724244457211</v>
      </c>
      <c r="E25" s="30">
        <f t="shared" si="2"/>
        <v>9.3224072424445712</v>
      </c>
      <c r="F25" s="292">
        <f t="shared" si="3"/>
        <v>8.4000842144717688E-2</v>
      </c>
    </row>
    <row r="26" spans="1:6">
      <c r="A26" t="s">
        <v>114</v>
      </c>
      <c r="B26" t="s">
        <v>280</v>
      </c>
      <c r="C26" s="30">
        <v>12.33</v>
      </c>
      <c r="D26" s="291">
        <f>VLOOKUP(A26,'Company Calc'!D:M,10,FALSE)</f>
        <v>0.91765244310526717</v>
      </c>
      <c r="E26" s="30">
        <f t="shared" si="2"/>
        <v>13.247652443105267</v>
      </c>
      <c r="F26" s="292">
        <f t="shared" si="3"/>
        <v>7.4424366837410147E-2</v>
      </c>
    </row>
    <row r="27" spans="1:6">
      <c r="A27" t="s">
        <v>363</v>
      </c>
      <c r="B27" t="s">
        <v>281</v>
      </c>
      <c r="C27" s="30">
        <v>15.94</v>
      </c>
      <c r="D27" s="291">
        <f>VLOOKUP(A27,'Company Calc'!D:M,10,FALSE)</f>
        <v>1.3276673644927268</v>
      </c>
      <c r="E27" s="30">
        <f t="shared" si="2"/>
        <v>17.267667364492727</v>
      </c>
      <c r="F27" s="292">
        <f t="shared" si="3"/>
        <v>8.3291553606821014E-2</v>
      </c>
    </row>
    <row r="28" spans="1:6">
      <c r="D28" s="291"/>
      <c r="E28" s="30"/>
      <c r="F28" s="30"/>
    </row>
    <row r="29" spans="1:6">
      <c r="B29" s="15" t="s">
        <v>282</v>
      </c>
      <c r="D29" s="291"/>
      <c r="E29" s="30"/>
      <c r="F29" s="30"/>
    </row>
    <row r="30" spans="1:6">
      <c r="A30" t="s">
        <v>115</v>
      </c>
      <c r="B30" t="s">
        <v>283</v>
      </c>
      <c r="C30" s="30">
        <v>6.96</v>
      </c>
      <c r="D30" s="291">
        <f>VLOOKUP(A30,'Company Calc'!D:M,10,FALSE)</f>
        <v>0.66383368224636352</v>
      </c>
      <c r="E30" s="30">
        <f t="shared" si="2"/>
        <v>7.6238336822463637</v>
      </c>
      <c r="F30" s="292">
        <f t="shared" ref="F30:F34" si="6">+D30/C30</f>
        <v>9.537840262160395E-2</v>
      </c>
    </row>
    <row r="31" spans="1:6">
      <c r="A31" t="s">
        <v>115</v>
      </c>
      <c r="B31" t="s">
        <v>284</v>
      </c>
      <c r="C31" s="30">
        <f>+C30</f>
        <v>6.96</v>
      </c>
      <c r="D31" s="291">
        <f>VLOOKUP(A31,'Company Calc'!D:M,10,FALSE)</f>
        <v>0.66383368224636352</v>
      </c>
      <c r="E31" s="30">
        <f t="shared" si="2"/>
        <v>7.6238336822463637</v>
      </c>
      <c r="F31" s="292">
        <f t="shared" si="6"/>
        <v>9.537840262160395E-2</v>
      </c>
    </row>
    <row r="32" spans="1:6">
      <c r="A32" t="s">
        <v>365</v>
      </c>
      <c r="B32" t="s">
        <v>285</v>
      </c>
      <c r="C32" s="30">
        <f t="shared" ref="C32:C34" si="7">+C31</f>
        <v>6.96</v>
      </c>
      <c r="D32" s="291">
        <f>VLOOKUP(A32,'Company Calc'!D:M,10,FALSE)</f>
        <v>0.72240724244457211</v>
      </c>
      <c r="E32" s="30">
        <f>C32+D32</f>
        <v>7.6824072424445724</v>
      </c>
      <c r="F32" s="292">
        <f t="shared" si="6"/>
        <v>0.10379414402939255</v>
      </c>
    </row>
    <row r="33" spans="1:6">
      <c r="A33" t="s">
        <v>367</v>
      </c>
      <c r="B33" t="s">
        <v>286</v>
      </c>
      <c r="C33" s="30">
        <f t="shared" si="7"/>
        <v>6.96</v>
      </c>
      <c r="D33" s="291">
        <f>VLOOKUP(A33,'Company Calc'!D:M,10,FALSE)</f>
        <v>0.91765244310526739</v>
      </c>
      <c r="E33" s="30">
        <f t="shared" si="2"/>
        <v>7.8776524431052675</v>
      </c>
      <c r="F33" s="292">
        <f t="shared" si="6"/>
        <v>0.13184661538868783</v>
      </c>
    </row>
    <row r="34" spans="1:6">
      <c r="A34" t="s">
        <v>369</v>
      </c>
      <c r="B34" t="s">
        <v>577</v>
      </c>
      <c r="C34" s="30">
        <f t="shared" si="7"/>
        <v>6.96</v>
      </c>
      <c r="D34" s="291">
        <f>VLOOKUP(A34,'Company Calc'!D:M,10,FALSE)</f>
        <v>1.3276673644927273</v>
      </c>
      <c r="E34" s="30">
        <f>C34+D34</f>
        <v>8.2876673644927266</v>
      </c>
      <c r="F34" s="292">
        <f t="shared" si="6"/>
        <v>0.19075680524320793</v>
      </c>
    </row>
    <row r="35" spans="1:6">
      <c r="B35" t="s">
        <v>639</v>
      </c>
      <c r="C35" s="30">
        <v>8.5</v>
      </c>
      <c r="D35" s="291">
        <f>+'Company Calc'!M99</f>
        <v>0.66383368224636352</v>
      </c>
      <c r="E35" s="30">
        <f>C35+D35</f>
        <v>9.1638336822463629</v>
      </c>
      <c r="F35" s="452">
        <f t="shared" ref="F35" si="8">+D35/C35</f>
        <v>7.8098080264278058E-2</v>
      </c>
    </row>
    <row r="36" spans="1:6">
      <c r="D36" s="291"/>
      <c r="E36" s="30"/>
      <c r="F36" s="30"/>
    </row>
    <row r="37" spans="1:6">
      <c r="B37" s="15" t="s">
        <v>287</v>
      </c>
      <c r="D37" s="291"/>
      <c r="E37" s="30"/>
      <c r="F37" s="30"/>
    </row>
    <row r="38" spans="1:6">
      <c r="A38" t="s">
        <v>332</v>
      </c>
      <c r="B38" t="s">
        <v>288</v>
      </c>
      <c r="C38" s="30">
        <v>28.44</v>
      </c>
      <c r="D38" s="291">
        <f>VLOOKUP(A38,'Company Calc'!D:M,10,FALSE)</f>
        <v>2.4405650082586892</v>
      </c>
      <c r="E38" s="30">
        <f t="shared" si="2"/>
        <v>30.880565008258692</v>
      </c>
      <c r="F38" s="292">
        <f t="shared" ref="F38:F40" si="9">+D38/C38</f>
        <v>8.5814522090671211E-2</v>
      </c>
    </row>
    <row r="39" spans="1:6">
      <c r="A39" t="s">
        <v>332</v>
      </c>
      <c r="B39" t="s">
        <v>289</v>
      </c>
      <c r="C39" s="30">
        <f>+C38</f>
        <v>28.44</v>
      </c>
      <c r="D39" s="291">
        <f>VLOOKUP(A39,'Company Calc'!D:M,10,FALSE)</f>
        <v>2.4405650082586892</v>
      </c>
      <c r="E39" s="30">
        <f t="shared" si="2"/>
        <v>30.880565008258692</v>
      </c>
      <c r="F39" s="292">
        <f t="shared" si="9"/>
        <v>8.5814522090671211E-2</v>
      </c>
    </row>
    <row r="40" spans="1:6">
      <c r="A40" t="s">
        <v>332</v>
      </c>
      <c r="B40" t="s">
        <v>290</v>
      </c>
      <c r="C40" s="30">
        <f>+C38</f>
        <v>28.44</v>
      </c>
      <c r="D40" s="291">
        <f>VLOOKUP(A40,'Company Calc'!D:M,10,FALSE)</f>
        <v>2.4405650082586892</v>
      </c>
      <c r="E40" s="30">
        <f t="shared" si="2"/>
        <v>30.880565008258692</v>
      </c>
      <c r="F40" s="292">
        <f t="shared" si="9"/>
        <v>8.5814522090671211E-2</v>
      </c>
    </row>
    <row r="41" spans="1:6">
      <c r="A41" t="s">
        <v>637</v>
      </c>
      <c r="B41" s="448" t="s">
        <v>637</v>
      </c>
      <c r="C41" s="450">
        <v>0</v>
      </c>
      <c r="D41" s="466">
        <f>VLOOKUP(A41,'Company Calc'!D:M,10,FALSE)</f>
        <v>2.4405650082586892</v>
      </c>
      <c r="E41" s="450">
        <f t="shared" ref="E41" si="10">C41+D41</f>
        <v>2.4405650082586892</v>
      </c>
      <c r="F41" s="467" t="e">
        <f t="shared" ref="F41" si="11">+D41/C41</f>
        <v>#DIV/0!</v>
      </c>
    </row>
    <row r="42" spans="1:6">
      <c r="C42" s="30"/>
      <c r="D42" s="291"/>
      <c r="E42" s="30"/>
      <c r="F42" s="292"/>
    </row>
    <row r="43" spans="1:6">
      <c r="C43" s="30"/>
      <c r="D43" s="291"/>
      <c r="E43" s="30"/>
      <c r="F43" s="292"/>
    </row>
    <row r="44" spans="1:6">
      <c r="C44" s="30"/>
      <c r="D44" s="291"/>
      <c r="E44" s="30"/>
      <c r="F44" s="292"/>
    </row>
    <row r="45" spans="1:6">
      <c r="D45" s="291"/>
      <c r="E45" s="30"/>
      <c r="F45" s="30"/>
    </row>
    <row r="46" spans="1:6">
      <c r="B46" s="15" t="s">
        <v>291</v>
      </c>
      <c r="D46" s="291"/>
      <c r="E46" s="30"/>
      <c r="F46" s="30"/>
    </row>
    <row r="47" spans="1:6">
      <c r="A47" t="s">
        <v>116</v>
      </c>
      <c r="B47" t="s">
        <v>292</v>
      </c>
      <c r="C47" s="30">
        <v>28.44</v>
      </c>
      <c r="D47" s="291">
        <f>D40</f>
        <v>2.4405650082586892</v>
      </c>
      <c r="E47" s="30">
        <f t="shared" si="2"/>
        <v>30.880565008258692</v>
      </c>
      <c r="F47" s="292">
        <f>+D47/C47</f>
        <v>8.5814522090671211E-2</v>
      </c>
    </row>
    <row r="48" spans="1:6">
      <c r="B48" t="s">
        <v>638</v>
      </c>
      <c r="C48">
        <v>28.52</v>
      </c>
      <c r="D48" s="291">
        <f>+'Company Calc'!M101</f>
        <v>2.4405650082586892</v>
      </c>
      <c r="E48" s="30">
        <f t="shared" si="2"/>
        <v>30.960565008258691</v>
      </c>
      <c r="F48" s="292">
        <f>+D48/C48</f>
        <v>8.5573808143712807E-2</v>
      </c>
    </row>
    <row r="49" spans="1:6">
      <c r="D49" s="291"/>
      <c r="E49" s="30"/>
      <c r="F49" s="30"/>
    </row>
    <row r="50" spans="1:6">
      <c r="B50" s="15" t="s">
        <v>293</v>
      </c>
      <c r="D50" s="291"/>
      <c r="E50" s="30"/>
      <c r="F50" s="30"/>
    </row>
    <row r="51" spans="1:6">
      <c r="B51" t="s">
        <v>294</v>
      </c>
      <c r="C51" s="30">
        <v>144.99</v>
      </c>
      <c r="D51" s="20">
        <f>References!B58</f>
        <v>50.429999999999978</v>
      </c>
      <c r="E51" s="30">
        <f t="shared" si="2"/>
        <v>195.42</v>
      </c>
      <c r="F51" s="292">
        <f>+D51/C51</f>
        <v>0.34781709083385043</v>
      </c>
    </row>
    <row r="52" spans="1:6">
      <c r="D52" s="291"/>
      <c r="E52" s="30"/>
      <c r="F52" s="30"/>
    </row>
    <row r="53" spans="1:6">
      <c r="B53" s="15" t="s">
        <v>295</v>
      </c>
      <c r="D53" s="291"/>
      <c r="E53" s="30"/>
      <c r="F53" s="30"/>
    </row>
    <row r="54" spans="1:6">
      <c r="A54" t="s">
        <v>119</v>
      </c>
      <c r="B54" t="s">
        <v>296</v>
      </c>
      <c r="C54" s="30">
        <v>21.69</v>
      </c>
      <c r="D54" s="291">
        <f>VLOOKUP(A54,'Company Calc'!D:M,10,FALSE)</f>
        <v>3.4167910115621649</v>
      </c>
      <c r="E54" s="30">
        <f t="shared" si="2"/>
        <v>25.106791011562166</v>
      </c>
      <c r="F54" s="292">
        <f t="shared" ref="F54:F59" si="12">+D54/C54</f>
        <v>0.15752840071748109</v>
      </c>
    </row>
    <row r="55" spans="1:6">
      <c r="A55" t="s">
        <v>121</v>
      </c>
      <c r="B55" t="s">
        <v>297</v>
      </c>
      <c r="C55" s="30">
        <v>31</v>
      </c>
      <c r="D55" s="291">
        <f>VLOOKUP(A55,'Company Calc'!D:M,10,FALSE)</f>
        <v>4.8811300165173783</v>
      </c>
      <c r="E55" s="30">
        <f t="shared" si="2"/>
        <v>35.881130016517375</v>
      </c>
      <c r="F55" s="292">
        <f t="shared" si="12"/>
        <v>0.15745580698443157</v>
      </c>
    </row>
    <row r="56" spans="1:6">
      <c r="A56" t="s">
        <v>123</v>
      </c>
      <c r="B56" t="s">
        <v>298</v>
      </c>
      <c r="C56" s="30">
        <v>42.82</v>
      </c>
      <c r="D56" s="291">
        <f>VLOOKUP(A56,'Company Calc'!D:M,10,FALSE)</f>
        <v>6.3259445014065232</v>
      </c>
      <c r="E56" s="30">
        <f t="shared" si="2"/>
        <v>49.145944501406525</v>
      </c>
      <c r="F56" s="292">
        <f t="shared" si="12"/>
        <v>0.14773340731916215</v>
      </c>
    </row>
    <row r="57" spans="1:6">
      <c r="A57" t="s">
        <v>126</v>
      </c>
      <c r="B57" t="s">
        <v>299</v>
      </c>
      <c r="C57" s="30">
        <v>56.85</v>
      </c>
      <c r="D57" s="291">
        <f>VLOOKUP(A57,'Company Calc'!D:M,10,FALSE)</f>
        <v>9.2350979912508802</v>
      </c>
      <c r="E57" s="30">
        <f t="shared" si="2"/>
        <v>66.085097991250876</v>
      </c>
      <c r="F57" s="292">
        <f t="shared" si="12"/>
        <v>0.16244675446351592</v>
      </c>
    </row>
    <row r="58" spans="1:6">
      <c r="A58" t="s">
        <v>127</v>
      </c>
      <c r="B58" t="s">
        <v>300</v>
      </c>
      <c r="C58" s="30">
        <v>77.709999999999994</v>
      </c>
      <c r="D58" s="291">
        <f>VLOOKUP(A58,'Company Calc'!D:M,10,FALSE)</f>
        <v>11.968530800500615</v>
      </c>
      <c r="E58" s="30">
        <f t="shared" si="2"/>
        <v>89.67853080050061</v>
      </c>
      <c r="F58" s="292">
        <f t="shared" si="12"/>
        <v>0.15401532364561338</v>
      </c>
    </row>
    <row r="59" spans="1:6">
      <c r="A59" t="s">
        <v>129</v>
      </c>
      <c r="B59" t="s">
        <v>301</v>
      </c>
      <c r="C59" s="30">
        <v>108.65</v>
      </c>
      <c r="D59" s="291">
        <f>VLOOKUP(A59,'Company Calc'!D:M,10,FALSE)</f>
        <v>16.400596855498392</v>
      </c>
      <c r="E59" s="30">
        <f t="shared" si="2"/>
        <v>125.0505968554984</v>
      </c>
      <c r="F59" s="292">
        <f t="shared" si="12"/>
        <v>0.15094888960421898</v>
      </c>
    </row>
    <row r="60" spans="1:6">
      <c r="A60" t="s">
        <v>130</v>
      </c>
      <c r="B60" t="s">
        <v>302</v>
      </c>
      <c r="C60" s="30">
        <v>145.79</v>
      </c>
      <c r="D60" s="291">
        <f>VLOOKUP(A60,'Company Calc'!D:M,10,FALSE)</f>
        <v>19.134029664748123</v>
      </c>
      <c r="E60" s="30">
        <f t="shared" si="2"/>
        <v>164.9240296647481</v>
      </c>
      <c r="F60" s="292">
        <f>+D60/C60</f>
        <v>0.13124377299367668</v>
      </c>
    </row>
    <row r="61" spans="1:6">
      <c r="D61" s="291"/>
      <c r="E61" s="30"/>
      <c r="F61" s="30"/>
    </row>
    <row r="62" spans="1:6">
      <c r="B62" t="s">
        <v>303</v>
      </c>
      <c r="C62" s="30">
        <v>24.69</v>
      </c>
      <c r="D62" s="291">
        <f>D54</f>
        <v>3.4167910115621649</v>
      </c>
      <c r="E62" s="30">
        <f t="shared" si="2"/>
        <v>28.106791011562166</v>
      </c>
      <c r="F62" s="292">
        <f t="shared" ref="F62:F68" si="13">+D62/C62</f>
        <v>0.13838764728886857</v>
      </c>
    </row>
    <row r="63" spans="1:6">
      <c r="B63" t="s">
        <v>304</v>
      </c>
      <c r="C63" s="30">
        <v>34</v>
      </c>
      <c r="D63" s="291">
        <f t="shared" ref="D63:D68" si="14">D55</f>
        <v>4.8811300165173783</v>
      </c>
      <c r="E63" s="30">
        <f t="shared" si="2"/>
        <v>38.881130016517375</v>
      </c>
      <c r="F63" s="292">
        <f t="shared" si="13"/>
        <v>0.14356264754462877</v>
      </c>
    </row>
    <row r="64" spans="1:6">
      <c r="B64" t="s">
        <v>305</v>
      </c>
      <c r="C64" s="30">
        <v>45.82</v>
      </c>
      <c r="D64" s="291">
        <f t="shared" si="14"/>
        <v>6.3259445014065232</v>
      </c>
      <c r="E64" s="30">
        <f t="shared" si="2"/>
        <v>52.145944501406525</v>
      </c>
      <c r="F64" s="292">
        <f t="shared" si="13"/>
        <v>0.13806077043663298</v>
      </c>
    </row>
    <row r="65" spans="1:6">
      <c r="B65" t="s">
        <v>306</v>
      </c>
      <c r="C65" s="30">
        <v>59.85</v>
      </c>
      <c r="D65" s="291">
        <f t="shared" si="14"/>
        <v>9.2350979912508802</v>
      </c>
      <c r="E65" s="30">
        <f t="shared" si="2"/>
        <v>69.085097991250876</v>
      </c>
      <c r="F65" s="292">
        <f t="shared" si="13"/>
        <v>0.15430406000419181</v>
      </c>
    </row>
    <row r="66" spans="1:6">
      <c r="B66" t="s">
        <v>307</v>
      </c>
      <c r="C66" s="30">
        <v>80.709999999999994</v>
      </c>
      <c r="D66" s="291">
        <f t="shared" si="14"/>
        <v>11.968530800500615</v>
      </c>
      <c r="E66" s="30">
        <f t="shared" si="2"/>
        <v>92.67853080050061</v>
      </c>
      <c r="F66" s="292">
        <f t="shared" si="13"/>
        <v>0.14829055631892721</v>
      </c>
    </row>
    <row r="67" spans="1:6">
      <c r="B67" t="s">
        <v>308</v>
      </c>
      <c r="C67" s="30">
        <v>111.65</v>
      </c>
      <c r="D67" s="291">
        <f t="shared" si="14"/>
        <v>16.400596855498392</v>
      </c>
      <c r="E67" s="30">
        <f t="shared" si="2"/>
        <v>128.05059685549838</v>
      </c>
      <c r="F67" s="292">
        <f t="shared" si="13"/>
        <v>0.14689294093594618</v>
      </c>
    </row>
    <row r="68" spans="1:6">
      <c r="B68" t="s">
        <v>309</v>
      </c>
      <c r="C68" s="30">
        <v>148.79</v>
      </c>
      <c r="D68" s="291">
        <f t="shared" si="14"/>
        <v>19.134029664748123</v>
      </c>
      <c r="E68" s="30">
        <f t="shared" si="2"/>
        <v>167.9240296647481</v>
      </c>
      <c r="F68" s="292">
        <f t="shared" si="13"/>
        <v>0.12859755134584397</v>
      </c>
    </row>
    <row r="69" spans="1:6">
      <c r="D69" s="291"/>
      <c r="E69" s="30"/>
      <c r="F69" s="30"/>
    </row>
    <row r="70" spans="1:6">
      <c r="B70" t="s">
        <v>310</v>
      </c>
      <c r="C70" s="30">
        <v>26.71</v>
      </c>
      <c r="D70" s="291">
        <f>D54</f>
        <v>3.4167910115621649</v>
      </c>
      <c r="E70" s="30">
        <f t="shared" si="2"/>
        <v>30.126791011562165</v>
      </c>
      <c r="F70" s="292">
        <f t="shared" ref="F70:F76" si="15">+D70/C70</f>
        <v>0.1279217900247909</v>
      </c>
    </row>
    <row r="71" spans="1:6">
      <c r="B71" t="s">
        <v>311</v>
      </c>
      <c r="C71" s="30">
        <v>31</v>
      </c>
      <c r="D71" s="291">
        <f t="shared" ref="D71:D74" si="16">D55</f>
        <v>4.8811300165173783</v>
      </c>
      <c r="E71" s="30">
        <f t="shared" si="2"/>
        <v>35.881130016517375</v>
      </c>
      <c r="F71" s="292">
        <f t="shared" si="15"/>
        <v>0.15745580698443157</v>
      </c>
    </row>
    <row r="72" spans="1:6">
      <c r="B72" t="s">
        <v>312</v>
      </c>
      <c r="C72" s="30">
        <v>40.36</v>
      </c>
      <c r="D72" s="291">
        <f t="shared" si="16"/>
        <v>6.3259445014065232</v>
      </c>
      <c r="E72" s="30">
        <f t="shared" si="2"/>
        <v>46.685944501406524</v>
      </c>
      <c r="F72" s="292">
        <f t="shared" si="15"/>
        <v>0.15673797079798124</v>
      </c>
    </row>
    <row r="73" spans="1:6">
      <c r="B73" t="s">
        <v>339</v>
      </c>
      <c r="C73" s="98">
        <v>56.85</v>
      </c>
      <c r="D73" s="291">
        <f t="shared" si="16"/>
        <v>9.2350979912508802</v>
      </c>
      <c r="E73" s="30">
        <f t="shared" si="2"/>
        <v>66.085097991250876</v>
      </c>
      <c r="F73" s="292">
        <f t="shared" si="15"/>
        <v>0.16244675446351592</v>
      </c>
    </row>
    <row r="74" spans="1:6">
      <c r="B74" t="s">
        <v>340</v>
      </c>
      <c r="C74" s="98">
        <v>77.709999999999994</v>
      </c>
      <c r="D74" s="291">
        <f t="shared" si="16"/>
        <v>11.968530800500615</v>
      </c>
      <c r="E74" s="30">
        <f t="shared" si="2"/>
        <v>89.67853080050061</v>
      </c>
      <c r="F74" s="292">
        <f t="shared" si="15"/>
        <v>0.15401532364561338</v>
      </c>
    </row>
    <row r="75" spans="1:6">
      <c r="C75" s="98"/>
      <c r="D75" s="291"/>
      <c r="E75" s="30"/>
      <c r="F75" s="292"/>
    </row>
    <row r="76" spans="1:6">
      <c r="B76" t="s">
        <v>292</v>
      </c>
      <c r="C76" s="98">
        <f>+C38</f>
        <v>28.44</v>
      </c>
      <c r="D76" s="98">
        <f t="shared" ref="D76:E76" si="17">+D38</f>
        <v>2.4405650082586892</v>
      </c>
      <c r="E76" s="98">
        <f t="shared" si="17"/>
        <v>30.880565008258692</v>
      </c>
      <c r="F76" s="292">
        <f t="shared" si="15"/>
        <v>8.5814522090671211E-2</v>
      </c>
    </row>
    <row r="77" spans="1:6">
      <c r="D77" s="291"/>
      <c r="E77" s="30"/>
      <c r="F77" s="30"/>
    </row>
    <row r="78" spans="1:6">
      <c r="B78" s="15" t="s">
        <v>313</v>
      </c>
      <c r="D78" s="291"/>
      <c r="E78" s="30"/>
      <c r="F78" s="30"/>
    </row>
    <row r="79" spans="1:6">
      <c r="D79" s="291"/>
      <c r="E79" s="30"/>
      <c r="F79" s="30"/>
    </row>
    <row r="80" spans="1:6">
      <c r="A80" t="s">
        <v>158</v>
      </c>
      <c r="B80" t="s">
        <v>314</v>
      </c>
      <c r="C80" s="30">
        <v>6</v>
      </c>
      <c r="D80" s="291">
        <f>VLOOKUP(A80,'Company Calc'!D:M,10,FALSE)</f>
        <v>0.722407242444572</v>
      </c>
      <c r="E80" s="30">
        <f t="shared" si="2"/>
        <v>6.7224072424445716</v>
      </c>
      <c r="F80" s="292">
        <f t="shared" ref="F80:F81" si="18">+D80/C80</f>
        <v>0.12040120707409534</v>
      </c>
    </row>
    <row r="81" spans="1:6">
      <c r="A81" t="s">
        <v>330</v>
      </c>
      <c r="B81" t="s">
        <v>315</v>
      </c>
      <c r="C81" s="30">
        <v>8</v>
      </c>
      <c r="D81" s="291">
        <f>D80</f>
        <v>0.722407242444572</v>
      </c>
      <c r="E81" s="30">
        <f t="shared" si="2"/>
        <v>8.7224072424445716</v>
      </c>
      <c r="F81" s="292">
        <f t="shared" si="18"/>
        <v>9.0300905305571499E-2</v>
      </c>
    </row>
    <row r="82" spans="1:6">
      <c r="D82" s="291"/>
      <c r="E82" s="30"/>
      <c r="F82" s="30"/>
    </row>
    <row r="83" spans="1:6">
      <c r="A83" t="s">
        <v>159</v>
      </c>
      <c r="B83" t="s">
        <v>166</v>
      </c>
      <c r="C83" s="30">
        <v>7.67</v>
      </c>
      <c r="D83" s="291">
        <f>VLOOKUP(A83,'Company Calc'!D:M,10,FALSE)</f>
        <v>0.91765244310526728</v>
      </c>
      <c r="E83" s="30">
        <f t="shared" ref="E83:E114" si="19">C83+D83</f>
        <v>8.5876524431052665</v>
      </c>
      <c r="F83" s="292">
        <f t="shared" ref="F83:F84" si="20">+D83/C83</f>
        <v>0.11964177876209482</v>
      </c>
    </row>
    <row r="84" spans="1:6">
      <c r="A84" t="s">
        <v>329</v>
      </c>
      <c r="B84" t="s">
        <v>316</v>
      </c>
      <c r="C84" s="30">
        <v>10.67</v>
      </c>
      <c r="D84" s="291">
        <f>D83</f>
        <v>0.91765244310526728</v>
      </c>
      <c r="E84" s="30">
        <f t="shared" si="19"/>
        <v>11.587652443105267</v>
      </c>
      <c r="F84" s="292">
        <f t="shared" si="20"/>
        <v>8.6003040590934138E-2</v>
      </c>
    </row>
    <row r="85" spans="1:6">
      <c r="D85" s="291"/>
      <c r="E85" s="30"/>
      <c r="F85" s="30"/>
    </row>
    <row r="86" spans="1:6">
      <c r="A86" t="s">
        <v>389</v>
      </c>
      <c r="B86" t="s">
        <v>317</v>
      </c>
      <c r="C86" s="30">
        <v>9.9700000000000006</v>
      </c>
      <c r="D86" s="291">
        <f>VLOOKUP(A86,'Company Calc'!D:M,10,FALSE)</f>
        <v>1.3276673644927268</v>
      </c>
      <c r="E86" s="30">
        <f t="shared" si="19"/>
        <v>11.297667364492728</v>
      </c>
      <c r="F86" s="292">
        <f t="shared" ref="F86:F87" si="21">+D86/C86</f>
        <v>0.13316623515473688</v>
      </c>
    </row>
    <row r="87" spans="1:6">
      <c r="A87" t="s">
        <v>331</v>
      </c>
      <c r="B87" t="s">
        <v>318</v>
      </c>
      <c r="C87" s="30">
        <v>12.97</v>
      </c>
      <c r="D87" s="291">
        <f>D86</f>
        <v>1.3276673644927268</v>
      </c>
      <c r="E87" s="30">
        <f t="shared" si="19"/>
        <v>14.297667364492728</v>
      </c>
      <c r="F87" s="292">
        <f t="shared" si="21"/>
        <v>0.10236448454068826</v>
      </c>
    </row>
    <row r="88" spans="1:6">
      <c r="C88" s="30"/>
      <c r="D88" s="291"/>
      <c r="E88" s="30"/>
      <c r="F88" s="30"/>
    </row>
    <row r="89" spans="1:6">
      <c r="B89" t="s">
        <v>343</v>
      </c>
      <c r="C89" s="30">
        <v>28.44</v>
      </c>
      <c r="D89" s="291">
        <f>D38</f>
        <v>2.4405650082586892</v>
      </c>
      <c r="E89" s="30">
        <f t="shared" si="19"/>
        <v>30.880565008258692</v>
      </c>
      <c r="F89" s="292">
        <f>+D89/C89</f>
        <v>8.5814522090671211E-2</v>
      </c>
    </row>
    <row r="90" spans="1:6">
      <c r="C90" s="30"/>
      <c r="D90" s="291"/>
      <c r="E90" s="30"/>
      <c r="F90" s="30"/>
    </row>
    <row r="91" spans="1:6">
      <c r="A91" t="s">
        <v>580</v>
      </c>
      <c r="B91" t="s">
        <v>337</v>
      </c>
      <c r="C91" s="30">
        <v>6.51</v>
      </c>
      <c r="D91" s="291">
        <f>VLOOKUP(A91,'Company Calc'!D:M,10,FALSE)</f>
        <v>0.66383368224636352</v>
      </c>
      <c r="E91" s="30">
        <f t="shared" si="19"/>
        <v>7.1738336822463635</v>
      </c>
      <c r="F91" s="292">
        <f>+D91/C91</f>
        <v>0.10197137976134617</v>
      </c>
    </row>
    <row r="92" spans="1:6">
      <c r="C92" s="30"/>
      <c r="D92" s="291"/>
      <c r="E92" s="30"/>
      <c r="F92" s="30"/>
    </row>
    <row r="93" spans="1:6">
      <c r="B93" t="s">
        <v>319</v>
      </c>
      <c r="C93" s="30">
        <v>25.97</v>
      </c>
      <c r="D93" s="291">
        <f>D80*References!B12</f>
        <v>3.1304313839264784</v>
      </c>
      <c r="E93" s="30">
        <f t="shared" si="19"/>
        <v>29.100431383926477</v>
      </c>
      <c r="F93" s="292">
        <f t="shared" ref="F93:F95" si="22">+D93/C93</f>
        <v>0.12054029202643352</v>
      </c>
    </row>
    <row r="94" spans="1:6">
      <c r="B94" t="s">
        <v>320</v>
      </c>
      <c r="C94" s="30">
        <v>33.24</v>
      </c>
      <c r="D94" s="291">
        <f>D83*References!B12</f>
        <v>3.9764939201228247</v>
      </c>
      <c r="E94" s="30">
        <f t="shared" si="19"/>
        <v>37.216493920122829</v>
      </c>
      <c r="F94" s="292">
        <f t="shared" si="22"/>
        <v>0.11962978099045801</v>
      </c>
    </row>
    <row r="95" spans="1:6">
      <c r="B95" t="s">
        <v>321</v>
      </c>
      <c r="C95" s="30">
        <v>43.2</v>
      </c>
      <c r="D95" s="291">
        <f>D86*References!B12</f>
        <v>5.7532252461351492</v>
      </c>
      <c r="E95" s="30">
        <f t="shared" si="19"/>
        <v>48.953225246135155</v>
      </c>
      <c r="F95" s="292">
        <f t="shared" si="22"/>
        <v>0.13317651032720251</v>
      </c>
    </row>
    <row r="96" spans="1:6">
      <c r="C96" s="30"/>
      <c r="D96" s="291"/>
      <c r="E96" s="30"/>
      <c r="F96" s="30"/>
    </row>
    <row r="97" spans="1:6">
      <c r="B97" s="15" t="s">
        <v>322</v>
      </c>
      <c r="D97" s="291"/>
      <c r="E97" s="30"/>
      <c r="F97" s="30"/>
    </row>
    <row r="98" spans="1:6">
      <c r="D98" s="291"/>
      <c r="E98" s="30"/>
      <c r="F98" s="30"/>
    </row>
    <row r="99" spans="1:6">
      <c r="A99" t="s">
        <v>157</v>
      </c>
      <c r="B99" t="s">
        <v>668</v>
      </c>
      <c r="C99" s="30">
        <v>5.31</v>
      </c>
      <c r="D99" s="291">
        <f>VLOOKUP(A99,'Company Calc'!D:M,10,FALSE)</f>
        <v>0.66383368224636352</v>
      </c>
      <c r="E99" s="30">
        <f t="shared" ref="E99:E100" si="23">C99+D99</f>
        <v>5.9738336822463634</v>
      </c>
      <c r="F99" s="452">
        <f t="shared" ref="F99:F100" si="24">+D99/C99</f>
        <v>0.12501575936843004</v>
      </c>
    </row>
    <row r="100" spans="1:6">
      <c r="B100" t="s">
        <v>669</v>
      </c>
      <c r="C100" s="30">
        <v>7.31</v>
      </c>
      <c r="D100" s="291">
        <f>D99</f>
        <v>0.66383368224636352</v>
      </c>
      <c r="E100" s="30">
        <f t="shared" si="23"/>
        <v>7.9738336822463634</v>
      </c>
      <c r="F100" s="452">
        <f t="shared" si="24"/>
        <v>9.081172123753263E-2</v>
      </c>
    </row>
    <row r="101" spans="1:6">
      <c r="D101" s="291"/>
      <c r="E101" s="30"/>
      <c r="F101" s="30"/>
    </row>
    <row r="102" spans="1:6">
      <c r="B102" t="s">
        <v>298</v>
      </c>
      <c r="C102" s="30">
        <v>42.82</v>
      </c>
      <c r="D102" s="291">
        <f>D56</f>
        <v>6.3259445014065232</v>
      </c>
      <c r="E102" s="30">
        <f t="shared" si="19"/>
        <v>49.145944501406525</v>
      </c>
      <c r="F102" s="292">
        <f t="shared" ref="F102:F105" si="25">+D102/C102</f>
        <v>0.14773340731916215</v>
      </c>
    </row>
    <row r="103" spans="1:6">
      <c r="B103" t="s">
        <v>299</v>
      </c>
      <c r="C103" s="30">
        <v>56.85</v>
      </c>
      <c r="D103" s="291">
        <f>D57</f>
        <v>9.2350979912508802</v>
      </c>
      <c r="E103" s="30">
        <f t="shared" si="19"/>
        <v>66.085097991250876</v>
      </c>
      <c r="F103" s="292">
        <f t="shared" si="25"/>
        <v>0.16244675446351592</v>
      </c>
    </row>
    <row r="104" spans="1:6">
      <c r="B104" t="s">
        <v>300</v>
      </c>
      <c r="C104" s="30">
        <v>77.709999999999994</v>
      </c>
      <c r="D104" s="291">
        <f>D58</f>
        <v>11.968530800500615</v>
      </c>
      <c r="E104" s="30">
        <f t="shared" si="19"/>
        <v>89.67853080050061</v>
      </c>
      <c r="F104" s="292">
        <f t="shared" si="25"/>
        <v>0.15401532364561338</v>
      </c>
    </row>
    <row r="105" spans="1:6">
      <c r="B105" t="s">
        <v>323</v>
      </c>
      <c r="C105" s="30">
        <v>108.64</v>
      </c>
      <c r="D105" s="291">
        <f>D59</f>
        <v>16.400596855498392</v>
      </c>
      <c r="E105" s="30">
        <f t="shared" si="19"/>
        <v>125.04059685549839</v>
      </c>
      <c r="F105" s="292">
        <f t="shared" si="25"/>
        <v>0.15096278401600141</v>
      </c>
    </row>
    <row r="106" spans="1:6">
      <c r="D106" s="291"/>
      <c r="E106" s="30"/>
      <c r="F106" s="30"/>
    </row>
    <row r="107" spans="1:6">
      <c r="B107" t="s">
        <v>305</v>
      </c>
      <c r="C107" s="30">
        <v>45.82</v>
      </c>
      <c r="D107" s="291">
        <f>D56</f>
        <v>6.3259445014065232</v>
      </c>
      <c r="E107" s="30">
        <f t="shared" si="19"/>
        <v>52.145944501406525</v>
      </c>
      <c r="F107" s="292">
        <f>+D107/C107</f>
        <v>0.13806077043663298</v>
      </c>
    </row>
    <row r="108" spans="1:6">
      <c r="B108" t="s">
        <v>306</v>
      </c>
      <c r="C108" s="30">
        <v>59.85</v>
      </c>
      <c r="D108" s="291">
        <f>D57</f>
        <v>9.2350979912508802</v>
      </c>
      <c r="E108" s="30">
        <f t="shared" si="19"/>
        <v>69.085097991250876</v>
      </c>
      <c r="F108" s="292">
        <f t="shared" ref="F108:F110" si="26">+D108/C108</f>
        <v>0.15430406000419181</v>
      </c>
    </row>
    <row r="109" spans="1:6">
      <c r="B109" t="s">
        <v>307</v>
      </c>
      <c r="C109" s="30">
        <v>80.709999999999994</v>
      </c>
      <c r="D109" s="291">
        <f>D58</f>
        <v>11.968530800500615</v>
      </c>
      <c r="E109" s="30">
        <f t="shared" si="19"/>
        <v>92.67853080050061</v>
      </c>
      <c r="F109" s="292">
        <f t="shared" si="26"/>
        <v>0.14829055631892721</v>
      </c>
    </row>
    <row r="110" spans="1:6">
      <c r="B110" t="s">
        <v>336</v>
      </c>
      <c r="C110" s="30">
        <v>111.64</v>
      </c>
      <c r="D110" s="291">
        <f>D59</f>
        <v>16.400596855498392</v>
      </c>
      <c r="E110" s="30">
        <f t="shared" si="19"/>
        <v>128.04059685549839</v>
      </c>
      <c r="F110" s="292">
        <f t="shared" si="26"/>
        <v>0.14690609866981719</v>
      </c>
    </row>
    <row r="111" spans="1:6">
      <c r="D111" s="291"/>
      <c r="E111" s="30"/>
      <c r="F111" s="30"/>
    </row>
    <row r="112" spans="1:6">
      <c r="B112" t="s">
        <v>324</v>
      </c>
      <c r="C112" s="30">
        <v>28.44</v>
      </c>
      <c r="D112" s="291">
        <f>D47</f>
        <v>2.4405650082586892</v>
      </c>
      <c r="E112" s="30">
        <f t="shared" si="19"/>
        <v>30.880565008258692</v>
      </c>
      <c r="F112" s="292">
        <f>+D112/C112</f>
        <v>8.5814522090671211E-2</v>
      </c>
    </row>
    <row r="113" spans="1:6">
      <c r="D113" s="291"/>
      <c r="E113" s="30"/>
      <c r="F113" s="30"/>
    </row>
    <row r="114" spans="1:6">
      <c r="B114" t="s">
        <v>325</v>
      </c>
      <c r="C114" s="30">
        <v>6.94</v>
      </c>
      <c r="D114" s="291">
        <f>+D99</f>
        <v>0.66383368224636352</v>
      </c>
      <c r="E114" s="30">
        <f t="shared" si="19"/>
        <v>7.6038336822463641</v>
      </c>
      <c r="F114" s="452">
        <f>+D114/C114</f>
        <v>9.5653268335210873E-2</v>
      </c>
    </row>
    <row r="115" spans="1:6">
      <c r="C115" s="30"/>
      <c r="D115" s="291"/>
      <c r="E115" s="30"/>
      <c r="F115" s="452"/>
    </row>
    <row r="116" spans="1:6">
      <c r="B116" t="s">
        <v>670</v>
      </c>
      <c r="C116">
        <v>23.01</v>
      </c>
      <c r="D116" s="30">
        <f>D99*References!B12</f>
        <v>2.876612623067575</v>
      </c>
      <c r="E116" s="30">
        <f t="shared" ref="E116" si="27">C116+D116</f>
        <v>25.886612623067577</v>
      </c>
      <c r="F116" s="452">
        <f>+D116/C116</f>
        <v>0.12501575936843001</v>
      </c>
    </row>
    <row r="117" spans="1:6">
      <c r="D117" s="291"/>
      <c r="E117" s="30"/>
      <c r="F117" s="30"/>
    </row>
    <row r="118" spans="1:6">
      <c r="B118" s="15" t="s">
        <v>326</v>
      </c>
      <c r="D118" s="291"/>
      <c r="E118" s="30"/>
      <c r="F118" s="30"/>
    </row>
    <row r="119" spans="1:6">
      <c r="A119" t="s">
        <v>156</v>
      </c>
      <c r="B119" t="s">
        <v>300</v>
      </c>
      <c r="C119" s="30">
        <v>160.01</v>
      </c>
      <c r="D119" s="291">
        <f>VLOOKUP(A119,'Company Calc'!D:M,10,FALSE)</f>
        <v>32.918340831393202</v>
      </c>
      <c r="E119" s="30">
        <f t="shared" ref="E119:E120" si="28">C119+D119</f>
        <v>192.9283408313932</v>
      </c>
      <c r="F119" s="292">
        <f t="shared" ref="F119:F120" si="29">+D119/C119</f>
        <v>0.20572677227294048</v>
      </c>
    </row>
    <row r="120" spans="1:6">
      <c r="A120" t="s">
        <v>156</v>
      </c>
      <c r="B120" t="s">
        <v>307</v>
      </c>
      <c r="C120" s="30">
        <v>165.03</v>
      </c>
      <c r="D120" s="291">
        <f>VLOOKUP(A120,'Company Calc'!D:M,10,FALSE)</f>
        <v>32.918340831393202</v>
      </c>
      <c r="E120" s="30">
        <f t="shared" si="28"/>
        <v>197.94834083139321</v>
      </c>
      <c r="F120" s="292">
        <f t="shared" si="29"/>
        <v>0.19946882888803977</v>
      </c>
    </row>
  </sheetData>
  <pageMargins left="0.7" right="0.7" top="0.75" bottom="0.75" header="0.3" footer="0.3"/>
  <pageSetup scale="66" fitToHeight="2" orientation="portrait" r:id="rId1"/>
  <headerFooter>
    <oddFooter>&amp;L&amp;F - &amp;A&amp;R&amp;P of &amp;N</oddFooter>
  </headerFooter>
  <rowBreaks count="2" manualBreakCount="2">
    <brk id="49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AB129"/>
  <sheetViews>
    <sheetView tabSelected="1" workbookViewId="0">
      <selection activeCell="I16" sqref="I16"/>
    </sheetView>
  </sheetViews>
  <sheetFormatPr defaultColWidth="8.85546875" defaultRowHeight="15"/>
  <cols>
    <col min="1" max="1" width="4.5703125" customWidth="1"/>
    <col min="2" max="3" width="8.140625" style="84" customWidth="1"/>
    <col min="4" max="4" width="42.28515625" customWidth="1"/>
    <col min="5" max="5" width="12.85546875" style="83" customWidth="1"/>
    <col min="6" max="6" width="10.7109375" customWidth="1"/>
    <col min="7" max="7" width="9.5703125" bestFit="1" customWidth="1"/>
    <col min="8" max="8" width="12.140625" customWidth="1"/>
    <col min="9" max="9" width="15.140625" customWidth="1"/>
    <col min="10" max="10" width="13.5703125" style="82" customWidth="1"/>
    <col min="11" max="12" width="12.85546875" bestFit="1" customWidth="1"/>
    <col min="13" max="13" width="10.7109375" bestFit="1" customWidth="1"/>
    <col min="14" max="14" width="12" customWidth="1"/>
    <col min="15" max="15" width="14.42578125" customWidth="1"/>
    <col min="16" max="16" width="13.28515625" customWidth="1"/>
    <col min="17" max="17" width="16.5703125" bestFit="1" customWidth="1"/>
    <col min="18" max="19" width="18.42578125" bestFit="1" customWidth="1"/>
    <col min="20" max="20" width="16.5703125" customWidth="1"/>
    <col min="21" max="21" width="18.7109375" customWidth="1"/>
    <col min="22" max="22" width="13.28515625" bestFit="1" customWidth="1"/>
    <col min="23" max="24" width="16.42578125" bestFit="1" customWidth="1"/>
  </cols>
  <sheetData>
    <row r="1" spans="1:27">
      <c r="A1" s="15" t="s">
        <v>269</v>
      </c>
    </row>
    <row r="2" spans="1:27">
      <c r="A2" s="15" t="s">
        <v>344</v>
      </c>
      <c r="L2" s="30"/>
    </row>
    <row r="3" spans="1:27">
      <c r="A3" s="15" t="s">
        <v>346</v>
      </c>
      <c r="L3" s="30"/>
      <c r="M3" s="30"/>
    </row>
    <row r="4" spans="1:27">
      <c r="A4" s="15" t="s">
        <v>584</v>
      </c>
      <c r="M4" s="30"/>
    </row>
    <row r="5" spans="1:27" ht="30" customHeight="1">
      <c r="A5" s="471" t="s">
        <v>643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N5" s="65"/>
    </row>
    <row r="6" spans="1:27" ht="45">
      <c r="A6" s="37"/>
      <c r="B6" s="60" t="s">
        <v>14</v>
      </c>
      <c r="C6" s="60" t="s">
        <v>99</v>
      </c>
      <c r="D6" s="90" t="s">
        <v>16</v>
      </c>
      <c r="E6" s="60" t="s">
        <v>41</v>
      </c>
      <c r="F6" s="60" t="s">
        <v>0</v>
      </c>
      <c r="G6" s="60" t="s">
        <v>1</v>
      </c>
      <c r="H6" s="60" t="s">
        <v>9</v>
      </c>
      <c r="I6" s="60" t="s">
        <v>33</v>
      </c>
      <c r="J6" s="85" t="s">
        <v>34</v>
      </c>
      <c r="K6" s="85" t="s">
        <v>348</v>
      </c>
      <c r="L6" s="60" t="s">
        <v>2</v>
      </c>
      <c r="M6" s="60" t="s">
        <v>349</v>
      </c>
      <c r="N6" s="86" t="s">
        <v>38</v>
      </c>
      <c r="O6" s="60" t="s">
        <v>35</v>
      </c>
      <c r="P6" s="60" t="s">
        <v>36</v>
      </c>
      <c r="Q6" s="60" t="s">
        <v>39</v>
      </c>
      <c r="R6" s="60" t="s">
        <v>37</v>
      </c>
      <c r="S6" s="60" t="s">
        <v>350</v>
      </c>
      <c r="T6" s="60" t="s">
        <v>40</v>
      </c>
      <c r="U6" s="60" t="s">
        <v>42</v>
      </c>
      <c r="V6" s="60" t="s">
        <v>43</v>
      </c>
      <c r="W6" s="60" t="s">
        <v>44</v>
      </c>
      <c r="X6" s="60" t="s">
        <v>351</v>
      </c>
    </row>
    <row r="7" spans="1:27">
      <c r="A7" s="451"/>
      <c r="B7" s="35">
        <v>22</v>
      </c>
      <c r="C7" s="35" t="s">
        <v>165</v>
      </c>
      <c r="D7" t="s">
        <v>356</v>
      </c>
      <c r="E7" s="23">
        <f>+SUMIF('Clallam Reg Price Out'!B:B,C7,'Clallam Reg Price Out'!AH:AH)</f>
        <v>7.302002776125323</v>
      </c>
      <c r="F7" s="20">
        <f>+References!B12</f>
        <v>4.333333333333333</v>
      </c>
      <c r="G7" s="53">
        <f t="shared" ref="G7:G8" si="0">E7*F7*12</f>
        <v>379.70414435851677</v>
      </c>
      <c r="H7" s="53">
        <f>+References!B18</f>
        <v>20</v>
      </c>
      <c r="I7" s="53">
        <f>G7*H7</f>
        <v>7594.0828871703352</v>
      </c>
      <c r="J7" s="34">
        <f t="shared" ref="J7:J24" si="1">$E$116*I7</f>
        <v>5747.3687526479116</v>
      </c>
      <c r="K7" s="52">
        <f>(References!$C$58*J7)</f>
        <v>144.91990309801702</v>
      </c>
      <c r="L7" s="52">
        <f>K7/References!$G$61</f>
        <v>148.27082371395232</v>
      </c>
      <c r="M7" s="52">
        <f t="shared" ref="M7" si="2">L7/G7*F7</f>
        <v>1.6921250723926911</v>
      </c>
      <c r="N7" s="52">
        <f>+'Proposed Rates'!C11</f>
        <v>16.809999999999999</v>
      </c>
      <c r="O7" s="52">
        <f t="shared" ref="O7:O8" si="3">M7+N7</f>
        <v>18.50212507239269</v>
      </c>
      <c r="P7" s="52">
        <f>'Proposed Rates'!E11</f>
        <v>18.50212507239269</v>
      </c>
      <c r="Q7" s="52">
        <f t="shared" ref="Q7:Q8" si="4">E7*N7*12</f>
        <v>1472.96</v>
      </c>
      <c r="R7" s="52">
        <f t="shared" ref="R7:R8" si="5">E7*P7*12</f>
        <v>1621.2308237139523</v>
      </c>
      <c r="S7" s="52">
        <f t="shared" ref="S7:S8" si="6">R7-Q7</f>
        <v>148.27082371395227</v>
      </c>
      <c r="T7" s="52">
        <f t="shared" ref="T7:T8" si="7">E7*O7*12</f>
        <v>1621.2308237139523</v>
      </c>
      <c r="U7" s="52">
        <f t="shared" ref="U7:U8" si="8">R7-T7</f>
        <v>0</v>
      </c>
      <c r="V7" s="54">
        <f t="shared" ref="V7:V8" si="9">O7</f>
        <v>18.50212507239269</v>
      </c>
      <c r="W7" s="54">
        <f t="shared" ref="W7:W8" si="10">E7*V7*12</f>
        <v>1621.2308237139523</v>
      </c>
      <c r="X7" s="54">
        <f t="shared" ref="X7:X8" si="11">W7-Q7</f>
        <v>148.27082371395227</v>
      </c>
      <c r="Y7" s="17">
        <f t="shared" ref="Y7:Y8" si="12">S7-X7</f>
        <v>0</v>
      </c>
      <c r="Z7" s="12">
        <f t="shared" ref="Z7:Z8" si="13">P7-V7</f>
        <v>0</v>
      </c>
      <c r="AA7" s="12">
        <f>((H7*$E$116*F7*References!$C$58)/References!$G$61)-'Company Calc'!M7</f>
        <v>0</v>
      </c>
    </row>
    <row r="8" spans="1:27">
      <c r="A8" s="451"/>
      <c r="B8" s="35">
        <v>22</v>
      </c>
      <c r="C8" s="35" t="s">
        <v>170</v>
      </c>
      <c r="D8" t="s">
        <v>110</v>
      </c>
      <c r="E8" s="23">
        <f>+SUMIF('Clallam Reg Price Out'!B:B,C8,'Clallam Reg Price Out'!AH:AH)</f>
        <v>1</v>
      </c>
      <c r="F8" s="20">
        <f>+References!B13</f>
        <v>2.1666666666666665</v>
      </c>
      <c r="G8" s="53">
        <f t="shared" si="0"/>
        <v>26</v>
      </c>
      <c r="H8" s="53">
        <f>+References!B19</f>
        <v>34</v>
      </c>
      <c r="I8" s="53">
        <f t="shared" ref="I8" si="14">G8*H8</f>
        <v>884</v>
      </c>
      <c r="J8" s="34">
        <f t="shared" si="1"/>
        <v>669.03061934235564</v>
      </c>
      <c r="K8" s="52">
        <f>(References!$C$58*J8)</f>
        <v>16.869607066717489</v>
      </c>
      <c r="L8" s="52">
        <f>K8/References!$G$61</f>
        <v>17.259675738405452</v>
      </c>
      <c r="M8" s="52">
        <f>L8/G8*F8</f>
        <v>1.4383063115337875</v>
      </c>
      <c r="N8" s="52">
        <f>+'Proposed Rates'!C20</f>
        <v>12.68</v>
      </c>
      <c r="O8" s="79">
        <f t="shared" si="3"/>
        <v>14.118306311533788</v>
      </c>
      <c r="P8" s="52">
        <f>'Proposed Rates'!E20</f>
        <v>14.118306311533788</v>
      </c>
      <c r="Q8" s="52">
        <f t="shared" si="4"/>
        <v>152.16</v>
      </c>
      <c r="R8" s="52">
        <f t="shared" si="5"/>
        <v>169.41967573840546</v>
      </c>
      <c r="S8" s="52">
        <f t="shared" si="6"/>
        <v>17.259675738405463</v>
      </c>
      <c r="T8" s="52">
        <f t="shared" si="7"/>
        <v>169.41967573840546</v>
      </c>
      <c r="U8" s="52">
        <f t="shared" si="8"/>
        <v>0</v>
      </c>
      <c r="V8" s="54">
        <f t="shared" si="9"/>
        <v>14.118306311533788</v>
      </c>
      <c r="W8" s="54">
        <f t="shared" si="10"/>
        <v>169.41967573840546</v>
      </c>
      <c r="X8" s="54">
        <f t="shared" si="11"/>
        <v>17.259675738405463</v>
      </c>
      <c r="Y8" s="17">
        <f t="shared" si="12"/>
        <v>0</v>
      </c>
      <c r="Z8" s="12">
        <f t="shared" si="13"/>
        <v>0</v>
      </c>
      <c r="AA8" s="12">
        <f>((H8*$E$116*F8*References!$C$58)/References!$G$61)-'Company Calc'!M8</f>
        <v>0</v>
      </c>
    </row>
    <row r="9" spans="1:27">
      <c r="A9" s="472"/>
      <c r="B9" s="35">
        <v>22</v>
      </c>
      <c r="C9" s="35" t="str">
        <f>+INDEX('Clallam Reg Price Out'!B:B,MATCH(D9,'Clallam Reg Price Out'!C:C,0))</f>
        <v>35RW1</v>
      </c>
      <c r="D9" t="s">
        <v>107</v>
      </c>
      <c r="E9" s="23">
        <f>+SUMIF('Clallam Reg Price Out'!B:B,C9,'Clallam Reg Price Out'!AH:AH)</f>
        <v>1503.3900410677618</v>
      </c>
      <c r="F9" s="20">
        <f>References!B12</f>
        <v>4.333333333333333</v>
      </c>
      <c r="G9" s="53">
        <f t="shared" ref="G9:G85" si="15">E9*F9*12</f>
        <v>78176.282135523608</v>
      </c>
      <c r="H9" s="53">
        <f>References!B25</f>
        <v>37</v>
      </c>
      <c r="I9" s="53">
        <f>G9*H9</f>
        <v>2892522.4390143733</v>
      </c>
      <c r="J9" s="34">
        <f t="shared" si="1"/>
        <v>2189124.5235695108</v>
      </c>
      <c r="K9" s="52">
        <f>(References!$C$58*J9)</f>
        <v>55198.774861805185</v>
      </c>
      <c r="L9" s="52">
        <f>K9/References!$G$61</f>
        <v>56475.112402092469</v>
      </c>
      <c r="M9" s="52">
        <f t="shared" ref="M9:M22" si="16">L9/G9*F9</f>
        <v>3.1304313839264784</v>
      </c>
      <c r="N9" s="52">
        <f>'Proposed Rates'!C17</f>
        <v>24.35</v>
      </c>
      <c r="O9" s="52">
        <f t="shared" ref="O9:O72" si="17">M9+N9</f>
        <v>27.480431383926479</v>
      </c>
      <c r="P9" s="52">
        <f>'Proposed Rates'!E17</f>
        <v>27.480431383926479</v>
      </c>
      <c r="Q9" s="52">
        <f t="shared" ref="Q9:Q16" si="18">E9*N9*12</f>
        <v>439290.57</v>
      </c>
      <c r="R9" s="52">
        <f t="shared" ref="R9:R16" si="19">E9*P9*12</f>
        <v>495765.6824020925</v>
      </c>
      <c r="S9" s="52">
        <f t="shared" ref="S9:S24" si="20">R9-Q9</f>
        <v>56475.112402092491</v>
      </c>
      <c r="T9" s="52">
        <f t="shared" ref="T9:T16" si="21">E9*O9*12</f>
        <v>495765.6824020925</v>
      </c>
      <c r="U9" s="52">
        <f t="shared" ref="U9:U24" si="22">R9-T9</f>
        <v>0</v>
      </c>
      <c r="V9" s="54">
        <f t="shared" ref="V9:V24" si="23">O9</f>
        <v>27.480431383926479</v>
      </c>
      <c r="W9" s="54">
        <f t="shared" ref="W9:W16" si="24">E9*V9*12</f>
        <v>495765.6824020925</v>
      </c>
      <c r="X9" s="54">
        <f t="shared" ref="X9:X24" si="25">W9-Q9</f>
        <v>56475.112402092491</v>
      </c>
      <c r="Y9" s="17">
        <f t="shared" ref="Y9:Y72" si="26">S9-X9</f>
        <v>0</v>
      </c>
      <c r="Z9" s="12">
        <f t="shared" ref="Z9:Z72" si="27">P9-V9</f>
        <v>0</v>
      </c>
      <c r="AA9" s="12">
        <f>((H9*$E$116*F9*References!$C$58)/References!$G$61)-'Company Calc'!M9</f>
        <v>0</v>
      </c>
    </row>
    <row r="10" spans="1:27">
      <c r="A10" s="472"/>
      <c r="B10" s="35">
        <v>22</v>
      </c>
      <c r="C10" s="35" t="str">
        <f>+INDEX('Clallam Reg Price Out'!B:B,MATCH(D10,'Clallam Reg Price Out'!C:C,0))</f>
        <v>60RW1</v>
      </c>
      <c r="D10" t="s">
        <v>108</v>
      </c>
      <c r="E10" s="23">
        <f>+SUMIF('Clallam Reg Price Out'!B:B,C10,'Clallam Reg Price Out'!AH:AH)</f>
        <v>3494.1773753280845</v>
      </c>
      <c r="F10" s="20">
        <f>References!B12</f>
        <v>4.333333333333333</v>
      </c>
      <c r="G10" s="53">
        <f t="shared" si="15"/>
        <v>181697.2235170604</v>
      </c>
      <c r="H10" s="53">
        <f>References!B26</f>
        <v>47</v>
      </c>
      <c r="I10" s="53">
        <f t="shared" ref="I10:I24" si="28">G10*H10</f>
        <v>8539769.5053018387</v>
      </c>
      <c r="J10" s="34">
        <f t="shared" si="1"/>
        <v>6463085.1596980216</v>
      </c>
      <c r="K10" s="52">
        <f>(References!$C$58*J10)</f>
        <v>162966.69230178554</v>
      </c>
      <c r="L10" s="52">
        <f>K10/References!$G$61</f>
        <v>166734.90106587429</v>
      </c>
      <c r="M10" s="52">
        <f t="shared" si="16"/>
        <v>3.9764939201228247</v>
      </c>
      <c r="N10" s="52">
        <f>'Proposed Rates'!C18</f>
        <v>31.75</v>
      </c>
      <c r="O10" s="79">
        <f t="shared" si="17"/>
        <v>35.726493920122827</v>
      </c>
      <c r="P10" s="52">
        <f>'Proposed Rates'!E18</f>
        <v>35.726493920122827</v>
      </c>
      <c r="Q10" s="52">
        <f t="shared" si="18"/>
        <v>1331281.58</v>
      </c>
      <c r="R10" s="52">
        <f t="shared" si="19"/>
        <v>1498016.4810658745</v>
      </c>
      <c r="S10" s="52">
        <f t="shared" si="20"/>
        <v>166734.90106587438</v>
      </c>
      <c r="T10" s="52">
        <f t="shared" si="21"/>
        <v>1498016.4810658745</v>
      </c>
      <c r="U10" s="52">
        <f t="shared" si="22"/>
        <v>0</v>
      </c>
      <c r="V10" s="54">
        <f t="shared" si="23"/>
        <v>35.726493920122827</v>
      </c>
      <c r="W10" s="54">
        <f t="shared" si="24"/>
        <v>1498016.4810658745</v>
      </c>
      <c r="X10" s="54">
        <f t="shared" si="25"/>
        <v>166734.90106587438</v>
      </c>
      <c r="Y10" s="17">
        <f t="shared" si="26"/>
        <v>0</v>
      </c>
      <c r="Z10" s="12">
        <f t="shared" si="27"/>
        <v>0</v>
      </c>
      <c r="AA10" s="12">
        <f>((H10*$E$116*F10*References!$C$58)/References!$G$61)-'Company Calc'!M10</f>
        <v>0</v>
      </c>
    </row>
    <row r="11" spans="1:27">
      <c r="A11" s="472"/>
      <c r="B11" s="35">
        <v>22</v>
      </c>
      <c r="C11" s="35" t="str">
        <f>+INDEX('Clallam Reg Price Out'!B:B,MATCH(D11,'Clallam Reg Price Out'!C:C,0))</f>
        <v>60RW2</v>
      </c>
      <c r="D11" t="s">
        <v>109</v>
      </c>
      <c r="E11" s="23">
        <f>+SUMIF('Clallam Reg Price Out'!B:B,C11,'Clallam Reg Price Out'!AH:AH)</f>
        <v>15.395826771653544</v>
      </c>
      <c r="F11" s="20">
        <f>References!B11</f>
        <v>8.6666666666666661</v>
      </c>
      <c r="G11" s="53">
        <f t="shared" si="15"/>
        <v>1601.1659842519684</v>
      </c>
      <c r="H11" s="281">
        <f>References!B26</f>
        <v>47</v>
      </c>
      <c r="I11" s="53">
        <f t="shared" si="28"/>
        <v>75254.801259842512</v>
      </c>
      <c r="J11" s="34">
        <f t="shared" si="1"/>
        <v>56954.486759455118</v>
      </c>
      <c r="K11" s="52">
        <f>(References!$C$58*J11)</f>
        <v>1436.1073836396602</v>
      </c>
      <c r="L11" s="52">
        <f>K11/References!$G$61</f>
        <v>1469.3138772658688</v>
      </c>
      <c r="M11" s="52">
        <f t="shared" si="16"/>
        <v>7.9529878402456493</v>
      </c>
      <c r="N11" s="52">
        <f>N10*2</f>
        <v>63.5</v>
      </c>
      <c r="O11" s="52">
        <f t="shared" si="17"/>
        <v>71.452987840245655</v>
      </c>
      <c r="P11" s="52">
        <f>P10*2</f>
        <v>71.452987840245655</v>
      </c>
      <c r="Q11" s="52">
        <f t="shared" si="18"/>
        <v>11731.62</v>
      </c>
      <c r="R11" s="52">
        <f t="shared" si="19"/>
        <v>13200.93387726587</v>
      </c>
      <c r="S11" s="52">
        <f t="shared" si="20"/>
        <v>1469.3138772658695</v>
      </c>
      <c r="T11" s="52">
        <f t="shared" si="21"/>
        <v>13200.93387726587</v>
      </c>
      <c r="U11" s="52">
        <f t="shared" si="22"/>
        <v>0</v>
      </c>
      <c r="V11" s="54">
        <f t="shared" si="23"/>
        <v>71.452987840245655</v>
      </c>
      <c r="W11" s="54">
        <f t="shared" si="24"/>
        <v>13200.93387726587</v>
      </c>
      <c r="X11" s="54">
        <f t="shared" si="25"/>
        <v>1469.3138772658695</v>
      </c>
      <c r="Y11" s="17">
        <f t="shared" si="26"/>
        <v>0</v>
      </c>
      <c r="Z11" s="12">
        <f t="shared" si="27"/>
        <v>0</v>
      </c>
      <c r="AA11" s="12">
        <f>((H11*$E$116*F11*References!$C$58)/References!$G$61)-'Company Calc'!M11</f>
        <v>0</v>
      </c>
    </row>
    <row r="12" spans="1:27" ht="14.45" customHeight="1">
      <c r="A12" s="472"/>
      <c r="B12" s="35">
        <v>22</v>
      </c>
      <c r="C12" s="35" t="str">
        <f>+INDEX('Clallam Reg Price Out'!B:B,MATCH(D12,'Clallam Reg Price Out'!C:C,0))</f>
        <v>35RE1</v>
      </c>
      <c r="D12" t="s">
        <v>111</v>
      </c>
      <c r="E12" s="23">
        <f>+SUMIF('Clallam Reg Price Out'!B:B,C12,'Clallam Reg Price Out'!AH:AH)</f>
        <v>1045.2894424673784</v>
      </c>
      <c r="F12" s="20">
        <f>References!B13</f>
        <v>2.1666666666666665</v>
      </c>
      <c r="G12" s="53">
        <f t="shared" si="15"/>
        <v>27177.525504151839</v>
      </c>
      <c r="H12" s="53">
        <v>37</v>
      </c>
      <c r="I12" s="53">
        <f t="shared" si="28"/>
        <v>1005568.4436536181</v>
      </c>
      <c r="J12" s="34">
        <f t="shared" si="1"/>
        <v>761036.28806415014</v>
      </c>
      <c r="K12" s="52">
        <f>(References!$C$58*J12)</f>
        <v>19189.530003537537</v>
      </c>
      <c r="L12" s="52">
        <f>K12/References!$G$61</f>
        <v>19633.241255921359</v>
      </c>
      <c r="M12" s="52">
        <f t="shared" si="16"/>
        <v>1.5652156919632394</v>
      </c>
      <c r="N12" s="52">
        <f>'Proposed Rates'!C21</f>
        <v>14.05</v>
      </c>
      <c r="O12" s="52">
        <f t="shared" si="17"/>
        <v>15.61521569196324</v>
      </c>
      <c r="P12" s="52">
        <f>'Proposed Rates'!E21</f>
        <v>15.61521569196324</v>
      </c>
      <c r="Q12" s="52">
        <f t="shared" si="18"/>
        <v>176235.80000000002</v>
      </c>
      <c r="R12" s="52">
        <f t="shared" si="19"/>
        <v>195869.04125592136</v>
      </c>
      <c r="S12" s="52">
        <f t="shared" si="20"/>
        <v>19633.241255921341</v>
      </c>
      <c r="T12" s="52">
        <f t="shared" si="21"/>
        <v>195869.04125592136</v>
      </c>
      <c r="U12" s="52">
        <f t="shared" si="22"/>
        <v>0</v>
      </c>
      <c r="V12" s="54">
        <f t="shared" si="23"/>
        <v>15.61521569196324</v>
      </c>
      <c r="W12" s="54">
        <f t="shared" si="24"/>
        <v>195869.04125592136</v>
      </c>
      <c r="X12" s="54">
        <f t="shared" si="25"/>
        <v>19633.241255921341</v>
      </c>
      <c r="Y12" s="17">
        <f t="shared" si="26"/>
        <v>0</v>
      </c>
      <c r="Z12" s="12">
        <f t="shared" si="27"/>
        <v>0</v>
      </c>
      <c r="AA12" s="12">
        <f>((H12*$E$116*F12*References!$C$58)/References!$G$61)-'Company Calc'!M12</f>
        <v>0</v>
      </c>
    </row>
    <row r="13" spans="1:27">
      <c r="A13" s="472"/>
      <c r="B13" s="35">
        <v>22</v>
      </c>
      <c r="C13" s="35" t="str">
        <f>+INDEX('Clallam Reg Price Out'!B:B,MATCH(D13,'Clallam Reg Price Out'!C:C,0))</f>
        <v>60RE1</v>
      </c>
      <c r="D13" t="s">
        <v>112</v>
      </c>
      <c r="E13" s="23">
        <f>+SUMIF('Clallam Reg Price Out'!B:B,C13,'Clallam Reg Price Out'!AH:AH)</f>
        <v>2602.9194612424408</v>
      </c>
      <c r="F13" s="20">
        <f>References!$B$13</f>
        <v>2.1666666666666665</v>
      </c>
      <c r="G13" s="53">
        <f t="shared" si="15"/>
        <v>67675.905992303451</v>
      </c>
      <c r="H13" s="53">
        <f>References!B26</f>
        <v>47</v>
      </c>
      <c r="I13" s="53">
        <f t="shared" si="28"/>
        <v>3180767.5816382621</v>
      </c>
      <c r="J13" s="34">
        <f t="shared" si="1"/>
        <v>2407274.7795560332</v>
      </c>
      <c r="K13" s="52">
        <f>(References!$C$58*J13)</f>
        <v>60699.433566505344</v>
      </c>
      <c r="L13" s="52">
        <f>K13/References!$G$61</f>
        <v>62102.960473199651</v>
      </c>
      <c r="M13" s="52">
        <f t="shared" si="16"/>
        <v>1.9882469600614121</v>
      </c>
      <c r="N13" s="52">
        <f>'Proposed Rates'!C22</f>
        <v>18.190000000000001</v>
      </c>
      <c r="O13" s="52">
        <f t="shared" si="17"/>
        <v>20.178246960061415</v>
      </c>
      <c r="P13" s="52">
        <f>'Proposed Rates'!E22</f>
        <v>20.178246960061415</v>
      </c>
      <c r="Q13" s="52">
        <f t="shared" si="18"/>
        <v>568165.26</v>
      </c>
      <c r="R13" s="52">
        <f t="shared" si="19"/>
        <v>630268.22047319962</v>
      </c>
      <c r="S13" s="52">
        <f t="shared" si="20"/>
        <v>62102.960473199608</v>
      </c>
      <c r="T13" s="52">
        <f t="shared" si="21"/>
        <v>630268.22047319962</v>
      </c>
      <c r="U13" s="52">
        <f t="shared" si="22"/>
        <v>0</v>
      </c>
      <c r="V13" s="54">
        <f t="shared" si="23"/>
        <v>20.178246960061415</v>
      </c>
      <c r="W13" s="54">
        <f t="shared" si="24"/>
        <v>630268.22047319962</v>
      </c>
      <c r="X13" s="54">
        <f t="shared" si="25"/>
        <v>62102.960473199608</v>
      </c>
      <c r="Y13" s="17">
        <f t="shared" si="26"/>
        <v>0</v>
      </c>
      <c r="Z13" s="12">
        <f t="shared" si="27"/>
        <v>0</v>
      </c>
      <c r="AA13" s="12">
        <f>((H13*$E$116*F13*References!$C$58)/References!$G$61)-'Company Calc'!M13</f>
        <v>0</v>
      </c>
    </row>
    <row r="14" spans="1:27">
      <c r="A14" s="472"/>
      <c r="B14" s="35">
        <v>22</v>
      </c>
      <c r="C14" s="35" t="str">
        <f>+INDEX('Clallam Reg Price Out'!B:B,MATCH(D14,'Clallam Reg Price Out'!C:C,0))</f>
        <v>60RE2</v>
      </c>
      <c r="D14" t="s">
        <v>113</v>
      </c>
      <c r="E14" s="23">
        <f>+SUMIF('Clallam Reg Price Out'!B:B,C14,'Clallam Reg Price Out'!AH:AH)</f>
        <v>3.0833333333333335</v>
      </c>
      <c r="F14" s="20">
        <f>References!B13*2</f>
        <v>4.333333333333333</v>
      </c>
      <c r="G14" s="53">
        <f t="shared" si="15"/>
        <v>160.33333333333331</v>
      </c>
      <c r="H14" s="53">
        <f>References!B26</f>
        <v>47</v>
      </c>
      <c r="I14" s="53">
        <f t="shared" si="28"/>
        <v>7535.6666666666661</v>
      </c>
      <c r="J14" s="34">
        <f t="shared" si="1"/>
        <v>5703.1580737076292</v>
      </c>
      <c r="K14" s="52">
        <f>(References!$C$58*J14)</f>
        <v>143.80513082853781</v>
      </c>
      <c r="L14" s="52">
        <f>K14/References!$G$61</f>
        <v>147.1302750445445</v>
      </c>
      <c r="M14" s="52">
        <f t="shared" si="16"/>
        <v>3.9764939201228247</v>
      </c>
      <c r="N14" s="52">
        <f>N13*2</f>
        <v>36.380000000000003</v>
      </c>
      <c r="O14" s="52">
        <f t="shared" si="17"/>
        <v>40.35649392012283</v>
      </c>
      <c r="P14" s="52">
        <f>P13*2</f>
        <v>40.35649392012283</v>
      </c>
      <c r="Q14" s="52">
        <f t="shared" si="18"/>
        <v>1346.0600000000002</v>
      </c>
      <c r="R14" s="52">
        <f t="shared" si="19"/>
        <v>1493.1902750445447</v>
      </c>
      <c r="S14" s="52">
        <f t="shared" si="20"/>
        <v>147.13027504454453</v>
      </c>
      <c r="T14" s="52">
        <f t="shared" si="21"/>
        <v>1493.1902750445447</v>
      </c>
      <c r="U14" s="52">
        <f t="shared" si="22"/>
        <v>0</v>
      </c>
      <c r="V14" s="54">
        <f t="shared" si="23"/>
        <v>40.35649392012283</v>
      </c>
      <c r="W14" s="54">
        <f t="shared" si="24"/>
        <v>1493.1902750445447</v>
      </c>
      <c r="X14" s="54">
        <f t="shared" si="25"/>
        <v>147.13027504454453</v>
      </c>
      <c r="Y14" s="17">
        <f t="shared" si="26"/>
        <v>0</v>
      </c>
      <c r="Z14" s="12">
        <f t="shared" si="27"/>
        <v>0</v>
      </c>
      <c r="AA14" s="12">
        <f>((H14*$E$116*F14*References!$C$58)/References!$G$61)-'Company Calc'!M14</f>
        <v>0</v>
      </c>
    </row>
    <row r="15" spans="1:27">
      <c r="A15" s="472"/>
      <c r="B15" s="35">
        <v>22</v>
      </c>
      <c r="C15" s="35" t="str">
        <f>+INDEX('Clallam Reg Price Out'!B:B,MATCH(D15,'Clallam Reg Price Out'!C:C,0))</f>
        <v>35RM1</v>
      </c>
      <c r="D15" t="s">
        <v>359</v>
      </c>
      <c r="E15" s="23">
        <f>+SUMIF('Clallam Reg Price Out'!B:B,C15,'Clallam Reg Price Out'!AH:AH)</f>
        <v>139.41666666666669</v>
      </c>
      <c r="F15" s="20">
        <f>References!$B$14</f>
        <v>1</v>
      </c>
      <c r="G15" s="53">
        <f t="shared" si="15"/>
        <v>1673.0000000000002</v>
      </c>
      <c r="H15" s="53">
        <f>References!B25</f>
        <v>37</v>
      </c>
      <c r="I15" s="53">
        <f t="shared" si="28"/>
        <v>61901.000000000007</v>
      </c>
      <c r="J15" s="34">
        <f t="shared" si="1"/>
        <v>46848.036615284116</v>
      </c>
      <c r="K15" s="52">
        <f>(References!$C$58*J15)</f>
        <v>1181.2732432543885</v>
      </c>
      <c r="L15" s="52">
        <f>K15/References!$G$61</f>
        <v>1208.5873166097692</v>
      </c>
      <c r="M15" s="52">
        <f t="shared" si="16"/>
        <v>0.72240724244457211</v>
      </c>
      <c r="N15" s="52">
        <f>'Proposed Rates'!C25</f>
        <v>8.6</v>
      </c>
      <c r="O15" s="52">
        <f t="shared" si="17"/>
        <v>9.3224072424445712</v>
      </c>
      <c r="P15" s="52">
        <f>'Proposed Rates'!E25</f>
        <v>9.3224072424445712</v>
      </c>
      <c r="Q15" s="52">
        <f t="shared" si="18"/>
        <v>14387.8</v>
      </c>
      <c r="R15" s="52">
        <f t="shared" si="19"/>
        <v>15596.387316609771</v>
      </c>
      <c r="S15" s="52">
        <f t="shared" si="20"/>
        <v>1208.5873166097717</v>
      </c>
      <c r="T15" s="52">
        <f t="shared" si="21"/>
        <v>15596.387316609771</v>
      </c>
      <c r="U15" s="52">
        <f t="shared" si="22"/>
        <v>0</v>
      </c>
      <c r="V15" s="54">
        <f t="shared" si="23"/>
        <v>9.3224072424445712</v>
      </c>
      <c r="W15" s="54">
        <f t="shared" si="24"/>
        <v>15596.387316609771</v>
      </c>
      <c r="X15" s="54">
        <f t="shared" si="25"/>
        <v>1208.5873166097717</v>
      </c>
      <c r="Y15" s="17">
        <f t="shared" si="26"/>
        <v>0</v>
      </c>
      <c r="Z15" s="12">
        <f t="shared" si="27"/>
        <v>0</v>
      </c>
      <c r="AA15" s="12">
        <f>((H15*$E$116*F15*References!$C$58)/References!$G$61)-'Company Calc'!M15</f>
        <v>0</v>
      </c>
    </row>
    <row r="16" spans="1:27">
      <c r="A16" s="472"/>
      <c r="B16" s="35">
        <v>22</v>
      </c>
      <c r="C16" s="35" t="str">
        <f>+INDEX('Clallam Reg Price Out'!B:B,MATCH(D16,'Clallam Reg Price Out'!C:C,0))</f>
        <v>60RM1</v>
      </c>
      <c r="D16" t="s">
        <v>114</v>
      </c>
      <c r="E16" s="23">
        <f>+SUMIF('Clallam Reg Price Out'!B:B,C16,'Clallam Reg Price Out'!AH:AH)</f>
        <v>164.5</v>
      </c>
      <c r="F16" s="20">
        <f>References!$B$14</f>
        <v>1</v>
      </c>
      <c r="G16" s="53">
        <f t="shared" si="15"/>
        <v>1974</v>
      </c>
      <c r="H16" s="53">
        <f>References!B26</f>
        <v>47</v>
      </c>
      <c r="I16" s="53">
        <f t="shared" si="28"/>
        <v>92778</v>
      </c>
      <c r="J16" s="34">
        <f t="shared" si="1"/>
        <v>70216.428508308905</v>
      </c>
      <c r="K16" s="52">
        <f>(References!$C$58*J16)</f>
        <v>1770.5072448370081</v>
      </c>
      <c r="L16" s="52">
        <f>K16/References!$G$61</f>
        <v>1811.4459226897975</v>
      </c>
      <c r="M16" s="52">
        <f t="shared" si="16"/>
        <v>0.91765244310526717</v>
      </c>
      <c r="N16" s="52">
        <f>'Proposed Rates'!C26</f>
        <v>12.33</v>
      </c>
      <c r="O16" s="52">
        <f>M16+N16</f>
        <v>13.247652443105267</v>
      </c>
      <c r="P16" s="52">
        <f>'Proposed Rates'!E26</f>
        <v>13.247652443105267</v>
      </c>
      <c r="Q16" s="52">
        <f t="shared" si="18"/>
        <v>24339.420000000002</v>
      </c>
      <c r="R16" s="52">
        <f t="shared" si="19"/>
        <v>26150.865922689794</v>
      </c>
      <c r="S16" s="52">
        <f t="shared" si="20"/>
        <v>1811.4459226897925</v>
      </c>
      <c r="T16" s="52">
        <f t="shared" si="21"/>
        <v>26150.865922689794</v>
      </c>
      <c r="U16" s="52">
        <f t="shared" si="22"/>
        <v>0</v>
      </c>
      <c r="V16" s="54">
        <f t="shared" si="23"/>
        <v>13.247652443105267</v>
      </c>
      <c r="W16" s="54">
        <f t="shared" si="24"/>
        <v>26150.865922689794</v>
      </c>
      <c r="X16" s="54">
        <f t="shared" si="25"/>
        <v>1811.4459226897925</v>
      </c>
      <c r="Y16" s="17">
        <f t="shared" si="26"/>
        <v>0</v>
      </c>
      <c r="Z16" s="12">
        <f t="shared" si="27"/>
        <v>0</v>
      </c>
      <c r="AA16" s="12">
        <f>((H16*$E$116*F16*References!$C$58)/References!$G$61)-'Company Calc'!M16</f>
        <v>0</v>
      </c>
    </row>
    <row r="17" spans="1:27">
      <c r="A17" s="472"/>
      <c r="B17" s="35">
        <v>22</v>
      </c>
      <c r="C17" s="35" t="str">
        <f>+INDEX('Clallam Reg Price Out'!B:B,MATCH(D17,'Clallam Reg Price Out'!C:C,0))</f>
        <v>96RW1</v>
      </c>
      <c r="D17" t="s">
        <v>358</v>
      </c>
      <c r="E17" s="23">
        <f>+SUMIF('Clallam Reg Price Out'!B:B,C17,'Clallam Reg Price Out'!AH:AH)</f>
        <v>1245.2887207425345</v>
      </c>
      <c r="F17" s="20">
        <f>+References!$C$13</f>
        <v>4.333333333333333</v>
      </c>
      <c r="G17" s="53">
        <f t="shared" si="15"/>
        <v>64755.013478611792</v>
      </c>
      <c r="H17" s="53">
        <f>+References!$B$27</f>
        <v>68</v>
      </c>
      <c r="I17" s="53">
        <f>G17*H17</f>
        <v>4403340.9165456016</v>
      </c>
      <c r="J17" s="34">
        <f t="shared" si="1"/>
        <v>3332545.13639371</v>
      </c>
      <c r="K17" s="52">
        <f>(References!$C$58*J17)</f>
        <v>84030.125614167351</v>
      </c>
      <c r="L17" s="52">
        <f>K17/References!$G$61</f>
        <v>85973.118082839515</v>
      </c>
      <c r="M17" s="52">
        <f t="shared" si="16"/>
        <v>5.7532252461351492</v>
      </c>
      <c r="N17" s="52">
        <f>+'Proposed Rates'!C19</f>
        <v>41.3</v>
      </c>
      <c r="O17" s="52">
        <f t="shared" ref="O17:O22" si="29">M17+N17</f>
        <v>47.053225246135149</v>
      </c>
      <c r="P17" s="52">
        <f>+'Proposed Rates'!E19</f>
        <v>47.053225246135149</v>
      </c>
      <c r="Q17" s="52">
        <f t="shared" ref="Q17:Q22" si="30">E17*N17*12</f>
        <v>617165.09000000008</v>
      </c>
      <c r="R17" s="52">
        <f t="shared" ref="R17:R22" si="31">E17*P17*12</f>
        <v>703138.20808283961</v>
      </c>
      <c r="S17" s="52">
        <f t="shared" ref="S17:S22" si="32">R17-Q17</f>
        <v>85973.11808283953</v>
      </c>
      <c r="T17" s="52">
        <f t="shared" ref="T17:T22" si="33">E17*O17*12</f>
        <v>703138.20808283961</v>
      </c>
      <c r="U17" s="52">
        <f t="shared" ref="U17:U21" si="34">R17-T17</f>
        <v>0</v>
      </c>
      <c r="V17" s="54">
        <f t="shared" ref="V17:V22" si="35">O17</f>
        <v>47.053225246135149</v>
      </c>
      <c r="W17" s="54">
        <f t="shared" ref="W17:W22" si="36">E17*V17*12</f>
        <v>703138.20808283961</v>
      </c>
      <c r="X17" s="54">
        <f t="shared" ref="X17:X22" si="37">W17-Q17</f>
        <v>85973.11808283953</v>
      </c>
      <c r="Y17" s="17">
        <f t="shared" ref="Y17:Y22" si="38">S17-X17</f>
        <v>0</v>
      </c>
      <c r="Z17" s="12">
        <f t="shared" ref="Z17:Z22" si="39">P17-V17</f>
        <v>0</v>
      </c>
      <c r="AA17" s="12">
        <f>((H17*$E$116*F17*References!$C$58)/References!$G$61)-'Company Calc'!M17</f>
        <v>0</v>
      </c>
    </row>
    <row r="18" spans="1:27">
      <c r="A18" s="472"/>
      <c r="B18" s="35">
        <v>22</v>
      </c>
      <c r="C18" s="35" t="str">
        <f>+INDEX('Clallam Reg Price Out'!B:B,MATCH(D18,'Clallam Reg Price Out'!C:C,0))</f>
        <v>96RE1</v>
      </c>
      <c r="D18" t="s">
        <v>361</v>
      </c>
      <c r="E18" s="23">
        <f>+SUMIF('Clallam Reg Price Out'!B:B,C18,'Clallam Reg Price Out'!AH:AH)</f>
        <v>747.46823886068807</v>
      </c>
      <c r="F18" s="20">
        <f>+References!B13</f>
        <v>2.1666666666666665</v>
      </c>
      <c r="G18" s="53">
        <f t="shared" si="15"/>
        <v>19434.174210377889</v>
      </c>
      <c r="H18" s="53">
        <f>+References!$B$27</f>
        <v>68</v>
      </c>
      <c r="I18" s="53">
        <f t="shared" si="28"/>
        <v>1321523.8463056965</v>
      </c>
      <c r="J18" s="34">
        <f t="shared" si="1"/>
        <v>1000158.2775674119</v>
      </c>
      <c r="K18" s="52">
        <f>(References!$C$58*J18)</f>
        <v>25218.990968862279</v>
      </c>
      <c r="L18" s="52">
        <f>K18/References!$G$61</f>
        <v>25802.118854984939</v>
      </c>
      <c r="M18" s="52">
        <f t="shared" si="16"/>
        <v>2.8766126230675755</v>
      </c>
      <c r="N18" s="52">
        <f>+'Proposed Rates'!C23</f>
        <v>23.64</v>
      </c>
      <c r="O18" s="52">
        <f t="shared" si="29"/>
        <v>26.516612623067576</v>
      </c>
      <c r="P18" s="52">
        <f>+'Proposed Rates'!E23</f>
        <v>26.516612623067576</v>
      </c>
      <c r="Q18" s="52">
        <f t="shared" si="30"/>
        <v>212041.78999999998</v>
      </c>
      <c r="R18" s="52">
        <f t="shared" si="31"/>
        <v>237843.90885498497</v>
      </c>
      <c r="S18" s="52">
        <f t="shared" si="32"/>
        <v>25802.11885498499</v>
      </c>
      <c r="T18" s="52">
        <f t="shared" si="33"/>
        <v>237843.90885498497</v>
      </c>
      <c r="U18" s="52">
        <f t="shared" si="34"/>
        <v>0</v>
      </c>
      <c r="V18" s="54">
        <f t="shared" si="35"/>
        <v>26.516612623067576</v>
      </c>
      <c r="W18" s="54">
        <f t="shared" si="36"/>
        <v>237843.90885498497</v>
      </c>
      <c r="X18" s="54">
        <f t="shared" si="37"/>
        <v>25802.11885498499</v>
      </c>
      <c r="Y18" s="17">
        <f t="shared" si="38"/>
        <v>0</v>
      </c>
      <c r="Z18" s="12">
        <f t="shared" si="39"/>
        <v>0</v>
      </c>
      <c r="AA18" s="12">
        <f>((H18*$E$116*F18*References!$C$58)/References!$G$61)-'Company Calc'!M18</f>
        <v>0</v>
      </c>
    </row>
    <row r="19" spans="1:27">
      <c r="A19" s="472"/>
      <c r="B19" s="35">
        <v>22</v>
      </c>
      <c r="C19" s="35" t="str">
        <f>+INDEX('Clallam Reg Price Out'!B:B,MATCH(D19,'Clallam Reg Price Out'!C:C,0))</f>
        <v>96RM1</v>
      </c>
      <c r="D19" t="s">
        <v>363</v>
      </c>
      <c r="E19" s="23">
        <f>+SUMIF('Clallam Reg Price Out'!B:B,C19,'Clallam Reg Price Out'!AH:AH)</f>
        <v>35.833333333333336</v>
      </c>
      <c r="F19" s="20">
        <f>References!$B$14</f>
        <v>1</v>
      </c>
      <c r="G19" s="53">
        <f t="shared" si="15"/>
        <v>430</v>
      </c>
      <c r="H19" s="53">
        <f>+References!$B$27</f>
        <v>68</v>
      </c>
      <c r="I19" s="53">
        <f t="shared" si="28"/>
        <v>29240</v>
      </c>
      <c r="J19" s="34">
        <f t="shared" si="1"/>
        <v>22129.474332093301</v>
      </c>
      <c r="K19" s="52">
        <f>(References!$C$58*J19)</f>
        <v>557.99469528373231</v>
      </c>
      <c r="L19" s="52">
        <f>K19/References!$G$61</f>
        <v>570.89696673187257</v>
      </c>
      <c r="M19" s="52">
        <f t="shared" si="16"/>
        <v>1.3276673644927268</v>
      </c>
      <c r="N19" s="52">
        <f>+'Proposed Rates'!C27</f>
        <v>15.94</v>
      </c>
      <c r="O19" s="52">
        <f t="shared" si="29"/>
        <v>17.267667364492727</v>
      </c>
      <c r="P19" s="52">
        <f>+'Proposed Rates'!E27</f>
        <v>17.267667364492727</v>
      </c>
      <c r="Q19" s="52">
        <f t="shared" si="30"/>
        <v>6854.2000000000007</v>
      </c>
      <c r="R19" s="52">
        <f t="shared" si="31"/>
        <v>7425.0969667318732</v>
      </c>
      <c r="S19" s="52">
        <f t="shared" si="32"/>
        <v>570.89696673187245</v>
      </c>
      <c r="T19" s="52">
        <f t="shared" si="33"/>
        <v>7425.0969667318732</v>
      </c>
      <c r="U19" s="52">
        <f t="shared" si="34"/>
        <v>0</v>
      </c>
      <c r="V19" s="54">
        <f t="shared" si="35"/>
        <v>17.267667364492727</v>
      </c>
      <c r="W19" s="54">
        <f t="shared" si="36"/>
        <v>7425.0969667318732</v>
      </c>
      <c r="X19" s="54">
        <f t="shared" si="37"/>
        <v>570.89696673187245</v>
      </c>
      <c r="Y19" s="17">
        <f t="shared" si="38"/>
        <v>0</v>
      </c>
      <c r="Z19" s="12">
        <f t="shared" si="39"/>
        <v>0</v>
      </c>
      <c r="AA19" s="12">
        <f>((H19*$E$116*F19*References!$C$58)/References!$G$61)-'Company Calc'!M19</f>
        <v>0</v>
      </c>
    </row>
    <row r="20" spans="1:27">
      <c r="A20" s="472"/>
      <c r="B20" s="35" t="s">
        <v>117</v>
      </c>
      <c r="C20" s="35" t="str">
        <f>+INDEX('Clallam Reg Price Out'!B:B,MATCH(D20,'Clallam Reg Price Out'!C:C,0))</f>
        <v>SP35-RES</v>
      </c>
      <c r="D20" t="s">
        <v>365</v>
      </c>
      <c r="E20" s="23">
        <f>+SUMIF('Clallam Reg Price Out'!B:B,C20,'Clallam Reg Price Out'!AH:AH)</f>
        <v>7.5</v>
      </c>
      <c r="F20" s="20">
        <f>References!$B$14</f>
        <v>1</v>
      </c>
      <c r="G20" s="53">
        <f t="shared" si="15"/>
        <v>90</v>
      </c>
      <c r="H20">
        <f>+References!B25</f>
        <v>37</v>
      </c>
      <c r="I20" s="53">
        <f t="shared" si="28"/>
        <v>3330</v>
      </c>
      <c r="J20" s="34">
        <f t="shared" si="1"/>
        <v>2520.2171520475613</v>
      </c>
      <c r="K20" s="52">
        <f>(References!$C$58*J20)</f>
        <v>63.547275488879229</v>
      </c>
      <c r="L20" s="52">
        <f>K20/References!$G$61</f>
        <v>65.016651820011489</v>
      </c>
      <c r="M20" s="52">
        <f t="shared" si="16"/>
        <v>0.72240724244457211</v>
      </c>
      <c r="N20" s="52">
        <f>+'Proposed Rates'!C32</f>
        <v>6.96</v>
      </c>
      <c r="O20" s="52">
        <f t="shared" si="29"/>
        <v>7.6824072424445724</v>
      </c>
      <c r="P20" s="52">
        <f>'Proposed Rates'!E32</f>
        <v>7.6824072424445724</v>
      </c>
      <c r="Q20" s="52">
        <f t="shared" si="30"/>
        <v>626.40000000000009</v>
      </c>
      <c r="R20" s="52">
        <f>E20*P20*12</f>
        <v>691.41665182001157</v>
      </c>
      <c r="S20" s="52">
        <f>R20-Q20</f>
        <v>65.016651820011475</v>
      </c>
      <c r="T20" s="52">
        <f>E20*O20*12</f>
        <v>691.41665182001157</v>
      </c>
      <c r="U20" s="52">
        <f>R20-T20</f>
        <v>0</v>
      </c>
      <c r="V20" s="54">
        <f t="shared" si="35"/>
        <v>7.6824072424445724</v>
      </c>
      <c r="W20" s="54">
        <f t="shared" si="36"/>
        <v>691.41665182001157</v>
      </c>
      <c r="X20" s="54">
        <f t="shared" si="37"/>
        <v>65.016651820011475</v>
      </c>
      <c r="Y20" s="17">
        <f t="shared" si="38"/>
        <v>0</v>
      </c>
      <c r="Z20" s="12">
        <f t="shared" si="39"/>
        <v>0</v>
      </c>
      <c r="AA20" s="12">
        <f>((H20*$E$116*F20*References!$C$58)/References!$G$61)-'Company Calc'!M20</f>
        <v>0</v>
      </c>
    </row>
    <row r="21" spans="1:27">
      <c r="A21" s="472"/>
      <c r="B21" s="35" t="s">
        <v>117</v>
      </c>
      <c r="C21" s="35" t="str">
        <f>+INDEX('Clallam Reg Price Out'!B:B,MATCH(D21,'Clallam Reg Price Out'!C:C,0))</f>
        <v>SP60-RES</v>
      </c>
      <c r="D21" t="s">
        <v>367</v>
      </c>
      <c r="E21" s="23">
        <f>+SUMIF('Clallam Reg Price Out'!B:B,C21,'Clallam Reg Price Out'!AH:AH)</f>
        <v>24.916666666666668</v>
      </c>
      <c r="F21" s="20">
        <f>References!$B$14</f>
        <v>1</v>
      </c>
      <c r="G21" s="53">
        <f t="shared" si="15"/>
        <v>299</v>
      </c>
      <c r="H21" s="53">
        <f>+References!$B$26</f>
        <v>47</v>
      </c>
      <c r="I21" s="53">
        <f t="shared" si="28"/>
        <v>14053</v>
      </c>
      <c r="J21" s="34">
        <f t="shared" si="1"/>
        <v>10635.619110427742</v>
      </c>
      <c r="K21" s="52">
        <f>(References!$C$58*J21)</f>
        <v>268.1771358694354</v>
      </c>
      <c r="L21" s="52">
        <f>K21/References!$G$61</f>
        <v>274.37808048847495</v>
      </c>
      <c r="M21" s="52">
        <f t="shared" si="16"/>
        <v>0.91765244310526739</v>
      </c>
      <c r="N21" s="52">
        <f>+'Proposed Rates'!C33</f>
        <v>6.96</v>
      </c>
      <c r="O21" s="52">
        <f t="shared" si="29"/>
        <v>7.8776524431052675</v>
      </c>
      <c r="P21" s="52">
        <f>'Proposed Rates'!E33</f>
        <v>7.8776524431052675</v>
      </c>
      <c r="Q21" s="52">
        <f t="shared" si="30"/>
        <v>2081.04</v>
      </c>
      <c r="R21" s="52">
        <f t="shared" si="31"/>
        <v>2355.418080488475</v>
      </c>
      <c r="S21" s="52">
        <f t="shared" si="32"/>
        <v>274.37808048847501</v>
      </c>
      <c r="T21" s="52">
        <f t="shared" si="33"/>
        <v>2355.418080488475</v>
      </c>
      <c r="U21" s="52">
        <f t="shared" si="34"/>
        <v>0</v>
      </c>
      <c r="V21" s="54">
        <f t="shared" si="35"/>
        <v>7.8776524431052675</v>
      </c>
      <c r="W21" s="54">
        <f t="shared" si="36"/>
        <v>2355.418080488475</v>
      </c>
      <c r="X21" s="54">
        <f t="shared" si="37"/>
        <v>274.37808048847501</v>
      </c>
      <c r="Y21" s="17">
        <f t="shared" si="38"/>
        <v>0</v>
      </c>
      <c r="Z21" s="12">
        <f t="shared" si="39"/>
        <v>0</v>
      </c>
      <c r="AA21" s="12">
        <f>((H21*$E$116*F21*References!$C$58)/References!$G$61)-'Company Calc'!M21</f>
        <v>0</v>
      </c>
    </row>
    <row r="22" spans="1:27">
      <c r="A22" s="472"/>
      <c r="B22" s="35" t="s">
        <v>117</v>
      </c>
      <c r="C22" s="35" t="str">
        <f>+INDEX('Clallam Reg Price Out'!B:B,MATCH(D22,'Clallam Reg Price Out'!C:C,0))</f>
        <v>SP96-RES</v>
      </c>
      <c r="D22" t="s">
        <v>369</v>
      </c>
      <c r="E22" s="23">
        <f>+SUMIF('Clallam Reg Price Out'!B:B,C22,'Clallam Reg Price Out'!AH:AH)</f>
        <v>10.916666666666666</v>
      </c>
      <c r="F22" s="20">
        <f>References!$B$14</f>
        <v>1</v>
      </c>
      <c r="G22" s="53">
        <f t="shared" si="15"/>
        <v>131</v>
      </c>
      <c r="H22" s="53">
        <f>+References!$B$27</f>
        <v>68</v>
      </c>
      <c r="I22" s="53">
        <f t="shared" si="28"/>
        <v>8908</v>
      </c>
      <c r="J22" s="34">
        <f t="shared" si="1"/>
        <v>6741.7700872191226</v>
      </c>
      <c r="K22" s="52">
        <f>(References!$C$58*J22)</f>
        <v>169.99373274923011</v>
      </c>
      <c r="L22" s="52">
        <f>K22/References!$G$61</f>
        <v>173.92442474854727</v>
      </c>
      <c r="M22" s="52">
        <f t="shared" si="16"/>
        <v>1.3276673644927273</v>
      </c>
      <c r="N22" s="52">
        <f>+'Proposed Rates'!C34</f>
        <v>6.96</v>
      </c>
      <c r="O22" s="52">
        <f t="shared" si="29"/>
        <v>8.2876673644927266</v>
      </c>
      <c r="P22" s="52">
        <f>'Proposed Rates'!E34</f>
        <v>8.2876673644927266</v>
      </c>
      <c r="Q22" s="52">
        <f t="shared" si="30"/>
        <v>911.75999999999988</v>
      </c>
      <c r="R22" s="52">
        <f t="shared" si="31"/>
        <v>1085.6844247485471</v>
      </c>
      <c r="S22" s="52">
        <f t="shared" si="32"/>
        <v>173.92442474854727</v>
      </c>
      <c r="T22" s="52">
        <f t="shared" si="33"/>
        <v>1085.6844247485471</v>
      </c>
      <c r="U22" s="52">
        <f>R22-T22</f>
        <v>0</v>
      </c>
      <c r="V22" s="54">
        <f t="shared" si="35"/>
        <v>8.2876673644927266</v>
      </c>
      <c r="W22" s="54">
        <f t="shared" si="36"/>
        <v>1085.6844247485471</v>
      </c>
      <c r="X22" s="54">
        <f t="shared" si="37"/>
        <v>173.92442474854727</v>
      </c>
      <c r="Y22" s="17">
        <f t="shared" si="38"/>
        <v>0</v>
      </c>
      <c r="Z22" s="12">
        <f t="shared" si="39"/>
        <v>0</v>
      </c>
      <c r="AA22" s="12">
        <f>((H22*$E$116*F22*References!$C$58)/References!$G$61)-'Company Calc'!M22</f>
        <v>0</v>
      </c>
    </row>
    <row r="23" spans="1:27">
      <c r="A23" s="472"/>
      <c r="B23" s="35" t="s">
        <v>117</v>
      </c>
      <c r="C23" s="35" t="str">
        <f>+INDEX('Clallam Reg Price Out'!B:B,MATCH(D23,'Clallam Reg Price Out'!C:C,0))</f>
        <v>EXTRAR</v>
      </c>
      <c r="D23" t="s">
        <v>115</v>
      </c>
      <c r="E23" s="23">
        <f>+SUMIF('Clallam Reg Price Out'!B:B,C23,'Clallam Reg Price Out'!AH:AH)</f>
        <v>217.08333333333334</v>
      </c>
      <c r="F23" s="20">
        <f>References!$B$14</f>
        <v>1</v>
      </c>
      <c r="G23" s="53">
        <f t="shared" si="15"/>
        <v>2605</v>
      </c>
      <c r="H23" s="53">
        <f>References!B29</f>
        <v>34</v>
      </c>
      <c r="I23" s="53">
        <f t="shared" si="28"/>
        <v>88570</v>
      </c>
      <c r="J23" s="34">
        <f t="shared" si="1"/>
        <v>67031.72166872448</v>
      </c>
      <c r="K23" s="52">
        <f>(References!$C$58*J23)</f>
        <v>1690.204861876887</v>
      </c>
      <c r="L23" s="52">
        <f>K23/References!$G$61</f>
        <v>1729.286742251777</v>
      </c>
      <c r="M23" s="52">
        <f t="shared" ref="M23:M24" si="40">L23/G23</f>
        <v>0.66383368224636352</v>
      </c>
      <c r="N23" s="52">
        <f>'Proposed Rates'!C32</f>
        <v>6.96</v>
      </c>
      <c r="O23" s="52">
        <f t="shared" si="17"/>
        <v>7.6238336822463637</v>
      </c>
      <c r="P23" s="52">
        <f>'Proposed Rates'!E30</f>
        <v>7.6238336822463637</v>
      </c>
      <c r="Q23" s="52">
        <f t="shared" ref="Q23:Q24" si="41">G23*N23</f>
        <v>18130.8</v>
      </c>
      <c r="R23" s="52">
        <f t="shared" ref="R23:R24" si="42">G23*P23</f>
        <v>19860.086742251777</v>
      </c>
      <c r="S23" s="52">
        <f t="shared" si="20"/>
        <v>1729.2867422517775</v>
      </c>
      <c r="T23" s="52">
        <f t="shared" ref="T23:T24" si="43">G23*O23</f>
        <v>19860.086742251777</v>
      </c>
      <c r="U23" s="52">
        <f t="shared" si="22"/>
        <v>0</v>
      </c>
      <c r="V23" s="54">
        <f t="shared" si="23"/>
        <v>7.6238336822463637</v>
      </c>
      <c r="W23" s="54">
        <f t="shared" ref="W23:W24" si="44">G23*V23</f>
        <v>19860.086742251777</v>
      </c>
      <c r="X23" s="54">
        <f t="shared" si="25"/>
        <v>1729.2867422517775</v>
      </c>
      <c r="Y23" s="17">
        <f t="shared" si="26"/>
        <v>0</v>
      </c>
      <c r="Z23" s="12">
        <f t="shared" si="27"/>
        <v>0</v>
      </c>
      <c r="AA23" s="12">
        <f>((H23*$E$116*1*References!$C$58)/References!$G$61)-'Company Calc'!M23</f>
        <v>0</v>
      </c>
    </row>
    <row r="24" spans="1:27">
      <c r="A24" s="472"/>
      <c r="B24" s="35" t="s">
        <v>118</v>
      </c>
      <c r="C24" s="35" t="str">
        <f>+INDEX('Clallam Reg Price Out'!B:B,MATCH(D24,'Clallam Reg Price Out'!C:C,0))</f>
        <v>OFOWR</v>
      </c>
      <c r="D24" t="s">
        <v>116</v>
      </c>
      <c r="E24" s="23">
        <f>+SUMIF('Clallam Reg Price Out'!B:B,C24,'Clallam Reg Price Out'!AH:AH)</f>
        <v>81.833333333333329</v>
      </c>
      <c r="F24" s="20">
        <f>References!$B$14</f>
        <v>1</v>
      </c>
      <c r="G24" s="53">
        <f t="shared" si="15"/>
        <v>982</v>
      </c>
      <c r="H24" s="53">
        <f>References!B29</f>
        <v>34</v>
      </c>
      <c r="I24" s="53">
        <f t="shared" si="28"/>
        <v>33388</v>
      </c>
      <c r="J24" s="34">
        <f t="shared" si="1"/>
        <v>25268.771853622817</v>
      </c>
      <c r="K24" s="52">
        <f>(References!$C$58*J24)</f>
        <v>637.15208228909898</v>
      </c>
      <c r="L24" s="52">
        <f>K24/References!$G$61</f>
        <v>651.88467596592898</v>
      </c>
      <c r="M24" s="52">
        <f t="shared" si="40"/>
        <v>0.66383368224636352</v>
      </c>
      <c r="N24" s="52">
        <f>'Proposed Rates'!C8</f>
        <v>7.23</v>
      </c>
      <c r="O24" s="52">
        <f t="shared" si="17"/>
        <v>7.8938336822463642</v>
      </c>
      <c r="P24" s="52">
        <f>'Proposed Rates'!E8</f>
        <v>7.8938336822463642</v>
      </c>
      <c r="Q24" s="52">
        <f t="shared" si="41"/>
        <v>7099.8600000000006</v>
      </c>
      <c r="R24" s="52">
        <f t="shared" si="42"/>
        <v>7751.7446759659297</v>
      </c>
      <c r="S24" s="52">
        <f t="shared" si="20"/>
        <v>651.88467596592909</v>
      </c>
      <c r="T24" s="52">
        <f t="shared" si="43"/>
        <v>7751.7446759659297</v>
      </c>
      <c r="U24" s="52">
        <f t="shared" si="22"/>
        <v>0</v>
      </c>
      <c r="V24" s="54">
        <f t="shared" si="23"/>
        <v>7.8938336822463642</v>
      </c>
      <c r="W24" s="54">
        <f t="shared" si="44"/>
        <v>7751.7446759659297</v>
      </c>
      <c r="X24" s="54">
        <f t="shared" si="25"/>
        <v>651.88467596592909</v>
      </c>
      <c r="Y24" s="17">
        <f t="shared" si="26"/>
        <v>0</v>
      </c>
      <c r="Z24" s="12">
        <f t="shared" si="27"/>
        <v>0</v>
      </c>
      <c r="AA24" s="12">
        <f>((H24*$E$116*1*References!$C$58)/References!$G$61)-'Company Calc'!M24</f>
        <v>0</v>
      </c>
    </row>
    <row r="25" spans="1:27">
      <c r="A25" s="38"/>
      <c r="B25" s="61"/>
      <c r="C25" s="61"/>
      <c r="D25" s="39" t="s">
        <v>15</v>
      </c>
      <c r="E25" s="40">
        <f>SUM(E7:E24)</f>
        <v>11347.314442590001</v>
      </c>
      <c r="F25" s="41"/>
      <c r="G25" s="42">
        <f>SUM(G7:G24)</f>
        <v>449267.32829997281</v>
      </c>
      <c r="H25" s="43"/>
      <c r="I25" s="62">
        <f>SUM(I7:I24)</f>
        <v>21766929.283273071</v>
      </c>
      <c r="J25" s="44">
        <f>SUM(J7:J24)</f>
        <v>16473690.248381723</v>
      </c>
      <c r="K25" s="44">
        <f>SUM(K7:K24)</f>
        <v>415384.09961294488</v>
      </c>
      <c r="L25" s="44">
        <f>SUM(L7:L24)</f>
        <v>424988.84756798111</v>
      </c>
      <c r="M25" s="56"/>
      <c r="N25" s="56"/>
      <c r="O25" s="56"/>
      <c r="P25" s="56"/>
      <c r="Q25" s="55">
        <f>SUM(Q7:Q24)</f>
        <v>3433314.17</v>
      </c>
      <c r="R25" s="55">
        <f t="shared" ref="R25:T25" si="45">SUM(R7:R24)</f>
        <v>3858303.017567982</v>
      </c>
      <c r="S25" s="55">
        <f t="shared" si="45"/>
        <v>424988.84756798123</v>
      </c>
      <c r="T25" s="55">
        <f t="shared" si="45"/>
        <v>3858303.017567982</v>
      </c>
      <c r="U25" s="55">
        <f>SUM(U9:U24)</f>
        <v>0</v>
      </c>
      <c r="V25" s="55"/>
      <c r="W25" s="55">
        <f>SUM(W7:W24)</f>
        <v>3858303.017567982</v>
      </c>
      <c r="X25" s="55">
        <f>SUM(X7:X24)</f>
        <v>424988.84756798123</v>
      </c>
      <c r="Y25" s="17">
        <f t="shared" si="26"/>
        <v>0</v>
      </c>
      <c r="AA25" s="12">
        <f>((H25*$E$116*1*References!$C$58)/References!$G$61)-'Company Calc'!M25</f>
        <v>0</v>
      </c>
    </row>
    <row r="26" spans="1:27" ht="14.45" customHeight="1">
      <c r="A26" s="472" t="s">
        <v>13</v>
      </c>
      <c r="B26" s="35" t="s">
        <v>161</v>
      </c>
      <c r="C26" s="35" t="str">
        <f>+INDEX('Clallam Reg Price Out'!B:B,MATCH(D26,'Clallam Reg Price Out'!C:C,0))</f>
        <v>F1YD1W</v>
      </c>
      <c r="D26" t="s">
        <v>119</v>
      </c>
      <c r="E26" s="26">
        <f>+SUMIF('Clallam Reg Price Out'!B:B,C26,'Clallam Reg Price Out'!AH:AH)+SUMIF('CityPA-M Price Out'!B:B,C26,'CityPA-M Price Out'!AI:AI)</f>
        <v>139.5</v>
      </c>
      <c r="F26" s="20">
        <f>+References!$C$13</f>
        <v>4.333333333333333</v>
      </c>
      <c r="G26" s="53">
        <f t="shared" si="15"/>
        <v>7254</v>
      </c>
      <c r="H26" s="53">
        <f>References!B32</f>
        <v>175</v>
      </c>
      <c r="I26" s="53">
        <f>G26*H26</f>
        <v>1269450</v>
      </c>
      <c r="J26" s="34">
        <f t="shared" ref="J26:J72" si="46">$E$116*I26</f>
        <v>960747.64674677979</v>
      </c>
      <c r="K26" s="52">
        <f>(References!$C$58*J26)</f>
        <v>24225.251912720039</v>
      </c>
      <c r="L26" s="52">
        <f>K26/References!$G$61</f>
        <v>24785.401997871944</v>
      </c>
      <c r="M26" s="52">
        <f>L26/G26</f>
        <v>3.4167910115621649</v>
      </c>
      <c r="N26" s="52">
        <f>'Proposed Rates'!C54</f>
        <v>21.69</v>
      </c>
      <c r="O26" s="52">
        <f t="shared" si="17"/>
        <v>25.106791011562166</v>
      </c>
      <c r="P26" s="52">
        <f>'Proposed Rates'!E54</f>
        <v>25.106791011562166</v>
      </c>
      <c r="Q26" s="52">
        <f>G26*N26</f>
        <v>157339.26</v>
      </c>
      <c r="R26" s="52">
        <f>G26*P26</f>
        <v>182124.66199787194</v>
      </c>
      <c r="S26" s="52">
        <f t="shared" ref="S26:S85" si="47">R26-Q26</f>
        <v>24785.40199787193</v>
      </c>
      <c r="T26" s="52">
        <f>G26*O26</f>
        <v>182124.66199787194</v>
      </c>
      <c r="U26" s="52">
        <f t="shared" ref="U26:U85" si="48">R26-T26</f>
        <v>0</v>
      </c>
      <c r="V26" s="54">
        <f>O26</f>
        <v>25.106791011562166</v>
      </c>
      <c r="W26" s="54">
        <f>G26*V26</f>
        <v>182124.66199787194</v>
      </c>
      <c r="X26" s="54">
        <f t="shared" ref="X26:X85" si="49">W26-Q26</f>
        <v>24785.40199787193</v>
      </c>
      <c r="Y26" s="17">
        <f t="shared" si="26"/>
        <v>0</v>
      </c>
      <c r="Z26" s="12">
        <f t="shared" si="27"/>
        <v>0</v>
      </c>
      <c r="AA26" s="12">
        <f>((H26*$E$116*1*References!$C$58)/References!$G$61)-'Company Calc'!M26</f>
        <v>0</v>
      </c>
    </row>
    <row r="27" spans="1:27" ht="14.45" customHeight="1">
      <c r="A27" s="472"/>
      <c r="B27" s="35" t="s">
        <v>161</v>
      </c>
      <c r="C27" s="35" t="str">
        <f>+INDEX('Clallam Reg Price Out'!B:B,MATCH(D27,'Clallam Reg Price Out'!C:C,0))</f>
        <v>R1YD1W</v>
      </c>
      <c r="D27" t="s">
        <v>120</v>
      </c>
      <c r="E27" s="26">
        <f>+SUMIF('Clallam Reg Price Out'!B:B,C27,'Clallam Reg Price Out'!AH:AH)+SUMIF('CityPA-M Price Out'!B:B,C27,'CityPA-M Price Out'!AI:AI)</f>
        <v>0.125</v>
      </c>
      <c r="F27" s="20">
        <f>+References!$C$13</f>
        <v>4.333333333333333</v>
      </c>
      <c r="G27" s="53">
        <f t="shared" si="15"/>
        <v>6.5</v>
      </c>
      <c r="H27" s="53">
        <f>References!B32</f>
        <v>175</v>
      </c>
      <c r="I27" s="53">
        <f t="shared" ref="I27:I85" si="50">G27*H27</f>
        <v>1137.5</v>
      </c>
      <c r="J27" s="34">
        <f t="shared" si="46"/>
        <v>860.88498812435466</v>
      </c>
      <c r="K27" s="52">
        <f>(References!$C$58*J27)</f>
        <v>21.707214975555591</v>
      </c>
      <c r="L27" s="52">
        <f>K27/References!$G$61</f>
        <v>22.209141575154071</v>
      </c>
      <c r="M27" s="52">
        <f t="shared" ref="M27:M84" si="51">L27/G27</f>
        <v>3.4167910115621649</v>
      </c>
      <c r="N27" s="52">
        <f>N26</f>
        <v>21.69</v>
      </c>
      <c r="O27" s="52">
        <f t="shared" si="17"/>
        <v>25.106791011562166</v>
      </c>
      <c r="P27" s="52">
        <f>'Proposed Rates'!E54</f>
        <v>25.106791011562166</v>
      </c>
      <c r="Q27" s="52">
        <f t="shared" ref="Q27:Q84" si="52">G27*N27</f>
        <v>140.98500000000001</v>
      </c>
      <c r="R27" s="52">
        <f t="shared" ref="R27:R84" si="53">G27*P27</f>
        <v>163.19414157515408</v>
      </c>
      <c r="S27" s="52">
        <f t="shared" si="47"/>
        <v>22.209141575154064</v>
      </c>
      <c r="T27" s="52">
        <f t="shared" ref="T27:T84" si="54">G27*O27</f>
        <v>163.19414157515408</v>
      </c>
      <c r="U27" s="52">
        <f t="shared" si="48"/>
        <v>0</v>
      </c>
      <c r="V27" s="54">
        <f>O27</f>
        <v>25.106791011562166</v>
      </c>
      <c r="W27" s="54">
        <f t="shared" ref="W27:W84" si="55">G27*V27</f>
        <v>163.19414157515408</v>
      </c>
      <c r="X27" s="54">
        <f t="shared" si="49"/>
        <v>22.209141575154064</v>
      </c>
      <c r="Y27" s="17">
        <f t="shared" si="26"/>
        <v>0</v>
      </c>
      <c r="Z27" s="12">
        <f t="shared" si="27"/>
        <v>0</v>
      </c>
      <c r="AA27" s="12">
        <f>((H27*$E$116*1*References!$C$58)/References!$G$61)-'Company Calc'!M27</f>
        <v>0</v>
      </c>
    </row>
    <row r="28" spans="1:27" ht="14.45" customHeight="1">
      <c r="A28" s="472"/>
      <c r="B28" s="35" t="s">
        <v>161</v>
      </c>
      <c r="C28" s="35" t="str">
        <f>+INDEX('Clallam Reg Price Out'!B:B,MATCH(D28,'Clallam Reg Price Out'!C:C,0))</f>
        <v>F1.5YD1W</v>
      </c>
      <c r="D28" t="s">
        <v>121</v>
      </c>
      <c r="E28" s="26">
        <f>+SUMIF('Clallam Reg Price Out'!B:B,C28,'Clallam Reg Price Out'!AH:AH)+SUMIF('CityPA-M Price Out'!B:B,C28,'CityPA-M Price Out'!AI:AI)</f>
        <v>50.916617000670499</v>
      </c>
      <c r="F28" s="20">
        <f>+References!$C$13</f>
        <v>4.333333333333333</v>
      </c>
      <c r="G28" s="53">
        <f t="shared" si="15"/>
        <v>2647.6640840348655</v>
      </c>
      <c r="H28" s="53">
        <f>References!$B$33</f>
        <v>250</v>
      </c>
      <c r="I28" s="53">
        <f t="shared" si="50"/>
        <v>661916.02100871631</v>
      </c>
      <c r="J28" s="34">
        <f t="shared" si="46"/>
        <v>500952.585393766</v>
      </c>
      <c r="K28" s="52">
        <f>(References!$C$58*J28)</f>
        <v>12631.519440703803</v>
      </c>
      <c r="L28" s="52">
        <f>K28/References!$G$61</f>
        <v>12923.592634237571</v>
      </c>
      <c r="M28" s="52">
        <f t="shared" si="51"/>
        <v>4.8811300165173783</v>
      </c>
      <c r="N28" s="52">
        <f>'Proposed Rates'!C55</f>
        <v>31</v>
      </c>
      <c r="O28" s="52">
        <f t="shared" si="17"/>
        <v>35.881130016517375</v>
      </c>
      <c r="P28" s="52">
        <f>'Proposed Rates'!E55</f>
        <v>35.881130016517375</v>
      </c>
      <c r="Q28" s="52">
        <f t="shared" si="52"/>
        <v>82077.586605080825</v>
      </c>
      <c r="R28" s="52">
        <f t="shared" si="53"/>
        <v>95001.179239318386</v>
      </c>
      <c r="S28" s="52">
        <f t="shared" si="47"/>
        <v>12923.592634237561</v>
      </c>
      <c r="T28" s="52">
        <f t="shared" si="54"/>
        <v>95001.179239318386</v>
      </c>
      <c r="U28" s="52">
        <f t="shared" si="48"/>
        <v>0</v>
      </c>
      <c r="V28" s="54">
        <f t="shared" ref="V28:V85" si="56">O28</f>
        <v>35.881130016517375</v>
      </c>
      <c r="W28" s="54">
        <f t="shared" si="55"/>
        <v>95001.179239318386</v>
      </c>
      <c r="X28" s="54">
        <f t="shared" si="49"/>
        <v>12923.592634237561</v>
      </c>
      <c r="Y28" s="17">
        <f t="shared" si="26"/>
        <v>0</v>
      </c>
      <c r="Z28" s="12">
        <f t="shared" si="27"/>
        <v>0</v>
      </c>
      <c r="AA28" s="12">
        <f>((H28*$E$116*1*References!$C$58)/References!$G$61)-'Company Calc'!M28</f>
        <v>0</v>
      </c>
    </row>
    <row r="29" spans="1:27" ht="14.45" customHeight="1">
      <c r="A29" s="472"/>
      <c r="B29" s="35" t="s">
        <v>161</v>
      </c>
      <c r="C29" s="35" t="str">
        <f>+INDEX('Clallam Reg Price Out'!B:B,MATCH(D29,'Clallam Reg Price Out'!C:C,0))</f>
        <v>F1.5YD2W</v>
      </c>
      <c r="D29" t="s">
        <v>122</v>
      </c>
      <c r="E29" s="26">
        <f>+SUMIF('Clallam Reg Price Out'!B:B,C29,'Clallam Reg Price Out'!AH:AH)+SUMIF('CityPA-M Price Out'!B:B,C29,'CityPA-M Price Out'!AI:AI)</f>
        <v>0.81248603143857556</v>
      </c>
      <c r="F29" s="20">
        <f>+References!$C$13*2</f>
        <v>8.6666666666666661</v>
      </c>
      <c r="G29" s="53">
        <f t="shared" si="15"/>
        <v>84.498547269611848</v>
      </c>
      <c r="H29" s="53">
        <f>References!$B$33</f>
        <v>250</v>
      </c>
      <c r="I29" s="53">
        <f t="shared" si="50"/>
        <v>21124.636817402963</v>
      </c>
      <c r="J29" s="34">
        <f t="shared" si="46"/>
        <v>15987.589200598906</v>
      </c>
      <c r="K29" s="52">
        <f>(References!$C$58*J29)</f>
        <v>403.12706169310121</v>
      </c>
      <c r="L29" s="52">
        <f>K29/References!$G$61</f>
        <v>412.44839542981504</v>
      </c>
      <c r="M29" s="52">
        <f t="shared" si="51"/>
        <v>4.8811300165173792</v>
      </c>
      <c r="N29" s="52">
        <f>N28</f>
        <v>31</v>
      </c>
      <c r="O29" s="52">
        <f t="shared" si="17"/>
        <v>35.881130016517382</v>
      </c>
      <c r="P29" s="52">
        <f>'Proposed Rates'!E55</f>
        <v>35.881130016517375</v>
      </c>
      <c r="Q29" s="52">
        <f t="shared" si="52"/>
        <v>2619.4549653579675</v>
      </c>
      <c r="R29" s="52">
        <f t="shared" si="53"/>
        <v>3031.9033607877818</v>
      </c>
      <c r="S29" s="52">
        <f t="shared" si="47"/>
        <v>412.44839542981435</v>
      </c>
      <c r="T29" s="52">
        <f t="shared" si="54"/>
        <v>3031.9033607877827</v>
      </c>
      <c r="U29" s="52">
        <f t="shared" si="48"/>
        <v>0</v>
      </c>
      <c r="V29" s="54">
        <f t="shared" si="56"/>
        <v>35.881130016517382</v>
      </c>
      <c r="W29" s="54">
        <f t="shared" si="55"/>
        <v>3031.9033607877827</v>
      </c>
      <c r="X29" s="54">
        <f t="shared" si="49"/>
        <v>412.44839542981526</v>
      </c>
      <c r="Y29" s="17">
        <f t="shared" si="26"/>
        <v>-9.0949470177292824E-13</v>
      </c>
      <c r="Z29" s="12">
        <f t="shared" si="27"/>
        <v>0</v>
      </c>
      <c r="AA29" s="12">
        <f>((H29*$E$116*1*References!$C$58)/References!$G$61)-'Company Calc'!M29</f>
        <v>0</v>
      </c>
    </row>
    <row r="30" spans="1:27" ht="14.45" customHeight="1">
      <c r="A30" s="472"/>
      <c r="B30" s="35" t="s">
        <v>161</v>
      </c>
      <c r="C30" s="35" t="str">
        <f>+INDEX('Clallam Reg Price Out'!B:B,MATCH(D30,'Clallam Reg Price Out'!C:C,0))</f>
        <v>F2YD1W</v>
      </c>
      <c r="D30" t="s">
        <v>123</v>
      </c>
      <c r="E30" s="26">
        <f>+SUMIF('Clallam Reg Price Out'!B:B,C30,'Clallam Reg Price Out'!AH:AH)+SUMIF('CityPA-M Price Out'!B:B,C30,'CityPA-M Price Out'!AI:AI)</f>
        <v>100.18731010553188</v>
      </c>
      <c r="F30" s="20">
        <f>+References!$C$13</f>
        <v>4.333333333333333</v>
      </c>
      <c r="G30" s="53">
        <f t="shared" si="15"/>
        <v>5209.7401254876568</v>
      </c>
      <c r="H30" s="53">
        <f>References!$B$35</f>
        <v>324</v>
      </c>
      <c r="I30" s="53">
        <f t="shared" si="50"/>
        <v>1687955.8006580009</v>
      </c>
      <c r="J30" s="34">
        <f t="shared" si="46"/>
        <v>1277482.0302451856</v>
      </c>
      <c r="K30" s="52">
        <f>(References!$C$58*J30)</f>
        <v>32211.70939263234</v>
      </c>
      <c r="L30" s="52">
        <f>K30/References!$G$61</f>
        <v>32956.526900585573</v>
      </c>
      <c r="M30" s="52">
        <f t="shared" si="51"/>
        <v>6.3259445014065232</v>
      </c>
      <c r="N30" s="52">
        <f>'Proposed Rates'!C56</f>
        <v>42.82</v>
      </c>
      <c r="O30" s="52">
        <f>M30+N30</f>
        <v>49.145944501406525</v>
      </c>
      <c r="P30" s="52">
        <f>'Proposed Rates'!E56</f>
        <v>49.145944501406525</v>
      </c>
      <c r="Q30" s="52">
        <f t="shared" si="52"/>
        <v>223081.07217338146</v>
      </c>
      <c r="R30" s="52">
        <f t="shared" si="53"/>
        <v>256037.59907396705</v>
      </c>
      <c r="S30" s="52">
        <f t="shared" si="47"/>
        <v>32956.526900585595</v>
      </c>
      <c r="T30" s="52">
        <f t="shared" si="54"/>
        <v>256037.59907396705</v>
      </c>
      <c r="U30" s="52">
        <f t="shared" si="48"/>
        <v>0</v>
      </c>
      <c r="V30" s="54">
        <f t="shared" si="56"/>
        <v>49.145944501406525</v>
      </c>
      <c r="W30" s="54">
        <f t="shared" si="55"/>
        <v>256037.59907396705</v>
      </c>
      <c r="X30" s="54">
        <f t="shared" si="49"/>
        <v>32956.526900585595</v>
      </c>
      <c r="Y30" s="17">
        <f t="shared" si="26"/>
        <v>0</v>
      </c>
      <c r="Z30" s="12">
        <f t="shared" si="27"/>
        <v>0</v>
      </c>
      <c r="AA30" s="12">
        <f>((H30*$E$116*1*References!$C$58)/References!$G$61)-'Company Calc'!M30</f>
        <v>0</v>
      </c>
    </row>
    <row r="31" spans="1:27" ht="14.45" customHeight="1">
      <c r="A31" s="472"/>
      <c r="B31" s="35" t="s">
        <v>161</v>
      </c>
      <c r="C31" s="35" t="str">
        <f>+INDEX('Clallam Reg Price Out'!B:B,MATCH(D31,'Clallam Reg Price Out'!C:C,0))</f>
        <v>R2YD1W</v>
      </c>
      <c r="D31" t="s">
        <v>124</v>
      </c>
      <c r="E31" s="26">
        <f>+SUMIF('Clallam Reg Price Out'!B:B,C31,'Clallam Reg Price Out'!AH:AH)+SUMIF('CityPA-M Price Out'!B:B,C31,'CityPA-M Price Out'!AI:AI)</f>
        <v>1.4499757294644302</v>
      </c>
      <c r="F31" s="20">
        <f>+References!$C$13</f>
        <v>4.333333333333333</v>
      </c>
      <c r="G31" s="53">
        <f t="shared" si="15"/>
        <v>75.398737932150368</v>
      </c>
      <c r="H31" s="53">
        <f>References!$B$35</f>
        <v>324</v>
      </c>
      <c r="I31" s="53">
        <f t="shared" si="50"/>
        <v>24429.19109001672</v>
      </c>
      <c r="J31" s="34">
        <f t="shared" si="46"/>
        <v>18488.548467179458</v>
      </c>
      <c r="K31" s="52">
        <f>(References!$C$58*J31)</f>
        <v>466.18874959992979</v>
      </c>
      <c r="L31" s="52">
        <f>K31/References!$G$61</f>
        <v>476.96823163487801</v>
      </c>
      <c r="M31" s="52">
        <f t="shared" si="51"/>
        <v>6.3259445014065223</v>
      </c>
      <c r="N31" s="52">
        <f>N30</f>
        <v>42.82</v>
      </c>
      <c r="O31" s="52">
        <f t="shared" si="17"/>
        <v>49.145944501406525</v>
      </c>
      <c r="P31" s="52">
        <f>'Proposed Rates'!E56</f>
        <v>49.145944501406525</v>
      </c>
      <c r="Q31" s="52">
        <f t="shared" si="52"/>
        <v>3228.5739582546789</v>
      </c>
      <c r="R31" s="52">
        <f t="shared" si="53"/>
        <v>3705.542189889557</v>
      </c>
      <c r="S31" s="52">
        <f t="shared" si="47"/>
        <v>476.96823163487807</v>
      </c>
      <c r="T31" s="52">
        <f t="shared" si="54"/>
        <v>3705.542189889557</v>
      </c>
      <c r="U31" s="52">
        <f t="shared" si="48"/>
        <v>0</v>
      </c>
      <c r="V31" s="54">
        <f t="shared" si="56"/>
        <v>49.145944501406525</v>
      </c>
      <c r="W31" s="54">
        <f t="shared" si="55"/>
        <v>3705.542189889557</v>
      </c>
      <c r="X31" s="54">
        <f t="shared" si="49"/>
        <v>476.96823163487807</v>
      </c>
      <c r="Y31" s="17">
        <f t="shared" si="26"/>
        <v>0</v>
      </c>
      <c r="Z31" s="12">
        <f t="shared" si="27"/>
        <v>0</v>
      </c>
      <c r="AA31" s="12">
        <f>((H31*$E$116*1*References!$C$58)/References!$G$61)-'Company Calc'!M31</f>
        <v>0</v>
      </c>
    </row>
    <row r="32" spans="1:27" ht="14.45" customHeight="1">
      <c r="A32" s="472"/>
      <c r="B32" s="35"/>
      <c r="C32" s="35" t="str">
        <f>+INDEX('Clallam Reg Price Out'!B:B,MATCH(D32,'Clallam Reg Price Out'!C:C,0))</f>
        <v>F2YD2W</v>
      </c>
      <c r="D32" t="s">
        <v>125</v>
      </c>
      <c r="E32" s="26">
        <f>+SUMIF('Clallam Reg Price Out'!B:B,C32,'Clallam Reg Price Out'!AH:AH)+SUMIF('CityPA-M Price Out'!B:B,C32,'CityPA-M Price Out'!AI:AI)</f>
        <v>1</v>
      </c>
      <c r="F32" s="20">
        <f>+References!$C$13*2</f>
        <v>8.6666666666666661</v>
      </c>
      <c r="G32" s="53">
        <f t="shared" si="15"/>
        <v>104</v>
      </c>
      <c r="H32" s="53">
        <f>References!$B$35</f>
        <v>324</v>
      </c>
      <c r="I32" s="53">
        <f>G32*H32</f>
        <v>33696</v>
      </c>
      <c r="J32" s="34">
        <f t="shared" si="46"/>
        <v>25501.873019638027</v>
      </c>
      <c r="K32" s="52">
        <f>(References!$C$58*J32)</f>
        <v>643.02972819017259</v>
      </c>
      <c r="L32" s="52">
        <f>K32/References!$G$61</f>
        <v>657.89822814627848</v>
      </c>
      <c r="M32" s="52">
        <f t="shared" si="51"/>
        <v>6.3259445014065241</v>
      </c>
      <c r="N32" s="52">
        <f>N31</f>
        <v>42.82</v>
      </c>
      <c r="O32" s="52">
        <f t="shared" si="17"/>
        <v>49.145944501406525</v>
      </c>
      <c r="P32" s="52">
        <f>'Proposed Rates'!E56</f>
        <v>49.145944501406525</v>
      </c>
      <c r="Q32" s="52">
        <f t="shared" si="52"/>
        <v>4453.28</v>
      </c>
      <c r="R32" s="52">
        <f t="shared" si="53"/>
        <v>5111.1782281462783</v>
      </c>
      <c r="S32" s="52">
        <f t="shared" si="47"/>
        <v>657.8982281462786</v>
      </c>
      <c r="T32" s="52">
        <f t="shared" si="54"/>
        <v>5111.1782281462783</v>
      </c>
      <c r="U32" s="52">
        <f t="shared" si="48"/>
        <v>0</v>
      </c>
      <c r="V32" s="54">
        <f t="shared" si="56"/>
        <v>49.145944501406525</v>
      </c>
      <c r="W32" s="54">
        <f t="shared" si="55"/>
        <v>5111.1782281462783</v>
      </c>
      <c r="X32" s="54">
        <f t="shared" si="49"/>
        <v>657.8982281462786</v>
      </c>
      <c r="Y32" s="17">
        <f t="shared" si="26"/>
        <v>0</v>
      </c>
      <c r="Z32" s="12">
        <f t="shared" si="27"/>
        <v>0</v>
      </c>
      <c r="AA32" s="12">
        <f>((H32*$E$116*1*References!$C$58)/References!$G$61)-'Company Calc'!M32</f>
        <v>0</v>
      </c>
    </row>
    <row r="33" spans="1:27" ht="14.45" customHeight="1">
      <c r="A33" s="472"/>
      <c r="B33" s="35" t="s">
        <v>161</v>
      </c>
      <c r="C33" s="35" t="str">
        <f>+INDEX('Clallam Reg Price Out'!B:B,MATCH(D33,'Clallam Reg Price Out'!C:C,0))</f>
        <v>F3YD1W</v>
      </c>
      <c r="D33" t="s">
        <v>126</v>
      </c>
      <c r="E33" s="26">
        <f>+SUMIF('Clallam Reg Price Out'!B:B,C33,'Clallam Reg Price Out'!AH:AH)+SUMIF('CityPA-M Price Out'!B:B,C33,'CityPA-M Price Out'!AI:AI)</f>
        <v>50.903253981150478</v>
      </c>
      <c r="F33" s="20">
        <f>+References!$C$13</f>
        <v>4.333333333333333</v>
      </c>
      <c r="G33" s="53">
        <f t="shared" si="15"/>
        <v>2646.9692070198244</v>
      </c>
      <c r="H33" s="53">
        <f>References!$B$36</f>
        <v>473</v>
      </c>
      <c r="I33" s="53">
        <f t="shared" si="50"/>
        <v>1252016.4349203769</v>
      </c>
      <c r="J33" s="34">
        <f t="shared" si="46"/>
        <v>947553.54172125319</v>
      </c>
      <c r="K33" s="52">
        <f>(References!$C$58*J33)</f>
        <v>23892.562554501386</v>
      </c>
      <c r="L33" s="52">
        <f>K33/References!$G$61</f>
        <v>24445.020006651714</v>
      </c>
      <c r="M33" s="52">
        <f t="shared" si="51"/>
        <v>9.2350979912508802</v>
      </c>
      <c r="N33" s="52">
        <f>'Proposed Rates'!C57</f>
        <v>56.85</v>
      </c>
      <c r="O33" s="52">
        <f t="shared" si="17"/>
        <v>66.085097991250876</v>
      </c>
      <c r="P33" s="52">
        <f>'Proposed Rates'!E57</f>
        <v>66.085097991250876</v>
      </c>
      <c r="Q33" s="52">
        <f t="shared" si="52"/>
        <v>150480.19941907702</v>
      </c>
      <c r="R33" s="52">
        <f t="shared" si="53"/>
        <v>174925.21942572872</v>
      </c>
      <c r="S33" s="52">
        <f t="shared" si="47"/>
        <v>24445.020006651699</v>
      </c>
      <c r="T33" s="52">
        <f t="shared" si="54"/>
        <v>174925.21942572872</v>
      </c>
      <c r="U33" s="52">
        <f t="shared" si="48"/>
        <v>0</v>
      </c>
      <c r="V33" s="54">
        <f t="shared" si="56"/>
        <v>66.085097991250876</v>
      </c>
      <c r="W33" s="54">
        <f t="shared" si="55"/>
        <v>174925.21942572872</v>
      </c>
      <c r="X33" s="54">
        <f t="shared" si="49"/>
        <v>24445.020006651699</v>
      </c>
      <c r="Y33" s="17">
        <f t="shared" si="26"/>
        <v>0</v>
      </c>
      <c r="Z33" s="12">
        <f t="shared" si="27"/>
        <v>0</v>
      </c>
      <c r="AA33" s="12">
        <f>((H33*$E$116*1*References!$C$58)/References!$G$61)-'Company Calc'!M33</f>
        <v>0</v>
      </c>
    </row>
    <row r="34" spans="1:27" ht="14.45" customHeight="1">
      <c r="A34" s="472"/>
      <c r="B34" s="35" t="s">
        <v>161</v>
      </c>
      <c r="C34" s="35" t="str">
        <f>+INDEX('Clallam Reg Price Out'!B:B,MATCH(D34,'Clallam Reg Price Out'!C:C,0))</f>
        <v>F3YD2W</v>
      </c>
      <c r="D34" t="s">
        <v>383</v>
      </c>
      <c r="E34" s="26">
        <f>+SUMIF('Clallam Reg Price Out'!B:B,C34,'Clallam Reg Price Out'!AH:AH)+SUMIF('CityPA-M Price Out'!B:B,C34,'CityPA-M Price Out'!AI:AI)</f>
        <v>0.3</v>
      </c>
      <c r="F34" s="20">
        <f>+References!$C$13*2</f>
        <v>8.6666666666666661</v>
      </c>
      <c r="G34" s="53">
        <f t="shared" ref="G34" si="57">E34*F34*12</f>
        <v>31.199999999999996</v>
      </c>
      <c r="H34" s="53">
        <f>References!$B$36</f>
        <v>473</v>
      </c>
      <c r="I34" s="53">
        <f t="shared" ref="I34" si="58">G34*H34</f>
        <v>14757.599999999999</v>
      </c>
      <c r="J34" s="34">
        <f t="shared" si="46"/>
        <v>11168.875868785912</v>
      </c>
      <c r="K34" s="52">
        <f>(References!$C$58*J34)</f>
        <v>281.62320503143661</v>
      </c>
      <c r="L34" s="52">
        <f>K34/References!$G$61</f>
        <v>288.13505732702743</v>
      </c>
      <c r="M34" s="52">
        <f t="shared" ref="M34" si="59">L34/G34</f>
        <v>9.2350979912508802</v>
      </c>
      <c r="N34" s="52">
        <f>'Proposed Rates'!C57</f>
        <v>56.85</v>
      </c>
      <c r="O34" s="52">
        <f t="shared" ref="O34" si="60">M34+N34</f>
        <v>66.085097991250876</v>
      </c>
      <c r="P34" s="52">
        <f>'Proposed Rates'!E57</f>
        <v>66.085097991250876</v>
      </c>
      <c r="Q34" s="52">
        <f t="shared" ref="Q34" si="61">G34*N34</f>
        <v>1773.7199999999998</v>
      </c>
      <c r="R34" s="52">
        <f t="shared" ref="R34" si="62">G34*P34</f>
        <v>2061.8550573270272</v>
      </c>
      <c r="S34" s="52">
        <f t="shared" ref="S34" si="63">R34-Q34</f>
        <v>288.13505732702743</v>
      </c>
      <c r="T34" s="52">
        <f t="shared" ref="T34" si="64">G34*O34</f>
        <v>2061.8550573270272</v>
      </c>
      <c r="U34" s="52">
        <f t="shared" ref="U34" si="65">R34-T34</f>
        <v>0</v>
      </c>
      <c r="V34" s="54">
        <f t="shared" ref="V34" si="66">O34</f>
        <v>66.085097991250876</v>
      </c>
      <c r="W34" s="54">
        <f t="shared" ref="W34" si="67">G34*V34</f>
        <v>2061.8550573270272</v>
      </c>
      <c r="X34" s="54">
        <f t="shared" ref="X34" si="68">W34-Q34</f>
        <v>288.13505732702743</v>
      </c>
      <c r="Y34" s="17">
        <f t="shared" ref="Y34" si="69">S34-X34</f>
        <v>0</v>
      </c>
      <c r="Z34" s="12">
        <f t="shared" ref="Z34" si="70">P34-V34</f>
        <v>0</v>
      </c>
      <c r="AA34" s="12">
        <f>((H34*$E$116*1*References!$C$58)/References!$G$61)-'Company Calc'!M34</f>
        <v>0</v>
      </c>
    </row>
    <row r="35" spans="1:27" ht="14.45" customHeight="1">
      <c r="A35" s="472"/>
      <c r="B35" s="35" t="s">
        <v>161</v>
      </c>
      <c r="C35" s="35" t="str">
        <f>+INDEX('Clallam Reg Price Out'!B:B,MATCH(D35,'Clallam Reg Price Out'!C:C,0))</f>
        <v>F4YD1W</v>
      </c>
      <c r="D35" t="s">
        <v>127</v>
      </c>
      <c r="E35" s="26">
        <f>+SUMIF('Clallam Reg Price Out'!B:B,C35,'Clallam Reg Price Out'!AH:AH)+SUMIF('CityPA-M Price Out'!B:B,C35,'CityPA-M Price Out'!AI:AI)</f>
        <v>62</v>
      </c>
      <c r="F35" s="20">
        <f>+References!$C$13</f>
        <v>4.333333333333333</v>
      </c>
      <c r="G35" s="53">
        <f t="shared" si="15"/>
        <v>3223.9999999999995</v>
      </c>
      <c r="H35" s="53">
        <f>References!B38</f>
        <v>613</v>
      </c>
      <c r="I35" s="53">
        <f t="shared" si="50"/>
        <v>1976311.9999999998</v>
      </c>
      <c r="J35" s="34">
        <f t="shared" si="46"/>
        <v>1495716.3363956215</v>
      </c>
      <c r="K35" s="52">
        <f>(References!$C$58*J35)</f>
        <v>37714.487422215578</v>
      </c>
      <c r="L35" s="52">
        <f>K35/References!$G$61</f>
        <v>38586.543300813973</v>
      </c>
      <c r="M35" s="52">
        <f t="shared" si="51"/>
        <v>11.968530800500615</v>
      </c>
      <c r="N35" s="52">
        <f>'Proposed Rates'!C58</f>
        <v>77.709999999999994</v>
      </c>
      <c r="O35" s="52">
        <f t="shared" si="17"/>
        <v>89.67853080050061</v>
      </c>
      <c r="P35" s="52">
        <f>'Proposed Rates'!E58</f>
        <v>89.67853080050061</v>
      </c>
      <c r="Q35" s="52">
        <f t="shared" si="52"/>
        <v>250537.03999999995</v>
      </c>
      <c r="R35" s="52">
        <f t="shared" si="53"/>
        <v>289123.58330081392</v>
      </c>
      <c r="S35" s="52">
        <f t="shared" si="47"/>
        <v>38586.543300813966</v>
      </c>
      <c r="T35" s="52">
        <f t="shared" si="54"/>
        <v>289123.58330081392</v>
      </c>
      <c r="U35" s="52">
        <f t="shared" si="48"/>
        <v>0</v>
      </c>
      <c r="V35" s="54">
        <f t="shared" si="56"/>
        <v>89.67853080050061</v>
      </c>
      <c r="W35" s="54">
        <f t="shared" si="55"/>
        <v>289123.58330081392</v>
      </c>
      <c r="X35" s="54">
        <f t="shared" si="49"/>
        <v>38586.543300813966</v>
      </c>
      <c r="Y35" s="17">
        <f t="shared" si="26"/>
        <v>0</v>
      </c>
      <c r="Z35" s="12">
        <f t="shared" si="27"/>
        <v>0</v>
      </c>
      <c r="AA35" s="12">
        <f>((H35*$E$116*1*References!$C$58)/References!$G$61)-'Company Calc'!M35</f>
        <v>0</v>
      </c>
    </row>
    <row r="36" spans="1:27" ht="14.45" customHeight="1">
      <c r="A36" s="472"/>
      <c r="B36" s="35" t="s">
        <v>161</v>
      </c>
      <c r="C36" s="35" t="str">
        <f>+INDEX('Clallam Reg Price Out'!B:B,MATCH(D36,'Clallam Reg Price Out'!C:C,0))</f>
        <v>F4YD2W</v>
      </c>
      <c r="D36" t="s">
        <v>377</v>
      </c>
      <c r="E36" s="26">
        <f>+SUMIF('Clallam Reg Price Out'!B:B,C36,'Clallam Reg Price Out'!AH:AH)+SUMIF('CityPA-M Price Out'!B:B,C36,'CityPA-M Price Out'!AI:AI)</f>
        <v>1.4166654283747171</v>
      </c>
      <c r="F36" s="20">
        <f>+References!$C$13*2</f>
        <v>8.6666666666666661</v>
      </c>
      <c r="G36" s="53">
        <f t="shared" ref="G36" si="71">E36*F36*12</f>
        <v>147.33320455097055</v>
      </c>
      <c r="H36" s="53">
        <f>References!B38</f>
        <v>613</v>
      </c>
      <c r="I36" s="53">
        <f t="shared" ref="I36" si="72">G36*H36</f>
        <v>90315.25438974495</v>
      </c>
      <c r="J36" s="34">
        <f t="shared" si="46"/>
        <v>68352.568529902113</v>
      </c>
      <c r="K36" s="52">
        <f>(References!$C$58*J36)</f>
        <v>1723.5100154814809</v>
      </c>
      <c r="L36" s="52">
        <f>K36/References!$G$61</f>
        <v>1763.3619966047481</v>
      </c>
      <c r="M36" s="52">
        <f t="shared" ref="M36" si="73">L36/G36</f>
        <v>11.968530800500613</v>
      </c>
      <c r="N36" s="52">
        <f>'Proposed Rates'!C58</f>
        <v>77.709999999999994</v>
      </c>
      <c r="O36" s="52">
        <f t="shared" ref="O36" si="74">M36+N36</f>
        <v>89.67853080050061</v>
      </c>
      <c r="P36" s="52">
        <f>'Proposed Rates'!E58</f>
        <v>89.67853080050061</v>
      </c>
      <c r="Q36" s="52">
        <f t="shared" ref="Q36" si="75">G36*N36</f>
        <v>11449.26332565592</v>
      </c>
      <c r="R36" s="52">
        <f t="shared" ref="R36" si="76">G36*P36</f>
        <v>13212.625322260668</v>
      </c>
      <c r="S36" s="52">
        <f t="shared" ref="S36" si="77">R36-Q36</f>
        <v>1763.3619966047481</v>
      </c>
      <c r="T36" s="52">
        <f t="shared" ref="T36" si="78">G36*O36</f>
        <v>13212.625322260668</v>
      </c>
      <c r="U36" s="52">
        <f t="shared" ref="U36" si="79">R36-T36</f>
        <v>0</v>
      </c>
      <c r="V36" s="54">
        <f t="shared" ref="V36" si="80">O36</f>
        <v>89.67853080050061</v>
      </c>
      <c r="W36" s="54">
        <f t="shared" ref="W36" si="81">G36*V36</f>
        <v>13212.625322260668</v>
      </c>
      <c r="X36" s="54">
        <f t="shared" ref="X36" si="82">W36-Q36</f>
        <v>1763.3619966047481</v>
      </c>
      <c r="Y36" s="17">
        <f t="shared" ref="Y36" si="83">S36-X36</f>
        <v>0</v>
      </c>
      <c r="Z36" s="12">
        <f t="shared" ref="Z36" si="84">P36-V36</f>
        <v>0</v>
      </c>
      <c r="AA36" s="12">
        <f>((H36*$E$116*1*References!$C$58)/References!$G$61)-'Company Calc'!M36</f>
        <v>0</v>
      </c>
    </row>
    <row r="37" spans="1:27" ht="14.45" customHeight="1">
      <c r="A37" s="472"/>
      <c r="B37" s="35" t="s">
        <v>161</v>
      </c>
      <c r="C37" s="35" t="str">
        <f>+INDEX('Clallam Reg Price Out'!B:B,MATCH(D37,'Clallam Reg Price Out'!C:C,0))</f>
        <v>R6YD1W</v>
      </c>
      <c r="D37" t="s">
        <v>128</v>
      </c>
      <c r="E37" s="26">
        <f>+SUMIF('Clallam Reg Price Out'!B:B,C37,'Clallam Reg Price Out'!AH:AH)+SUMIF('CityPA-M Price Out'!B:B,C37,'CityPA-M Price Out'!AI:AI)</f>
        <v>0.90624933574237432</v>
      </c>
      <c r="F37" s="20">
        <f>+References!$C$13</f>
        <v>4.333333333333333</v>
      </c>
      <c r="G37" s="53">
        <f t="shared" si="15"/>
        <v>47.124965458603455</v>
      </c>
      <c r="H37" s="53">
        <f>References!$B$40</f>
        <v>840</v>
      </c>
      <c r="I37" s="53">
        <f t="shared" si="50"/>
        <v>39584.970985226901</v>
      </c>
      <c r="J37" s="34">
        <f t="shared" si="46"/>
        <v>29958.775627709878</v>
      </c>
      <c r="K37" s="52">
        <f>(References!$C$58*J37)</f>
        <v>755.41052745270417</v>
      </c>
      <c r="L37" s="52">
        <f>K37/References!$G$61</f>
        <v>772.87756031584217</v>
      </c>
      <c r="M37" s="52">
        <f t="shared" si="51"/>
        <v>16.400596855498392</v>
      </c>
      <c r="N37" s="52">
        <f>'Proposed Rates'!C59</f>
        <v>108.65</v>
      </c>
      <c r="O37" s="52">
        <f t="shared" si="17"/>
        <v>125.0505968554984</v>
      </c>
      <c r="P37" s="52">
        <f>'Proposed Rates'!E59</f>
        <v>125.0505968554984</v>
      </c>
      <c r="Q37" s="52">
        <f t="shared" si="52"/>
        <v>5120.1274970772656</v>
      </c>
      <c r="R37" s="52">
        <f t="shared" si="53"/>
        <v>5893.0050573931076</v>
      </c>
      <c r="S37" s="52">
        <f t="shared" si="47"/>
        <v>772.87756031584195</v>
      </c>
      <c r="T37" s="52">
        <f t="shared" si="54"/>
        <v>5893.0050573931076</v>
      </c>
      <c r="U37" s="52">
        <f t="shared" si="48"/>
        <v>0</v>
      </c>
      <c r="V37" s="54">
        <f t="shared" si="56"/>
        <v>125.0505968554984</v>
      </c>
      <c r="W37" s="54">
        <f t="shared" si="55"/>
        <v>5893.0050573931076</v>
      </c>
      <c r="X37" s="54">
        <f t="shared" si="49"/>
        <v>772.87756031584195</v>
      </c>
      <c r="Y37" s="17">
        <f t="shared" si="26"/>
        <v>0</v>
      </c>
      <c r="Z37" s="12">
        <f t="shared" si="27"/>
        <v>0</v>
      </c>
      <c r="AA37" s="12">
        <f>((H37*$E$116*1*References!$C$58)/References!$G$61)-'Company Calc'!M37</f>
        <v>0</v>
      </c>
    </row>
    <row r="38" spans="1:27" ht="14.45" customHeight="1">
      <c r="A38" s="472"/>
      <c r="B38" s="35" t="s">
        <v>161</v>
      </c>
      <c r="C38" s="35" t="str">
        <f>+INDEX('Clallam Reg Price Out'!B:B,MATCH(D38,'Clallam Reg Price Out'!C:C,0))</f>
        <v>F6YD1W</v>
      </c>
      <c r="D38" t="s">
        <v>129</v>
      </c>
      <c r="E38" s="26">
        <f>+SUMIF('Clallam Reg Price Out'!B:B,C38,'Clallam Reg Price Out'!AH:AH)+SUMIF('CityPA-M Price Out'!B:B,C38,'CityPA-M Price Out'!AI:AI)</f>
        <v>46.315798703369119</v>
      </c>
      <c r="F38" s="20">
        <f>+References!$C$13</f>
        <v>4.333333333333333</v>
      </c>
      <c r="G38" s="53">
        <f t="shared" si="15"/>
        <v>2408.4215325751939</v>
      </c>
      <c r="H38" s="53">
        <f>References!$B$40</f>
        <v>840</v>
      </c>
      <c r="I38" s="53">
        <f t="shared" si="50"/>
        <v>2023074.0873631628</v>
      </c>
      <c r="J38" s="34">
        <f t="shared" si="46"/>
        <v>1531106.911362045</v>
      </c>
      <c r="K38" s="52">
        <f>(References!$C$58*J38)</f>
        <v>38606.860769993946</v>
      </c>
      <c r="L38" s="52">
        <f>K38/References!$G$61</f>
        <v>39499.550613867345</v>
      </c>
      <c r="M38" s="52">
        <f t="shared" si="51"/>
        <v>16.400596855498392</v>
      </c>
      <c r="N38" s="52">
        <f>N37</f>
        <v>108.65</v>
      </c>
      <c r="O38" s="52">
        <f t="shared" si="17"/>
        <v>125.0505968554984</v>
      </c>
      <c r="P38" s="52">
        <f>'Proposed Rates'!E59</f>
        <v>125.0505968554984</v>
      </c>
      <c r="Q38" s="52">
        <f t="shared" si="52"/>
        <v>261674.99951429482</v>
      </c>
      <c r="R38" s="52">
        <f t="shared" si="53"/>
        <v>301174.55012816214</v>
      </c>
      <c r="S38" s="52">
        <f t="shared" si="47"/>
        <v>39499.550613867323</v>
      </c>
      <c r="T38" s="52">
        <f t="shared" si="54"/>
        <v>301174.55012816214</v>
      </c>
      <c r="U38" s="52">
        <f t="shared" si="48"/>
        <v>0</v>
      </c>
      <c r="V38" s="54">
        <f t="shared" si="56"/>
        <v>125.0505968554984</v>
      </c>
      <c r="W38" s="54">
        <f t="shared" si="55"/>
        <v>301174.55012816214</v>
      </c>
      <c r="X38" s="54">
        <f t="shared" si="49"/>
        <v>39499.550613867323</v>
      </c>
      <c r="Y38" s="17">
        <f t="shared" si="26"/>
        <v>0</v>
      </c>
      <c r="Z38" s="12">
        <f t="shared" si="27"/>
        <v>0</v>
      </c>
      <c r="AA38" s="12">
        <f>((H38*$E$116*1*References!$C$58)/References!$G$61)-'Company Calc'!M38</f>
        <v>0</v>
      </c>
    </row>
    <row r="39" spans="1:27" ht="14.45" customHeight="1">
      <c r="A39" s="472"/>
      <c r="B39" s="35" t="s">
        <v>161</v>
      </c>
      <c r="C39" s="35" t="str">
        <f>+INDEX('Clallam Reg Price Out'!B:B,MATCH(D39,'Clallam Reg Price Out'!C:C,0))</f>
        <v>F6YD2W</v>
      </c>
      <c r="D39" t="s">
        <v>379</v>
      </c>
      <c r="E39" s="26">
        <f>+SUMIF('Clallam Reg Price Out'!B:B,C39,'Clallam Reg Price Out'!AH:AH)+SUMIF('CityPA-M Price Out'!B:B,C39,'CityPA-M Price Out'!AI:AI)</f>
        <v>1.5624980072483021</v>
      </c>
      <c r="F39" s="20">
        <f>+References!$C$13*2</f>
        <v>8.6666666666666661</v>
      </c>
      <c r="G39" s="53">
        <f t="shared" si="15"/>
        <v>162.49979275382339</v>
      </c>
      <c r="H39" s="53">
        <f>References!$B$40</f>
        <v>840</v>
      </c>
      <c r="I39" s="53">
        <f t="shared" ref="I39" si="85">G39*H39</f>
        <v>136499.82591321165</v>
      </c>
      <c r="J39" s="34">
        <f t="shared" si="46"/>
        <v>103306.06682221688</v>
      </c>
      <c r="K39" s="52">
        <f>(References!$C$58*J39)</f>
        <v>2604.8624749221972</v>
      </c>
      <c r="L39" s="52">
        <f>K39/References!$G$61</f>
        <v>2665.0935900574964</v>
      </c>
      <c r="M39" s="52">
        <f t="shared" ref="M39" si="86">L39/G39</f>
        <v>16.400596855498392</v>
      </c>
      <c r="N39" s="52">
        <f>N38</f>
        <v>108.65</v>
      </c>
      <c r="O39" s="52">
        <f t="shared" ref="O39" si="87">M39+N39</f>
        <v>125.0505968554984</v>
      </c>
      <c r="P39" s="52">
        <f>'Proposed Rates'!E59</f>
        <v>125.0505968554984</v>
      </c>
      <c r="Q39" s="52">
        <f t="shared" ref="Q39" si="88">G39*N39</f>
        <v>17655.60248270291</v>
      </c>
      <c r="R39" s="52">
        <f t="shared" ref="R39" si="89">G39*P39</f>
        <v>20320.696072760409</v>
      </c>
      <c r="S39" s="52">
        <f t="shared" ref="S39" si="90">R39-Q39</f>
        <v>2665.0935900574987</v>
      </c>
      <c r="T39" s="52">
        <f t="shared" ref="T39" si="91">G39*O39</f>
        <v>20320.696072760409</v>
      </c>
      <c r="U39" s="52">
        <f t="shared" ref="U39" si="92">R39-T39</f>
        <v>0</v>
      </c>
      <c r="V39" s="54">
        <f t="shared" ref="V39" si="93">O39</f>
        <v>125.0505968554984</v>
      </c>
      <c r="W39" s="54">
        <f t="shared" ref="W39" si="94">G39*V39</f>
        <v>20320.696072760409</v>
      </c>
      <c r="X39" s="54">
        <f t="shared" ref="X39" si="95">W39-Q39</f>
        <v>2665.0935900574987</v>
      </c>
      <c r="Y39" s="17">
        <f t="shared" ref="Y39" si="96">S39-X39</f>
        <v>0</v>
      </c>
      <c r="Z39" s="12">
        <f t="shared" ref="Z39" si="97">P39-V39</f>
        <v>0</v>
      </c>
      <c r="AA39" s="12">
        <f>((H39*$E$116*1*References!$C$58)/References!$G$61)-'Company Calc'!M39</f>
        <v>0</v>
      </c>
    </row>
    <row r="40" spans="1:27" ht="14.45" customHeight="1">
      <c r="A40" s="472"/>
      <c r="B40" s="35" t="s">
        <v>161</v>
      </c>
      <c r="C40" s="35" t="str">
        <f>+INDEX('Clallam Reg Price Out'!B:B,MATCH(D40,'Clallam Reg Price Out'!C:C,0))</f>
        <v>F8YD1W</v>
      </c>
      <c r="D40" t="s">
        <v>130</v>
      </c>
      <c r="E40" s="26">
        <f>+SUMIF('Clallam Reg Price Out'!B:B,C40,'Clallam Reg Price Out'!AH:AH)+SUMIF('CityPA-M Price Out'!B:B,C40,'CityPA-M Price Out'!AI:AI)</f>
        <v>7.2291636964637425</v>
      </c>
      <c r="F40" s="20">
        <f>+References!$C$13</f>
        <v>4.333333333333333</v>
      </c>
      <c r="G40" s="53">
        <f t="shared" si="15"/>
        <v>375.9165122161146</v>
      </c>
      <c r="H40" s="53">
        <f>References!B42</f>
        <v>980</v>
      </c>
      <c r="I40" s="53">
        <f t="shared" si="50"/>
        <v>368398.18197179231</v>
      </c>
      <c r="J40" s="34">
        <f t="shared" si="46"/>
        <v>278811.83693346835</v>
      </c>
      <c r="K40" s="52">
        <f>(References!$C$58*J40)</f>
        <v>7030.2404682774013</v>
      </c>
      <c r="L40" s="52">
        <f>K40/References!$G$61</f>
        <v>7192.7976962117873</v>
      </c>
      <c r="M40" s="52">
        <f t="shared" si="51"/>
        <v>19.134029664748123</v>
      </c>
      <c r="N40" s="52">
        <f>'Proposed Rates'!C60</f>
        <v>145.79</v>
      </c>
      <c r="O40" s="52">
        <f t="shared" si="17"/>
        <v>164.9240296647481</v>
      </c>
      <c r="P40" s="52">
        <f>'Proposed Rates'!E60</f>
        <v>164.9240296647481</v>
      </c>
      <c r="Q40" s="52">
        <f t="shared" si="52"/>
        <v>54804.868315987347</v>
      </c>
      <c r="R40" s="52">
        <f t="shared" si="53"/>
        <v>61997.66601219913</v>
      </c>
      <c r="S40" s="52">
        <f t="shared" si="47"/>
        <v>7192.7976962117827</v>
      </c>
      <c r="T40" s="52">
        <f t="shared" si="54"/>
        <v>61997.66601219913</v>
      </c>
      <c r="U40" s="52">
        <f t="shared" si="48"/>
        <v>0</v>
      </c>
      <c r="V40" s="54">
        <f t="shared" si="56"/>
        <v>164.9240296647481</v>
      </c>
      <c r="W40" s="54">
        <f t="shared" si="55"/>
        <v>61997.66601219913</v>
      </c>
      <c r="X40" s="54">
        <f t="shared" si="49"/>
        <v>7192.7976962117827</v>
      </c>
      <c r="Y40" s="17">
        <f t="shared" si="26"/>
        <v>0</v>
      </c>
      <c r="Z40" s="12">
        <f t="shared" si="27"/>
        <v>0</v>
      </c>
      <c r="AA40" s="12">
        <f>((H40*$E$116*1*References!$C$58)/References!$G$61)-'Company Calc'!M40</f>
        <v>0</v>
      </c>
    </row>
    <row r="41" spans="1:27" ht="14.45" customHeight="1">
      <c r="A41" s="472"/>
      <c r="B41" s="35" t="s">
        <v>161</v>
      </c>
      <c r="C41" s="35" t="str">
        <f>+INDEX('Clallam Reg Price Out'!B:B,MATCH(D41,'Clallam Reg Price Out'!C:C,0))</f>
        <v>R1YDEOW</v>
      </c>
      <c r="D41" t="s">
        <v>131</v>
      </c>
      <c r="E41" s="26">
        <f>+SUMIF('Clallam Reg Price Out'!B:B,C41,'Clallam Reg Price Out'!AH:AH)+SUMIF('CityPA-M Price Out'!B:B,C41,'CityPA-M Price Out'!AI:AI)</f>
        <v>1.8636267068389438</v>
      </c>
      <c r="F41" s="20">
        <f>References!$B$13</f>
        <v>2.1666666666666665</v>
      </c>
      <c r="G41" s="53">
        <f t="shared" si="15"/>
        <v>48.454294377812538</v>
      </c>
      <c r="H41" s="53">
        <f>References!B32</f>
        <v>175</v>
      </c>
      <c r="I41" s="53">
        <f t="shared" si="50"/>
        <v>8479.5015161171941</v>
      </c>
      <c r="J41" s="34">
        <f t="shared" si="46"/>
        <v>6417.4730215410973</v>
      </c>
      <c r="K41" s="52">
        <f>(References!$C$58*J41)</f>
        <v>161.81658223815867</v>
      </c>
      <c r="L41" s="52">
        <f>K41/References!$G$61</f>
        <v>165.55819750169701</v>
      </c>
      <c r="M41" s="52">
        <f t="shared" si="51"/>
        <v>3.4167910115621645</v>
      </c>
      <c r="N41" s="52">
        <f>N26</f>
        <v>21.69</v>
      </c>
      <c r="O41" s="52">
        <f t="shared" si="17"/>
        <v>25.106791011562166</v>
      </c>
      <c r="P41" s="52">
        <f>'Proposed Rates'!E54</f>
        <v>25.106791011562166</v>
      </c>
      <c r="Q41" s="52">
        <f t="shared" si="52"/>
        <v>1050.9736450547541</v>
      </c>
      <c r="R41" s="52">
        <f t="shared" si="53"/>
        <v>1216.531842556451</v>
      </c>
      <c r="S41" s="52">
        <f t="shared" si="47"/>
        <v>165.5581975016969</v>
      </c>
      <c r="T41" s="52">
        <f t="shared" si="54"/>
        <v>1216.531842556451</v>
      </c>
      <c r="U41" s="52">
        <f t="shared" si="48"/>
        <v>0</v>
      </c>
      <c r="V41" s="54">
        <f t="shared" si="56"/>
        <v>25.106791011562166</v>
      </c>
      <c r="W41" s="54">
        <f t="shared" si="55"/>
        <v>1216.531842556451</v>
      </c>
      <c r="X41" s="54">
        <f t="shared" si="49"/>
        <v>165.5581975016969</v>
      </c>
      <c r="Y41" s="17">
        <f t="shared" si="26"/>
        <v>0</v>
      </c>
      <c r="Z41" s="12">
        <f t="shared" si="27"/>
        <v>0</v>
      </c>
      <c r="AA41" s="12">
        <f>((H41*$E$116*1*References!$C$58)/References!$G$61)-'Company Calc'!M41</f>
        <v>0</v>
      </c>
    </row>
    <row r="42" spans="1:27" ht="14.45" customHeight="1">
      <c r="A42" s="472"/>
      <c r="B42" s="35" t="s">
        <v>161</v>
      </c>
      <c r="C42" s="35" t="str">
        <f>+INDEX('Clallam Reg Price Out'!B:B,MATCH(D42,'Clallam Reg Price Out'!C:C,0))</f>
        <v>F1YDEOW</v>
      </c>
      <c r="D42" t="s">
        <v>132</v>
      </c>
      <c r="E42" s="26">
        <f>+SUMIF('Clallam Reg Price Out'!B:B,C42,'Clallam Reg Price Out'!AH:AH)+SUMIF('CityPA-M Price Out'!B:B,C42,'CityPA-M Price Out'!AI:AI)</f>
        <v>200.33313858791871</v>
      </c>
      <c r="F42" s="20">
        <f>References!$B$13</f>
        <v>2.1666666666666665</v>
      </c>
      <c r="G42" s="53">
        <f t="shared" si="15"/>
        <v>5208.6616032858865</v>
      </c>
      <c r="H42" s="53">
        <f>References!B32</f>
        <v>175</v>
      </c>
      <c r="I42" s="53">
        <f t="shared" si="50"/>
        <v>911515.78057503013</v>
      </c>
      <c r="J42" s="34">
        <f t="shared" si="46"/>
        <v>689855.16653670045</v>
      </c>
      <c r="K42" s="52">
        <f>(References!$C$58*J42)</f>
        <v>17394.698024222893</v>
      </c>
      <c r="L42" s="52">
        <f>K42/References!$G$61</f>
        <v>17796.908148376195</v>
      </c>
      <c r="M42" s="52">
        <f t="shared" si="51"/>
        <v>3.4167910115621654</v>
      </c>
      <c r="N42" s="52">
        <f>N26</f>
        <v>21.69</v>
      </c>
      <c r="O42" s="52">
        <f t="shared" si="17"/>
        <v>25.106791011562166</v>
      </c>
      <c r="P42" s="52">
        <f>'Proposed Rates'!E54</f>
        <v>25.106791011562166</v>
      </c>
      <c r="Q42" s="52">
        <f t="shared" si="52"/>
        <v>112975.87017527089</v>
      </c>
      <c r="R42" s="52">
        <f t="shared" si="53"/>
        <v>130772.77832364707</v>
      </c>
      <c r="S42" s="52">
        <f t="shared" si="47"/>
        <v>17796.908148376184</v>
      </c>
      <c r="T42" s="52">
        <f t="shared" si="54"/>
        <v>130772.77832364707</v>
      </c>
      <c r="U42" s="52">
        <f t="shared" si="48"/>
        <v>0</v>
      </c>
      <c r="V42" s="54">
        <f t="shared" si="56"/>
        <v>25.106791011562166</v>
      </c>
      <c r="W42" s="54">
        <f t="shared" si="55"/>
        <v>130772.77832364707</v>
      </c>
      <c r="X42" s="54">
        <f t="shared" si="49"/>
        <v>17796.908148376184</v>
      </c>
      <c r="Y42" s="17">
        <f t="shared" si="26"/>
        <v>0</v>
      </c>
      <c r="Z42" s="12">
        <f t="shared" si="27"/>
        <v>0</v>
      </c>
      <c r="AA42" s="12">
        <f>((H42*$E$116*1*References!$C$58)/References!$G$61)-'Company Calc'!M42</f>
        <v>0</v>
      </c>
    </row>
    <row r="43" spans="1:27" ht="14.45" customHeight="1">
      <c r="A43" s="472"/>
      <c r="B43" s="35" t="s">
        <v>161</v>
      </c>
      <c r="C43" s="35" t="str">
        <f>+INDEX('Clallam Reg Price Out'!B:B,MATCH(D43,'Clallam Reg Price Out'!C:C,0))</f>
        <v>F1.5YDEOW</v>
      </c>
      <c r="D43" t="s">
        <v>133</v>
      </c>
      <c r="E43" s="26">
        <f>+SUMIF('Clallam Reg Price Out'!B:B,C43,'Clallam Reg Price Out'!AH:AH)+SUMIF('CityPA-M Price Out'!B:B,C43,'CityPA-M Price Out'!AI:AI)</f>
        <v>63.999876121104023</v>
      </c>
      <c r="F43" s="20">
        <f>References!$B$13</f>
        <v>2.1666666666666665</v>
      </c>
      <c r="G43" s="53">
        <f t="shared" si="15"/>
        <v>1663.9967791487047</v>
      </c>
      <c r="H43" s="53">
        <f>References!B33</f>
        <v>250</v>
      </c>
      <c r="I43" s="53">
        <f t="shared" si="50"/>
        <v>415999.19478717615</v>
      </c>
      <c r="J43" s="34">
        <f t="shared" si="46"/>
        <v>314837.32911129604</v>
      </c>
      <c r="K43" s="52">
        <f>(References!$C$58*J43)</f>
        <v>7938.6232535413255</v>
      </c>
      <c r="L43" s="52">
        <f>K43/References!$G$61</f>
        <v>8122.1846260909815</v>
      </c>
      <c r="M43" s="52">
        <f t="shared" si="51"/>
        <v>4.8811300165173783</v>
      </c>
      <c r="N43" s="52">
        <f>N28</f>
        <v>31</v>
      </c>
      <c r="O43" s="52">
        <f t="shared" si="17"/>
        <v>35.881130016517375</v>
      </c>
      <c r="P43" s="52">
        <f>'Proposed Rates'!E55</f>
        <v>35.881130016517375</v>
      </c>
      <c r="Q43" s="52">
        <f t="shared" si="52"/>
        <v>51583.900153609844</v>
      </c>
      <c r="R43" s="52">
        <f t="shared" si="53"/>
        <v>59706.084779700825</v>
      </c>
      <c r="S43" s="52">
        <f t="shared" si="47"/>
        <v>8122.1846260909806</v>
      </c>
      <c r="T43" s="52">
        <f t="shared" si="54"/>
        <v>59706.084779700825</v>
      </c>
      <c r="U43" s="52">
        <f t="shared" si="48"/>
        <v>0</v>
      </c>
      <c r="V43" s="54">
        <f t="shared" si="56"/>
        <v>35.881130016517375</v>
      </c>
      <c r="W43" s="54">
        <f t="shared" si="55"/>
        <v>59706.084779700825</v>
      </c>
      <c r="X43" s="54">
        <f t="shared" si="49"/>
        <v>8122.1846260909806</v>
      </c>
      <c r="Y43" s="17">
        <f t="shared" si="26"/>
        <v>0</v>
      </c>
      <c r="Z43" s="12">
        <f t="shared" si="27"/>
        <v>0</v>
      </c>
      <c r="AA43" s="12">
        <f>((H43*$E$116*1*References!$C$58)/References!$G$61)-'Company Calc'!M43</f>
        <v>0</v>
      </c>
    </row>
    <row r="44" spans="1:27" ht="14.45" customHeight="1">
      <c r="A44" s="472"/>
      <c r="B44" s="35" t="s">
        <v>268</v>
      </c>
      <c r="C44" s="35" t="str">
        <f>+INDEX('Clallam Reg Price Out'!B:B,MATCH(D44,'Clallam Reg Price Out'!C:C,0))</f>
        <v>R2YDEOW</v>
      </c>
      <c r="D44" t="s">
        <v>134</v>
      </c>
      <c r="E44" s="26">
        <f>+SUMIF('Clallam Reg Price Out'!B:B,C44,'Clallam Reg Price Out'!AH:AH)+SUMIF('CityPA-M Price Out'!B:B,C44,'CityPA-M Price Out'!AI:AI)</f>
        <v>0.5</v>
      </c>
      <c r="F44" s="20">
        <f>References!$B$13</f>
        <v>2.1666666666666665</v>
      </c>
      <c r="G44" s="53">
        <f t="shared" si="15"/>
        <v>13</v>
      </c>
      <c r="H44" s="53">
        <f>References!B35</f>
        <v>324</v>
      </c>
      <c r="I44" s="53">
        <f t="shared" si="50"/>
        <v>4212</v>
      </c>
      <c r="J44" s="34">
        <f t="shared" si="46"/>
        <v>3187.7341274547534</v>
      </c>
      <c r="K44" s="52">
        <f>(References!$C$58*J44)</f>
        <v>80.378716023771574</v>
      </c>
      <c r="L44" s="52">
        <f>K44/References!$G$61</f>
        <v>82.237278518284811</v>
      </c>
      <c r="M44" s="52">
        <f t="shared" si="51"/>
        <v>6.3259445014065241</v>
      </c>
      <c r="N44" s="52">
        <f>N30</f>
        <v>42.82</v>
      </c>
      <c r="O44" s="52">
        <f t="shared" si="17"/>
        <v>49.145944501406525</v>
      </c>
      <c r="P44" s="52">
        <f>'Proposed Rates'!E56</f>
        <v>49.145944501406525</v>
      </c>
      <c r="Q44" s="52">
        <f t="shared" si="52"/>
        <v>556.66</v>
      </c>
      <c r="R44" s="52">
        <f t="shared" si="53"/>
        <v>638.89727851828479</v>
      </c>
      <c r="S44" s="52">
        <f t="shared" si="47"/>
        <v>82.237278518284825</v>
      </c>
      <c r="T44" s="52">
        <f t="shared" si="54"/>
        <v>638.89727851828479</v>
      </c>
      <c r="U44" s="52">
        <f t="shared" si="48"/>
        <v>0</v>
      </c>
      <c r="V44" s="54">
        <f t="shared" si="56"/>
        <v>49.145944501406525</v>
      </c>
      <c r="W44" s="54">
        <f t="shared" si="55"/>
        <v>638.89727851828479</v>
      </c>
      <c r="X44" s="54">
        <f t="shared" si="49"/>
        <v>82.237278518284825</v>
      </c>
      <c r="Y44" s="17">
        <f t="shared" si="26"/>
        <v>0</v>
      </c>
      <c r="Z44" s="12">
        <f t="shared" si="27"/>
        <v>0</v>
      </c>
      <c r="AA44" s="12">
        <f>((H44*$E$116*1*References!$C$58)/References!$G$61)-'Company Calc'!M44</f>
        <v>0</v>
      </c>
    </row>
    <row r="45" spans="1:27" ht="14.45" customHeight="1">
      <c r="A45" s="472"/>
      <c r="B45" s="35" t="s">
        <v>268</v>
      </c>
      <c r="C45" s="35" t="str">
        <f>+INDEX('Clallam Reg Price Out'!B:B,MATCH(D45,'Clallam Reg Price Out'!C:C,0))</f>
        <v>F2YDEOW</v>
      </c>
      <c r="D45" t="s">
        <v>135</v>
      </c>
      <c r="E45" s="26">
        <f>+SUMIF('Clallam Reg Price Out'!B:B,C45,'Clallam Reg Price Out'!AH:AH)+SUMIF('CityPA-M Price Out'!B:B,C45,'CityPA-M Price Out'!AI:AI)</f>
        <v>77</v>
      </c>
      <c r="F45" s="20">
        <f>References!$B$13</f>
        <v>2.1666666666666665</v>
      </c>
      <c r="G45" s="53">
        <f t="shared" si="15"/>
        <v>2001.9999999999998</v>
      </c>
      <c r="H45" s="53">
        <f>References!B35</f>
        <v>324</v>
      </c>
      <c r="I45" s="53">
        <f t="shared" si="50"/>
        <v>648647.99999999988</v>
      </c>
      <c r="J45" s="34">
        <f t="shared" si="46"/>
        <v>490911.0556280319</v>
      </c>
      <c r="K45" s="52">
        <f>(References!$C$58*J45)</f>
        <v>12378.322267660818</v>
      </c>
      <c r="L45" s="52">
        <f>K45/References!$G$61</f>
        <v>12664.540891815856</v>
      </c>
      <c r="M45" s="52">
        <f t="shared" si="51"/>
        <v>6.3259445014065223</v>
      </c>
      <c r="N45" s="52">
        <f>N30</f>
        <v>42.82</v>
      </c>
      <c r="O45" s="52">
        <f t="shared" si="17"/>
        <v>49.145944501406525</v>
      </c>
      <c r="P45" s="52">
        <f>'Proposed Rates'!E56</f>
        <v>49.145944501406525</v>
      </c>
      <c r="Q45" s="52">
        <f t="shared" si="52"/>
        <v>85725.639999999985</v>
      </c>
      <c r="R45" s="52">
        <f t="shared" si="53"/>
        <v>98390.180891815849</v>
      </c>
      <c r="S45" s="52">
        <f t="shared" si="47"/>
        <v>12664.540891815865</v>
      </c>
      <c r="T45" s="52">
        <f t="shared" si="54"/>
        <v>98390.180891815849</v>
      </c>
      <c r="U45" s="52">
        <f t="shared" si="48"/>
        <v>0</v>
      </c>
      <c r="V45" s="54">
        <f t="shared" si="56"/>
        <v>49.145944501406525</v>
      </c>
      <c r="W45" s="54">
        <f t="shared" si="55"/>
        <v>98390.180891815849</v>
      </c>
      <c r="X45" s="54">
        <f t="shared" si="49"/>
        <v>12664.540891815865</v>
      </c>
      <c r="Y45" s="17">
        <f t="shared" si="26"/>
        <v>0</v>
      </c>
      <c r="Z45" s="12">
        <f t="shared" si="27"/>
        <v>0</v>
      </c>
      <c r="AA45" s="12">
        <f>((H45*$E$116*1*References!$C$58)/References!$G$61)-'Company Calc'!M45</f>
        <v>0</v>
      </c>
    </row>
    <row r="46" spans="1:27" ht="14.45" customHeight="1">
      <c r="A46" s="472"/>
      <c r="B46" s="35" t="s">
        <v>268</v>
      </c>
      <c r="C46" s="35" t="str">
        <f>+INDEX('Clallam Reg Price Out'!B:B,MATCH(D46,'Clallam Reg Price Out'!C:C,0))</f>
        <v>F3YDEOW</v>
      </c>
      <c r="D46" t="s">
        <v>136</v>
      </c>
      <c r="E46" s="26">
        <f>+SUMIF('Clallam Reg Price Out'!B:B,C46,'Clallam Reg Price Out'!AH:AH)+SUMIF('CityPA-M Price Out'!B:B,C46,'CityPA-M Price Out'!AI:AI)</f>
        <v>23.083333333333332</v>
      </c>
      <c r="F46" s="20">
        <f>References!$B$13</f>
        <v>2.1666666666666665</v>
      </c>
      <c r="G46" s="53">
        <f t="shared" si="15"/>
        <v>600.16666666666663</v>
      </c>
      <c r="H46" s="53">
        <f>References!B36</f>
        <v>473</v>
      </c>
      <c r="I46" s="53">
        <f t="shared" si="50"/>
        <v>283878.83333333331</v>
      </c>
      <c r="J46" s="34">
        <f t="shared" si="46"/>
        <v>214845.73719817348</v>
      </c>
      <c r="K46" s="52">
        <f>(References!$C$58*J46)</f>
        <v>5417.3352634519415</v>
      </c>
      <c r="L46" s="52">
        <f>K46/References!$G$61</f>
        <v>5542.5979777490702</v>
      </c>
      <c r="M46" s="52">
        <f t="shared" si="51"/>
        <v>9.2350979912508819</v>
      </c>
      <c r="N46" s="52">
        <f>N33</f>
        <v>56.85</v>
      </c>
      <c r="O46" s="52">
        <f t="shared" si="17"/>
        <v>66.085097991250876</v>
      </c>
      <c r="P46" s="52">
        <f>'Proposed Rates'!E57</f>
        <v>66.085097991250876</v>
      </c>
      <c r="Q46" s="52">
        <f t="shared" si="52"/>
        <v>34119.474999999999</v>
      </c>
      <c r="R46" s="52">
        <f t="shared" si="53"/>
        <v>39662.072977749063</v>
      </c>
      <c r="S46" s="52">
        <f t="shared" si="47"/>
        <v>5542.5979777490647</v>
      </c>
      <c r="T46" s="52">
        <f t="shared" si="54"/>
        <v>39662.072977749063</v>
      </c>
      <c r="U46" s="52">
        <f t="shared" si="48"/>
        <v>0</v>
      </c>
      <c r="V46" s="54">
        <f t="shared" si="56"/>
        <v>66.085097991250876</v>
      </c>
      <c r="W46" s="54">
        <f t="shared" si="55"/>
        <v>39662.072977749063</v>
      </c>
      <c r="X46" s="54">
        <f t="shared" si="49"/>
        <v>5542.5979777490647</v>
      </c>
      <c r="Y46" s="17">
        <f t="shared" si="26"/>
        <v>0</v>
      </c>
      <c r="Z46" s="12">
        <f t="shared" si="27"/>
        <v>0</v>
      </c>
      <c r="AA46" s="12">
        <f>((H46*$E$116*1*References!$C$58)/References!$G$61)-'Company Calc'!M46</f>
        <v>0</v>
      </c>
    </row>
    <row r="47" spans="1:27" ht="14.45" customHeight="1">
      <c r="A47" s="472"/>
      <c r="B47" s="35" t="s">
        <v>268</v>
      </c>
      <c r="C47" s="35" t="str">
        <f>+INDEX('Clallam Reg Price Out'!B:B,MATCH(D47,'Clallam Reg Price Out'!C:C,0))</f>
        <v>F4YDEOW</v>
      </c>
      <c r="D47" t="s">
        <v>137</v>
      </c>
      <c r="E47" s="26">
        <f>+SUMIF('Clallam Reg Price Out'!B:B,C47,'Clallam Reg Price Out'!AH:AH)+SUMIF('CityPA-M Price Out'!B:B,C47,'CityPA-M Price Out'!AI:AI)</f>
        <v>20.624992587321355</v>
      </c>
      <c r="F47" s="20">
        <f>References!$B$13</f>
        <v>2.1666666666666665</v>
      </c>
      <c r="G47" s="53">
        <f t="shared" si="15"/>
        <v>536.24980727035518</v>
      </c>
      <c r="H47" s="53">
        <f>References!B38</f>
        <v>613</v>
      </c>
      <c r="I47" s="53">
        <f t="shared" si="50"/>
        <v>328721.1318567277</v>
      </c>
      <c r="J47" s="34">
        <f t="shared" si="46"/>
        <v>248783.37379754151</v>
      </c>
      <c r="K47" s="52">
        <f>(References!$C$58*J47)</f>
        <v>6273.0727703050061</v>
      </c>
      <c r="L47" s="52">
        <f>K47/References!$G$61</f>
        <v>6418.1223350777636</v>
      </c>
      <c r="M47" s="52">
        <f t="shared" si="51"/>
        <v>11.968530800500613</v>
      </c>
      <c r="N47" s="52">
        <f>N35</f>
        <v>77.709999999999994</v>
      </c>
      <c r="O47" s="52">
        <f t="shared" si="17"/>
        <v>89.67853080050061</v>
      </c>
      <c r="P47" s="52">
        <f>'Proposed Rates'!E58</f>
        <v>89.67853080050061</v>
      </c>
      <c r="Q47" s="52">
        <f t="shared" si="52"/>
        <v>41671.972522979297</v>
      </c>
      <c r="R47" s="52">
        <f t="shared" si="53"/>
        <v>48090.094858057062</v>
      </c>
      <c r="S47" s="52">
        <f t="shared" si="47"/>
        <v>6418.1223350777655</v>
      </c>
      <c r="T47" s="52">
        <f t="shared" si="54"/>
        <v>48090.094858057062</v>
      </c>
      <c r="U47" s="52">
        <f t="shared" si="48"/>
        <v>0</v>
      </c>
      <c r="V47" s="54">
        <f t="shared" si="56"/>
        <v>89.67853080050061</v>
      </c>
      <c r="W47" s="54">
        <f t="shared" si="55"/>
        <v>48090.094858057062</v>
      </c>
      <c r="X47" s="54">
        <f t="shared" si="49"/>
        <v>6418.1223350777655</v>
      </c>
      <c r="Y47" s="17">
        <f t="shared" si="26"/>
        <v>0</v>
      </c>
      <c r="Z47" s="12">
        <f t="shared" si="27"/>
        <v>0</v>
      </c>
      <c r="AA47" s="12">
        <f>((H47*$E$116*1*References!$C$58)/References!$G$61)-'Company Calc'!M47</f>
        <v>0</v>
      </c>
    </row>
    <row r="48" spans="1:27" ht="14.45" customHeight="1">
      <c r="A48" s="472"/>
      <c r="B48" s="35" t="s">
        <v>268</v>
      </c>
      <c r="C48" s="35" t="s">
        <v>390</v>
      </c>
      <c r="D48" t="s">
        <v>137</v>
      </c>
      <c r="E48" s="26">
        <f>+SUMIF('Clallam Reg Price Out'!B:B,C48,'Clallam Reg Price Out'!AH:AH)+SUMIF('CityPA-M Price Out'!B:B,C48,'CityPA-M Price Out'!AI:AI)</f>
        <v>1</v>
      </c>
      <c r="F48" s="20">
        <f>References!$B$13</f>
        <v>2.1666666666666665</v>
      </c>
      <c r="G48" s="53">
        <f t="shared" ref="G48" si="98">E48*F48*12</f>
        <v>26</v>
      </c>
      <c r="H48" s="53">
        <f>References!B38</f>
        <v>613</v>
      </c>
      <c r="I48" s="53">
        <f t="shared" ref="I48" si="99">G48*H48</f>
        <v>15938</v>
      </c>
      <c r="J48" s="34">
        <f t="shared" si="46"/>
        <v>12062.228519319529</v>
      </c>
      <c r="K48" s="52">
        <f>(References!$C$58*J48)</f>
        <v>304.1490921146418</v>
      </c>
      <c r="L48" s="52">
        <f>K48/References!$G$61</f>
        <v>311.18180081301597</v>
      </c>
      <c r="M48" s="52">
        <f t="shared" ref="M48" si="100">L48/G48</f>
        <v>11.968530800500615</v>
      </c>
      <c r="N48" s="52">
        <f>N36</f>
        <v>77.709999999999994</v>
      </c>
      <c r="O48" s="52">
        <f t="shared" ref="O48" si="101">M48+N48</f>
        <v>89.67853080050061</v>
      </c>
      <c r="P48" s="52">
        <f>'Proposed Rates'!E58</f>
        <v>89.67853080050061</v>
      </c>
      <c r="Q48" s="52">
        <f t="shared" ref="Q48" si="102">G48*N48</f>
        <v>2020.4599999999998</v>
      </c>
      <c r="R48" s="52">
        <f t="shared" ref="R48" si="103">G48*P48</f>
        <v>2331.6418008130158</v>
      </c>
      <c r="S48" s="52">
        <f t="shared" ref="S48" si="104">R48-Q48</f>
        <v>311.18180081301603</v>
      </c>
      <c r="T48" s="52">
        <f t="shared" ref="T48" si="105">G48*O48</f>
        <v>2331.6418008130158</v>
      </c>
      <c r="U48" s="52">
        <f t="shared" ref="U48" si="106">R48-T48</f>
        <v>0</v>
      </c>
      <c r="V48" s="54">
        <f t="shared" ref="V48" si="107">O48</f>
        <v>89.67853080050061</v>
      </c>
      <c r="W48" s="54">
        <f t="shared" ref="W48" si="108">G48*V48</f>
        <v>2331.6418008130158</v>
      </c>
      <c r="X48" s="54">
        <f t="shared" ref="X48" si="109">W48-Q48</f>
        <v>311.18180081301603</v>
      </c>
      <c r="Y48" s="17">
        <f t="shared" ref="Y48" si="110">S48-X48</f>
        <v>0</v>
      </c>
      <c r="Z48" s="12">
        <f t="shared" ref="Z48" si="111">P48-V48</f>
        <v>0</v>
      </c>
      <c r="AA48" s="12">
        <f>((H48*$E$116*1*References!$C$58)/References!$G$61)-'Company Calc'!M48</f>
        <v>0</v>
      </c>
    </row>
    <row r="49" spans="1:27" ht="14.45" customHeight="1">
      <c r="A49" s="472"/>
      <c r="B49" s="35" t="s">
        <v>268</v>
      </c>
      <c r="C49" s="35" t="str">
        <f>+INDEX('Clallam Reg Price Out'!B:B,MATCH(D49,'Clallam Reg Price Out'!C:C,0))</f>
        <v>F6YDEOW</v>
      </c>
      <c r="D49" t="s">
        <v>138</v>
      </c>
      <c r="E49" s="26">
        <f>+SUMIF('Clallam Reg Price Out'!B:B,C49,'Clallam Reg Price Out'!AH:AH)+SUMIF('CityPA-M Price Out'!B:B,C49,'CityPA-M Price Out'!AI:AI)</f>
        <v>7.45832096251997</v>
      </c>
      <c r="F49" s="20">
        <f>References!$B$13</f>
        <v>2.1666666666666665</v>
      </c>
      <c r="G49" s="53">
        <f t="shared" si="15"/>
        <v>193.91634502551921</v>
      </c>
      <c r="H49" s="53">
        <f>References!B40</f>
        <v>840</v>
      </c>
      <c r="I49" s="53">
        <f t="shared" si="50"/>
        <v>162889.72982143614</v>
      </c>
      <c r="J49" s="34">
        <f t="shared" si="46"/>
        <v>123278.52582233529</v>
      </c>
      <c r="K49" s="52">
        <f>(References!$C$58*J49)</f>
        <v>3108.4680286101825</v>
      </c>
      <c r="L49" s="52">
        <f>K49/References!$G$61</f>
        <v>3180.3437984552716</v>
      </c>
      <c r="M49" s="52">
        <f t="shared" si="51"/>
        <v>16.400596855498392</v>
      </c>
      <c r="N49" s="52">
        <f>N37</f>
        <v>108.65</v>
      </c>
      <c r="O49" s="52">
        <f t="shared" si="17"/>
        <v>125.0505968554984</v>
      </c>
      <c r="P49" s="52">
        <f>'Proposed Rates'!E59</f>
        <v>125.0505968554984</v>
      </c>
      <c r="Q49" s="52">
        <f t="shared" si="52"/>
        <v>21069.010887022661</v>
      </c>
      <c r="R49" s="52">
        <f t="shared" si="53"/>
        <v>24249.354685477934</v>
      </c>
      <c r="S49" s="52">
        <f t="shared" si="47"/>
        <v>3180.3437984552729</v>
      </c>
      <c r="T49" s="52">
        <f t="shared" si="54"/>
        <v>24249.354685477934</v>
      </c>
      <c r="U49" s="52">
        <f t="shared" si="48"/>
        <v>0</v>
      </c>
      <c r="V49" s="54">
        <f t="shared" si="56"/>
        <v>125.0505968554984</v>
      </c>
      <c r="W49" s="54">
        <f t="shared" si="55"/>
        <v>24249.354685477934</v>
      </c>
      <c r="X49" s="54">
        <f t="shared" si="49"/>
        <v>3180.3437984552729</v>
      </c>
      <c r="Y49" s="17">
        <f t="shared" si="26"/>
        <v>0</v>
      </c>
      <c r="Z49" s="12">
        <f t="shared" si="27"/>
        <v>0</v>
      </c>
      <c r="AA49" s="12">
        <f>((H49*$E$116*1*References!$C$58)/References!$G$61)-'Company Calc'!M49</f>
        <v>0</v>
      </c>
    </row>
    <row r="50" spans="1:27" ht="14.45" customHeight="1">
      <c r="A50" s="472"/>
      <c r="B50" s="35" t="s">
        <v>268</v>
      </c>
      <c r="C50" s="35" t="str">
        <f>+INDEX('Clallam Reg Price Out'!B:B,MATCH(D50,'Clallam Reg Price Out'!C:C,0))</f>
        <v>F8YDEOW</v>
      </c>
      <c r="D50" t="s">
        <v>385</v>
      </c>
      <c r="E50" s="26">
        <f>+SUMIF('Clallam Reg Price Out'!B:B,C50,'Clallam Reg Price Out'!AH:AH)+SUMIF('CityPA-M Price Out'!B:B,C50,'CityPA-M Price Out'!AI:AI)</f>
        <v>0.29166666666666669</v>
      </c>
      <c r="F50" s="20">
        <f>References!$B$13</f>
        <v>2.1666666666666665</v>
      </c>
      <c r="G50" s="53">
        <f t="shared" ref="G50" si="112">E50*F50*12</f>
        <v>7.583333333333333</v>
      </c>
      <c r="H50" s="53">
        <f>References!B42</f>
        <v>980</v>
      </c>
      <c r="I50" s="53">
        <f t="shared" ref="I50" si="113">G50*H50</f>
        <v>7431.6666666666661</v>
      </c>
      <c r="J50" s="34">
        <f t="shared" si="46"/>
        <v>5624.4485890791166</v>
      </c>
      <c r="K50" s="52">
        <f>(References!$C$58*J50)</f>
        <v>141.82047117362984</v>
      </c>
      <c r="L50" s="52">
        <f>K50/References!$G$61</f>
        <v>145.09972495767326</v>
      </c>
      <c r="M50" s="52">
        <f t="shared" ref="M50" si="114">L50/G50</f>
        <v>19.134029664748123</v>
      </c>
      <c r="N50" s="52">
        <f>+'Proposed Rates'!C60</f>
        <v>145.79</v>
      </c>
      <c r="O50" s="52">
        <f t="shared" ref="O50" si="115">M50+N50</f>
        <v>164.9240296647481</v>
      </c>
      <c r="P50" s="52">
        <f>+'Proposed Rates'!E60</f>
        <v>164.9240296647481</v>
      </c>
      <c r="Q50" s="52">
        <f t="shared" ref="Q50" si="116">G50*N50</f>
        <v>1105.5741666666665</v>
      </c>
      <c r="R50" s="52">
        <f t="shared" ref="R50" si="117">G50*P50</f>
        <v>1250.6738916243398</v>
      </c>
      <c r="S50" s="52">
        <f t="shared" ref="S50" si="118">R50-Q50</f>
        <v>145.09972495767329</v>
      </c>
      <c r="T50" s="52">
        <f t="shared" ref="T50" si="119">G50*O50</f>
        <v>1250.6738916243398</v>
      </c>
      <c r="U50" s="52">
        <f t="shared" ref="U50" si="120">R50-T50</f>
        <v>0</v>
      </c>
      <c r="V50" s="54">
        <f t="shared" ref="V50" si="121">O50</f>
        <v>164.9240296647481</v>
      </c>
      <c r="W50" s="54">
        <f t="shared" ref="W50" si="122">G50*V50</f>
        <v>1250.6738916243398</v>
      </c>
      <c r="X50" s="54">
        <f t="shared" ref="X50" si="123">W50-Q50</f>
        <v>145.09972495767329</v>
      </c>
      <c r="Y50" s="17">
        <f t="shared" ref="Y50" si="124">S50-X50</f>
        <v>0</v>
      </c>
      <c r="Z50" s="12">
        <f t="shared" ref="Z50" si="125">P50-V50</f>
        <v>0</v>
      </c>
      <c r="AA50" s="12">
        <f>((H50*$E$116*1*References!$C$58)/References!$G$61)-'Company Calc'!M50</f>
        <v>0</v>
      </c>
    </row>
    <row r="51" spans="1:27" ht="14.45" customHeight="1">
      <c r="A51" s="472"/>
      <c r="B51" s="35" t="s">
        <v>161</v>
      </c>
      <c r="C51" s="35" t="str">
        <f>+INDEX('Clallam Reg Price Out'!B:B,MATCH(D51,'Clallam Reg Price Out'!C:C,0))</f>
        <v>F1YD1M</v>
      </c>
      <c r="D51" t="s">
        <v>139</v>
      </c>
      <c r="E51" s="26">
        <f>+SUMIF('Clallam Reg Price Out'!B:B,C51,'Clallam Reg Price Out'!AH:AH)+SUMIF('CityPA-M Price Out'!B:B,C51,'CityPA-M Price Out'!AI:AI)</f>
        <v>19.416666666666668</v>
      </c>
      <c r="F51" s="20">
        <f>References!$B$14</f>
        <v>1</v>
      </c>
      <c r="G51" s="53">
        <f t="shared" si="15"/>
        <v>233</v>
      </c>
      <c r="H51" s="53">
        <f>References!B32</f>
        <v>175</v>
      </c>
      <c r="I51" s="53">
        <f t="shared" si="50"/>
        <v>40775</v>
      </c>
      <c r="J51" s="34">
        <f t="shared" si="46"/>
        <v>30859.415728149947</v>
      </c>
      <c r="K51" s="52">
        <f>(References!$C$58*J51)</f>
        <v>778.12016758530046</v>
      </c>
      <c r="L51" s="52">
        <f>K51/References!$G$61</f>
        <v>796.11230569398447</v>
      </c>
      <c r="M51" s="52">
        <f t="shared" si="51"/>
        <v>3.4167910115621649</v>
      </c>
      <c r="N51" s="52">
        <f>$N$26</f>
        <v>21.69</v>
      </c>
      <c r="O51" s="52">
        <f t="shared" si="17"/>
        <v>25.106791011562166</v>
      </c>
      <c r="P51" s="52">
        <f>'Proposed Rates'!E54</f>
        <v>25.106791011562166</v>
      </c>
      <c r="Q51" s="52">
        <f t="shared" si="52"/>
        <v>5053.7700000000004</v>
      </c>
      <c r="R51" s="52">
        <f t="shared" si="53"/>
        <v>5849.8823056939846</v>
      </c>
      <c r="S51" s="52">
        <f t="shared" si="47"/>
        <v>796.11230569398413</v>
      </c>
      <c r="T51" s="52">
        <f t="shared" si="54"/>
        <v>5849.8823056939846</v>
      </c>
      <c r="U51" s="52">
        <f t="shared" si="48"/>
        <v>0</v>
      </c>
      <c r="V51" s="54">
        <f t="shared" si="56"/>
        <v>25.106791011562166</v>
      </c>
      <c r="W51" s="54">
        <f t="shared" si="55"/>
        <v>5849.8823056939846</v>
      </c>
      <c r="X51" s="54">
        <f t="shared" si="49"/>
        <v>796.11230569398413</v>
      </c>
      <c r="Y51" s="17">
        <f t="shared" si="26"/>
        <v>0</v>
      </c>
      <c r="Z51" s="12">
        <f t="shared" si="27"/>
        <v>0</v>
      </c>
      <c r="AA51" s="12">
        <f>((H51*$E$116*1*References!$C$58)/References!$G$61)-'Company Calc'!M51</f>
        <v>0</v>
      </c>
    </row>
    <row r="52" spans="1:27" ht="14.45" customHeight="1">
      <c r="A52" s="472"/>
      <c r="B52" s="35" t="s">
        <v>161</v>
      </c>
      <c r="C52" s="35" t="str">
        <f>+INDEX('Clallam Reg Price Out'!B:B,MATCH(D52,'Clallam Reg Price Out'!C:C,0))</f>
        <v>F1.5YD1M</v>
      </c>
      <c r="D52" t="s">
        <v>373</v>
      </c>
      <c r="E52" s="26">
        <f>+SUMIF('Clallam Reg Price Out'!B:B,C52,'Clallam Reg Price Out'!AH:AH)+SUMIF('CityPA-M Price Out'!B:B,C52,'CityPA-M Price Out'!AI:AI)</f>
        <v>9.3333333333333339</v>
      </c>
      <c r="F52" s="20">
        <f>References!$B$14</f>
        <v>1</v>
      </c>
      <c r="G52" s="53">
        <f t="shared" si="15"/>
        <v>112</v>
      </c>
      <c r="H52" s="53">
        <f>References!B33</f>
        <v>250</v>
      </c>
      <c r="I52" s="53">
        <f t="shared" ref="I52:I55" si="126">G52*H52</f>
        <v>28000</v>
      </c>
      <c r="J52" s="34">
        <f t="shared" si="46"/>
        <v>21191.015092291807</v>
      </c>
      <c r="K52" s="52">
        <f>(References!$C$58*J52)</f>
        <v>534.33144555213767</v>
      </c>
      <c r="L52" s="52">
        <f>K52/References!$G$61</f>
        <v>546.68656184994643</v>
      </c>
      <c r="M52" s="52">
        <f t="shared" ref="M52:M55" si="127">L52/G52</f>
        <v>4.8811300165173792</v>
      </c>
      <c r="N52" s="52">
        <f>+'Proposed Rates'!C55</f>
        <v>31</v>
      </c>
      <c r="O52" s="52">
        <f t="shared" si="17"/>
        <v>35.881130016517382</v>
      </c>
      <c r="P52" s="52">
        <f>+'Proposed Rates'!E55</f>
        <v>35.881130016517375</v>
      </c>
      <c r="Q52" s="52">
        <f t="shared" ref="Q52:Q55" si="128">G52*N52</f>
        <v>3472</v>
      </c>
      <c r="R52" s="52">
        <f t="shared" ref="R52:R55" si="129">G52*P52</f>
        <v>4018.686561849946</v>
      </c>
      <c r="S52" s="52">
        <f t="shared" ref="S52:S55" si="130">R52-Q52</f>
        <v>546.68656184994597</v>
      </c>
      <c r="T52" s="52">
        <f t="shared" ref="T52:T55" si="131">G52*O52</f>
        <v>4018.6865618499469</v>
      </c>
      <c r="U52" s="52">
        <f t="shared" ref="U52:U55" si="132">R52-T52</f>
        <v>0</v>
      </c>
      <c r="V52" s="54">
        <f t="shared" ref="V52:V55" si="133">O52</f>
        <v>35.881130016517382</v>
      </c>
      <c r="W52" s="54">
        <f t="shared" ref="W52:W55" si="134">G52*V52</f>
        <v>4018.6865618499469</v>
      </c>
      <c r="X52" s="54">
        <f t="shared" ref="X52:X55" si="135">W52-Q52</f>
        <v>546.68656184994688</v>
      </c>
      <c r="Y52" s="17">
        <f t="shared" ref="Y52:Y55" si="136">S52-X52</f>
        <v>-9.0949470177292824E-13</v>
      </c>
      <c r="Z52" s="12">
        <f t="shared" ref="Z52:Z55" si="137">P52-V52</f>
        <v>0</v>
      </c>
      <c r="AA52" s="12">
        <f>((H52*$E$116*1*References!$C$58)/References!$G$61)-'Company Calc'!M52</f>
        <v>0</v>
      </c>
    </row>
    <row r="53" spans="1:27" ht="14.45" customHeight="1">
      <c r="A53" s="472"/>
      <c r="B53" s="35" t="s">
        <v>161</v>
      </c>
      <c r="C53" s="35" t="str">
        <f>+INDEX('Clallam Reg Price Out'!B:B,MATCH(D53,'Clallam Reg Price Out'!C:C,0))</f>
        <v>F2YD1M</v>
      </c>
      <c r="D53" t="s">
        <v>140</v>
      </c>
      <c r="E53" s="26">
        <f>+SUMIF('Clallam Reg Price Out'!B:B,C53,'Clallam Reg Price Out'!AH:AH)+SUMIF('CityPA-M Price Out'!B:B,C53,'CityPA-M Price Out'!AI:AI)</f>
        <v>29.083333333333332</v>
      </c>
      <c r="F53" s="20">
        <f>References!$B$14</f>
        <v>1</v>
      </c>
      <c r="G53" s="53">
        <f t="shared" si="15"/>
        <v>349</v>
      </c>
      <c r="H53" s="53">
        <f>References!B35</f>
        <v>324</v>
      </c>
      <c r="I53" s="53">
        <f t="shared" si="126"/>
        <v>113076</v>
      </c>
      <c r="J53" s="34">
        <f t="shared" si="46"/>
        <v>85578.400806285295</v>
      </c>
      <c r="K53" s="52">
        <f>(References!$C$58*J53)</f>
        <v>2157.8593763304825</v>
      </c>
      <c r="L53" s="52">
        <f>K53/References!$G$61</f>
        <v>2207.7546309908762</v>
      </c>
      <c r="M53" s="52">
        <f t="shared" si="127"/>
        <v>6.3259445014065223</v>
      </c>
      <c r="N53" s="52">
        <f>$N$30</f>
        <v>42.82</v>
      </c>
      <c r="O53" s="52">
        <f t="shared" si="17"/>
        <v>49.145944501406525</v>
      </c>
      <c r="P53" s="52">
        <f>'Proposed Rates'!E56</f>
        <v>49.145944501406525</v>
      </c>
      <c r="Q53" s="52">
        <f t="shared" si="128"/>
        <v>14944.18</v>
      </c>
      <c r="R53" s="52">
        <f t="shared" si="129"/>
        <v>17151.934630990876</v>
      </c>
      <c r="S53" s="52">
        <f t="shared" si="130"/>
        <v>2207.7546309908757</v>
      </c>
      <c r="T53" s="52">
        <f t="shared" si="131"/>
        <v>17151.934630990876</v>
      </c>
      <c r="U53" s="52">
        <f t="shared" si="132"/>
        <v>0</v>
      </c>
      <c r="V53" s="54">
        <f t="shared" si="133"/>
        <v>49.145944501406525</v>
      </c>
      <c r="W53" s="54">
        <f t="shared" si="134"/>
        <v>17151.934630990876</v>
      </c>
      <c r="X53" s="54">
        <f t="shared" si="135"/>
        <v>2207.7546309908757</v>
      </c>
      <c r="Y53" s="17">
        <f t="shared" si="136"/>
        <v>0</v>
      </c>
      <c r="Z53" s="12">
        <f t="shared" si="137"/>
        <v>0</v>
      </c>
      <c r="AA53" s="12">
        <f>((H53*$E$116*1*References!$C$58)/References!$G$61)-'Company Calc'!M53</f>
        <v>0</v>
      </c>
    </row>
    <row r="54" spans="1:27" ht="14.45" customHeight="1">
      <c r="A54" s="472"/>
      <c r="B54" s="35" t="s">
        <v>161</v>
      </c>
      <c r="C54" s="35" t="s">
        <v>218</v>
      </c>
      <c r="D54" t="s">
        <v>140</v>
      </c>
      <c r="E54" s="26">
        <f>+SUMIF('Clallam Reg Price Out'!B:B,C54,'Clallam Reg Price Out'!AH:AH)+SUMIF('CityPA-M Price Out'!B:B,C54,'CityPA-M Price Out'!AI:AI)</f>
        <v>1.5454545454545454</v>
      </c>
      <c r="F54" s="20">
        <f>References!$B$14</f>
        <v>1</v>
      </c>
      <c r="G54" s="53">
        <f t="shared" ref="G54" si="138">E54*F54*12</f>
        <v>18.545454545454547</v>
      </c>
      <c r="H54" s="53">
        <f>References!B35</f>
        <v>324</v>
      </c>
      <c r="I54" s="53">
        <f t="shared" ref="I54" si="139">G54*H54</f>
        <v>6008.727272727273</v>
      </c>
      <c r="J54" s="34">
        <f t="shared" si="46"/>
        <v>4547.5367972081795</v>
      </c>
      <c r="K54" s="52">
        <f>(References!$C$58*J54)</f>
        <v>114.66614034160419</v>
      </c>
      <c r="L54" s="52">
        <f>K54/References!$G$61</f>
        <v>117.31751620790278</v>
      </c>
      <c r="M54" s="52">
        <f t="shared" ref="M54" si="140">L54/G54</f>
        <v>6.3259445014065223</v>
      </c>
      <c r="N54" s="52">
        <f>$N$30</f>
        <v>42.82</v>
      </c>
      <c r="O54" s="52">
        <f t="shared" ref="O54" si="141">M54+N54</f>
        <v>49.145944501406525</v>
      </c>
      <c r="P54" s="52">
        <f>'Proposed Rates'!E56</f>
        <v>49.145944501406525</v>
      </c>
      <c r="Q54" s="52">
        <f t="shared" ref="Q54" si="142">G54*N54</f>
        <v>794.11636363636364</v>
      </c>
      <c r="R54" s="52">
        <f t="shared" ref="R54" si="143">G54*P54</f>
        <v>911.43387984426658</v>
      </c>
      <c r="S54" s="52">
        <f t="shared" ref="S54" si="144">R54-Q54</f>
        <v>117.31751620790294</v>
      </c>
      <c r="T54" s="52">
        <f t="shared" ref="T54" si="145">G54*O54</f>
        <v>911.43387984426658</v>
      </c>
      <c r="U54" s="52">
        <f t="shared" ref="U54" si="146">R54-T54</f>
        <v>0</v>
      </c>
      <c r="V54" s="54">
        <f t="shared" ref="V54" si="147">O54</f>
        <v>49.145944501406525</v>
      </c>
      <c r="W54" s="54">
        <f t="shared" ref="W54" si="148">G54*V54</f>
        <v>911.43387984426658</v>
      </c>
      <c r="X54" s="54">
        <f t="shared" ref="X54" si="149">W54-Q54</f>
        <v>117.31751620790294</v>
      </c>
      <c r="Y54" s="17">
        <f t="shared" ref="Y54" si="150">S54-X54</f>
        <v>0</v>
      </c>
      <c r="Z54" s="12">
        <f t="shared" ref="Z54" si="151">P54-V54</f>
        <v>0</v>
      </c>
      <c r="AA54" s="12">
        <f>((H54*$E$116*1*References!$C$58)/References!$G$61)-'Company Calc'!M54</f>
        <v>0</v>
      </c>
    </row>
    <row r="55" spans="1:27" ht="14.45" customHeight="1">
      <c r="A55" s="472"/>
      <c r="B55" s="35" t="s">
        <v>161</v>
      </c>
      <c r="C55" s="35" t="str">
        <f>+INDEX('Clallam Reg Price Out'!B:B,MATCH(D55,'Clallam Reg Price Out'!C:C,0))</f>
        <v>F3YD1M</v>
      </c>
      <c r="D55" t="s">
        <v>375</v>
      </c>
      <c r="E55" s="26">
        <f>+SUMIF('Clallam Reg Price Out'!B:B,C55,'Clallam Reg Price Out'!AH:AH)+SUMIF('CityPA-M Price Out'!B:B,C55,'CityPA-M Price Out'!AI:AI)</f>
        <v>7.833333333333333</v>
      </c>
      <c r="F55" s="20">
        <f>References!$B$14</f>
        <v>1</v>
      </c>
      <c r="G55" s="53">
        <f t="shared" si="15"/>
        <v>94</v>
      </c>
      <c r="H55" s="53">
        <f>References!B36</f>
        <v>473</v>
      </c>
      <c r="I55" s="53">
        <f t="shared" si="126"/>
        <v>44462</v>
      </c>
      <c r="J55" s="34">
        <f t="shared" si="46"/>
        <v>33649.818322624225</v>
      </c>
      <c r="K55" s="52">
        <f>(References!$C$58*J55)</f>
        <v>848.48016900496941</v>
      </c>
      <c r="L55" s="52">
        <f>K55/References!$G$61</f>
        <v>868.09921117758279</v>
      </c>
      <c r="M55" s="52">
        <f t="shared" si="127"/>
        <v>9.2350979912508802</v>
      </c>
      <c r="N55" s="52">
        <f>+'Proposed Rates'!C57</f>
        <v>56.85</v>
      </c>
      <c r="O55" s="52">
        <f t="shared" si="17"/>
        <v>66.085097991250876</v>
      </c>
      <c r="P55" s="52">
        <f>+'Proposed Rates'!E57</f>
        <v>66.085097991250876</v>
      </c>
      <c r="Q55" s="52">
        <f t="shared" si="128"/>
        <v>5343.9000000000005</v>
      </c>
      <c r="R55" s="52">
        <f t="shared" si="129"/>
        <v>6211.9992111775828</v>
      </c>
      <c r="S55" s="52">
        <f t="shared" si="130"/>
        <v>868.09921117758222</v>
      </c>
      <c r="T55" s="52">
        <f t="shared" si="131"/>
        <v>6211.9992111775828</v>
      </c>
      <c r="U55" s="52">
        <f t="shared" si="132"/>
        <v>0</v>
      </c>
      <c r="V55" s="54">
        <f t="shared" si="133"/>
        <v>66.085097991250876</v>
      </c>
      <c r="W55" s="54">
        <f t="shared" si="134"/>
        <v>6211.9992111775828</v>
      </c>
      <c r="X55" s="54">
        <f t="shared" si="135"/>
        <v>868.09921117758222</v>
      </c>
      <c r="Y55" s="17">
        <f t="shared" si="136"/>
        <v>0</v>
      </c>
      <c r="Z55" s="12">
        <f t="shared" si="137"/>
        <v>0</v>
      </c>
      <c r="AA55" s="12">
        <f>((H55*$E$116*1*References!$C$58)/References!$G$61)-'Company Calc'!M55</f>
        <v>0</v>
      </c>
    </row>
    <row r="56" spans="1:27" ht="14.45" customHeight="1">
      <c r="A56" s="472"/>
      <c r="B56" s="35" t="s">
        <v>161</v>
      </c>
      <c r="C56" s="35" t="str">
        <f>+INDEX('Clallam Reg Price Out'!B:B,MATCH(D56,'Clallam Reg Price Out'!C:C,0))</f>
        <v>F4YD1M</v>
      </c>
      <c r="D56" t="s">
        <v>141</v>
      </c>
      <c r="E56" s="26">
        <f>+SUMIF('Clallam Reg Price Out'!B:B,C56,'Clallam Reg Price Out'!AH:AH)+SUMIF('CityPA-M Price Out'!B:B,C56,'CityPA-M Price Out'!AI:AI)</f>
        <v>12.916666666666666</v>
      </c>
      <c r="F56" s="20">
        <f>References!$B$14</f>
        <v>1</v>
      </c>
      <c r="G56" s="53">
        <f t="shared" si="15"/>
        <v>155</v>
      </c>
      <c r="H56" s="53">
        <f>References!B38</f>
        <v>613</v>
      </c>
      <c r="I56" s="53">
        <f t="shared" si="50"/>
        <v>95015</v>
      </c>
      <c r="J56" s="34">
        <f t="shared" si="46"/>
        <v>71909.439249789502</v>
      </c>
      <c r="K56" s="52">
        <f>(References!$C$58*J56)</f>
        <v>1813.1965106834414</v>
      </c>
      <c r="L56" s="52">
        <f>K56/References!$G$61</f>
        <v>1855.122274077595</v>
      </c>
      <c r="M56" s="52">
        <f t="shared" si="51"/>
        <v>11.968530800500613</v>
      </c>
      <c r="N56" s="52">
        <f>$N$35</f>
        <v>77.709999999999994</v>
      </c>
      <c r="O56" s="52">
        <f t="shared" si="17"/>
        <v>89.67853080050061</v>
      </c>
      <c r="P56" s="52">
        <f>'Proposed Rates'!E58</f>
        <v>89.67853080050061</v>
      </c>
      <c r="Q56" s="52">
        <f t="shared" si="52"/>
        <v>12045.05</v>
      </c>
      <c r="R56" s="52">
        <f t="shared" si="53"/>
        <v>13900.172274077595</v>
      </c>
      <c r="S56" s="52">
        <f t="shared" si="47"/>
        <v>1855.1222740775956</v>
      </c>
      <c r="T56" s="52">
        <f t="shared" si="54"/>
        <v>13900.172274077595</v>
      </c>
      <c r="U56" s="52">
        <f t="shared" si="48"/>
        <v>0</v>
      </c>
      <c r="V56" s="54">
        <f t="shared" si="56"/>
        <v>89.67853080050061</v>
      </c>
      <c r="W56" s="54">
        <f t="shared" si="55"/>
        <v>13900.172274077595</v>
      </c>
      <c r="X56" s="54">
        <f t="shared" si="49"/>
        <v>1855.1222740775956</v>
      </c>
      <c r="Y56" s="17">
        <f t="shared" si="26"/>
        <v>0</v>
      </c>
      <c r="Z56" s="12">
        <f t="shared" si="27"/>
        <v>0</v>
      </c>
      <c r="AA56" s="12">
        <f>((H56*$E$116*1*References!$C$58)/References!$G$61)-'Company Calc'!M56</f>
        <v>0</v>
      </c>
    </row>
    <row r="57" spans="1:27" ht="14.45" customHeight="1">
      <c r="A57" s="472"/>
      <c r="B57" s="35" t="s">
        <v>161</v>
      </c>
      <c r="C57" s="35" t="str">
        <f>+INDEX('Clallam Reg Price Out'!B:B,MATCH(D57,'Clallam Reg Price Out'!C:C,0))</f>
        <v>F6YD1M</v>
      </c>
      <c r="D57" t="s">
        <v>142</v>
      </c>
      <c r="E57" s="26">
        <f>+SUMIF('Clallam Reg Price Out'!B:B,C57,'Clallam Reg Price Out'!AH:AH)+SUMIF('CityPA-M Price Out'!B:B,C57,'CityPA-M Price Out'!AI:AI)</f>
        <v>3.75</v>
      </c>
      <c r="F57" s="20">
        <f>References!$B$14</f>
        <v>1</v>
      </c>
      <c r="G57" s="53">
        <f t="shared" si="15"/>
        <v>45</v>
      </c>
      <c r="H57" s="53">
        <f>References!B40</f>
        <v>840</v>
      </c>
      <c r="I57" s="53">
        <f t="shared" si="50"/>
        <v>37800</v>
      </c>
      <c r="J57" s="34">
        <f t="shared" si="46"/>
        <v>28607.870374593942</v>
      </c>
      <c r="K57" s="52">
        <f>(References!$C$58*J57)</f>
        <v>721.34745149538594</v>
      </c>
      <c r="L57" s="52">
        <f>K57/References!$G$61</f>
        <v>738.02685849742772</v>
      </c>
      <c r="M57" s="52">
        <f t="shared" si="51"/>
        <v>16.400596855498392</v>
      </c>
      <c r="N57" s="52">
        <f>+'Proposed Rates'!C59</f>
        <v>108.65</v>
      </c>
      <c r="O57" s="52">
        <f t="shared" si="17"/>
        <v>125.0505968554984</v>
      </c>
      <c r="P57" s="52">
        <f>'Proposed Rates'!E59</f>
        <v>125.0505968554984</v>
      </c>
      <c r="Q57" s="52">
        <f t="shared" si="52"/>
        <v>4889.25</v>
      </c>
      <c r="R57" s="52">
        <f t="shared" si="53"/>
        <v>5627.2768584974283</v>
      </c>
      <c r="S57" s="52">
        <f t="shared" si="47"/>
        <v>738.02685849742829</v>
      </c>
      <c r="T57" s="52">
        <f t="shared" si="54"/>
        <v>5627.2768584974283</v>
      </c>
      <c r="U57" s="52">
        <f t="shared" si="48"/>
        <v>0</v>
      </c>
      <c r="V57" s="54">
        <f t="shared" si="56"/>
        <v>125.0505968554984</v>
      </c>
      <c r="W57" s="54">
        <f t="shared" si="55"/>
        <v>5627.2768584974283</v>
      </c>
      <c r="X57" s="54">
        <f t="shared" si="49"/>
        <v>738.02685849742829</v>
      </c>
      <c r="Y57" s="17">
        <f t="shared" si="26"/>
        <v>0</v>
      </c>
      <c r="Z57" s="12">
        <f t="shared" si="27"/>
        <v>0</v>
      </c>
      <c r="AA57" s="12">
        <f>((H57*$E$116*1*References!$C$58)/References!$G$61)-'Company Calc'!M57</f>
        <v>0</v>
      </c>
    </row>
    <row r="58" spans="1:27" ht="14.45" customHeight="1">
      <c r="A58" s="472"/>
      <c r="B58" s="35" t="s">
        <v>161</v>
      </c>
      <c r="C58" s="35" t="str">
        <f>+INDEX('Clallam Reg Price Out'!B:B,MATCH(D58,'Clallam Reg Price Out'!C:C,0))</f>
        <v>SP1-COM</v>
      </c>
      <c r="D58" t="s">
        <v>401</v>
      </c>
      <c r="E58" s="26">
        <f>+SUMIF('Clallam Reg Price Out'!B:B,C58,'Clallam Reg Price Out'!AH:AH)+SUMIF('CityPA-M Price Out'!B:B,C58,'CityPA-M Price Out'!AI:AI)</f>
        <v>4</v>
      </c>
      <c r="F58" s="20">
        <f>References!$B$14</f>
        <v>1</v>
      </c>
      <c r="G58" s="53">
        <f t="shared" ref="G58" si="152">E58*F58*12</f>
        <v>48</v>
      </c>
      <c r="H58" s="53">
        <f>References!B32</f>
        <v>175</v>
      </c>
      <c r="I58" s="53">
        <f t="shared" ref="I58" si="153">G58*H58</f>
        <v>8400</v>
      </c>
      <c r="J58" s="34">
        <f t="shared" si="46"/>
        <v>6357.3045276875428</v>
      </c>
      <c r="K58" s="52">
        <f>(References!$C$58*J58)</f>
        <v>160.29943366564132</v>
      </c>
      <c r="L58" s="52">
        <f>K58/References!$G$61</f>
        <v>164.00596855498395</v>
      </c>
      <c r="M58" s="52">
        <f t="shared" ref="M58" si="154">L58/G58</f>
        <v>3.4167910115621658</v>
      </c>
      <c r="N58" s="52">
        <f>'Proposed Rates'!$C$62</f>
        <v>24.69</v>
      </c>
      <c r="O58" s="52">
        <f t="shared" ref="O58" si="155">M58+N58</f>
        <v>28.106791011562166</v>
      </c>
      <c r="P58" s="52">
        <f>'Proposed Rates'!E62</f>
        <v>28.106791011562166</v>
      </c>
      <c r="Q58" s="52">
        <f t="shared" ref="Q58" si="156">G58*N58</f>
        <v>1185.1200000000001</v>
      </c>
      <c r="R58" s="52">
        <f t="shared" ref="R58" si="157">G58*P58</f>
        <v>1349.125968554984</v>
      </c>
      <c r="S58" s="52">
        <f t="shared" ref="S58" si="158">R58-Q58</f>
        <v>164.00596855498384</v>
      </c>
      <c r="T58" s="52">
        <f t="shared" ref="T58" si="159">G58*O58</f>
        <v>1349.125968554984</v>
      </c>
      <c r="U58" s="52">
        <f t="shared" ref="U58" si="160">R58-T58</f>
        <v>0</v>
      </c>
      <c r="V58" s="54">
        <f t="shared" ref="V58" si="161">O58</f>
        <v>28.106791011562166</v>
      </c>
      <c r="W58" s="54">
        <f t="shared" ref="W58" si="162">G58*V58</f>
        <v>1349.125968554984</v>
      </c>
      <c r="X58" s="54">
        <f t="shared" ref="X58" si="163">W58-Q58</f>
        <v>164.00596855498384</v>
      </c>
      <c r="Y58" s="17">
        <f t="shared" ref="Y58" si="164">S58-X58</f>
        <v>0</v>
      </c>
      <c r="Z58" s="12">
        <f t="shared" ref="Z58" si="165">P58-V58</f>
        <v>0</v>
      </c>
      <c r="AA58" s="12">
        <f>((H58*$E$116*1*References!$C$58)/References!$G$61)-'Company Calc'!M58</f>
        <v>0</v>
      </c>
    </row>
    <row r="59" spans="1:27" ht="14.45" customHeight="1">
      <c r="A59" s="472"/>
      <c r="B59" s="35" t="s">
        <v>161</v>
      </c>
      <c r="C59" s="35" t="str">
        <f>+INDEX('Clallam Reg Price Out'!B:B,MATCH(D59,'Clallam Reg Price Out'!C:C,0))</f>
        <v>F1YDEX</v>
      </c>
      <c r="D59" t="s">
        <v>143</v>
      </c>
      <c r="E59" s="26">
        <f>+SUMIF('Clallam Reg Price Out'!B:B,C59,'Clallam Reg Price Out'!AH:AH)+SUMIF('CityPA-M Price Out'!B:B,C59,'CityPA-M Price Out'!AI:AI)</f>
        <v>1</v>
      </c>
      <c r="F59" s="20">
        <f>References!$B$14</f>
        <v>1</v>
      </c>
      <c r="G59" s="53">
        <f t="shared" si="15"/>
        <v>12</v>
      </c>
      <c r="H59" s="53">
        <f>References!B32</f>
        <v>175</v>
      </c>
      <c r="I59" s="53">
        <f t="shared" si="50"/>
        <v>2100</v>
      </c>
      <c r="J59" s="34">
        <f t="shared" si="46"/>
        <v>1589.3261319218857</v>
      </c>
      <c r="K59" s="52">
        <f>(References!$C$58*J59)</f>
        <v>40.074858416410329</v>
      </c>
      <c r="L59" s="52">
        <f>K59/References!$G$61</f>
        <v>41.001492138745988</v>
      </c>
      <c r="M59" s="52">
        <f t="shared" si="51"/>
        <v>3.4167910115621658</v>
      </c>
      <c r="N59" s="52">
        <f>'Proposed Rates'!$C$62</f>
        <v>24.69</v>
      </c>
      <c r="O59" s="52">
        <f t="shared" si="17"/>
        <v>28.106791011562166</v>
      </c>
      <c r="P59" s="52">
        <f>'Proposed Rates'!E62</f>
        <v>28.106791011562166</v>
      </c>
      <c r="Q59" s="52">
        <f t="shared" si="52"/>
        <v>296.28000000000003</v>
      </c>
      <c r="R59" s="52">
        <f t="shared" si="53"/>
        <v>337.28149213874599</v>
      </c>
      <c r="S59" s="52">
        <f t="shared" si="47"/>
        <v>41.001492138745959</v>
      </c>
      <c r="T59" s="52">
        <f t="shared" si="54"/>
        <v>337.28149213874599</v>
      </c>
      <c r="U59" s="52">
        <f t="shared" si="48"/>
        <v>0</v>
      </c>
      <c r="V59" s="54">
        <f t="shared" si="56"/>
        <v>28.106791011562166</v>
      </c>
      <c r="W59" s="54">
        <f t="shared" si="55"/>
        <v>337.28149213874599</v>
      </c>
      <c r="X59" s="54">
        <f t="shared" si="49"/>
        <v>41.001492138745959</v>
      </c>
      <c r="Y59" s="17">
        <f t="shared" si="26"/>
        <v>0</v>
      </c>
      <c r="Z59" s="12">
        <f t="shared" si="27"/>
        <v>0</v>
      </c>
      <c r="AA59" s="12">
        <f>((H59*$E$116*1*References!$C$58)/References!$G$61)-'Company Calc'!M59</f>
        <v>0</v>
      </c>
    </row>
    <row r="60" spans="1:27" ht="14.45" customHeight="1">
      <c r="A60" s="472"/>
      <c r="B60" s="35" t="s">
        <v>161</v>
      </c>
      <c r="C60" s="35" t="str">
        <f>+INDEX('Clallam Reg Price Out'!B:B,MATCH(D60,'Clallam Reg Price Out'!C:C,0))</f>
        <v>R1YDEX</v>
      </c>
      <c r="D60" t="s">
        <v>144</v>
      </c>
      <c r="E60" s="26">
        <f>+SUMIF('Clallam Reg Price Out'!B:B,C60,'Clallam Reg Price Out'!AH:AH)+SUMIF('CityPA-M Price Out'!B:B,C60,'CityPA-M Price Out'!AI:AI)</f>
        <v>1</v>
      </c>
      <c r="F60" s="20">
        <f>References!$B$14</f>
        <v>1</v>
      </c>
      <c r="G60" s="53">
        <f t="shared" si="15"/>
        <v>12</v>
      </c>
      <c r="H60" s="53">
        <f>References!B32</f>
        <v>175</v>
      </c>
      <c r="I60" s="53">
        <f t="shared" si="50"/>
        <v>2100</v>
      </c>
      <c r="J60" s="34">
        <f t="shared" si="46"/>
        <v>1589.3261319218857</v>
      </c>
      <c r="K60" s="52">
        <f>(References!$C$58*J60)</f>
        <v>40.074858416410329</v>
      </c>
      <c r="L60" s="52">
        <f>K60/References!$G$61</f>
        <v>41.001492138745988</v>
      </c>
      <c r="M60" s="52">
        <f t="shared" si="51"/>
        <v>3.4167910115621658</v>
      </c>
      <c r="N60" s="52">
        <f>'Proposed Rates'!$C$62</f>
        <v>24.69</v>
      </c>
      <c r="O60" s="52">
        <f t="shared" si="17"/>
        <v>28.106791011562166</v>
      </c>
      <c r="P60" s="52">
        <f>'Proposed Rates'!E62</f>
        <v>28.106791011562166</v>
      </c>
      <c r="Q60" s="52">
        <f t="shared" si="52"/>
        <v>296.28000000000003</v>
      </c>
      <c r="R60" s="52">
        <f t="shared" si="53"/>
        <v>337.28149213874599</v>
      </c>
      <c r="S60" s="52">
        <f t="shared" si="47"/>
        <v>41.001492138745959</v>
      </c>
      <c r="T60" s="52">
        <f t="shared" si="54"/>
        <v>337.28149213874599</v>
      </c>
      <c r="U60" s="52">
        <f t="shared" si="48"/>
        <v>0</v>
      </c>
      <c r="V60" s="54">
        <f t="shared" si="56"/>
        <v>28.106791011562166</v>
      </c>
      <c r="W60" s="54">
        <f t="shared" si="55"/>
        <v>337.28149213874599</v>
      </c>
      <c r="X60" s="54">
        <f t="shared" si="49"/>
        <v>41.001492138745959</v>
      </c>
      <c r="Y60" s="17">
        <f t="shared" si="26"/>
        <v>0</v>
      </c>
      <c r="Z60" s="12">
        <f t="shared" si="27"/>
        <v>0</v>
      </c>
      <c r="AA60" s="12">
        <f>((H60*$E$116*1*References!$C$58)/References!$G$61)-'Company Calc'!M60</f>
        <v>0</v>
      </c>
    </row>
    <row r="61" spans="1:27" ht="14.45" customHeight="1">
      <c r="A61" s="472"/>
      <c r="B61" s="35" t="s">
        <v>161</v>
      </c>
      <c r="C61" s="35" t="str">
        <f>+INDEX('Clallam Reg Price Out'!B:B,MATCH(D61,'Clallam Reg Price Out'!C:C,0))</f>
        <v>F1YDTPU</v>
      </c>
      <c r="D61" t="s">
        <v>145</v>
      </c>
      <c r="E61" s="26">
        <f>+SUMIF('Clallam Reg Price Out'!B:B,C61,'Clallam Reg Price Out'!AH:AH)+SUMIF('CityPA-M Price Out'!B:B,C61,'CityPA-M Price Out'!AI:AI)</f>
        <v>2.5555555555555554</v>
      </c>
      <c r="F61" s="20">
        <f>References!$B$14</f>
        <v>1</v>
      </c>
      <c r="G61" s="53">
        <f t="shared" si="15"/>
        <v>30.666666666666664</v>
      </c>
      <c r="H61" s="53">
        <f>References!B32</f>
        <v>175</v>
      </c>
      <c r="I61" s="53">
        <f t="shared" si="50"/>
        <v>5366.6666666666661</v>
      </c>
      <c r="J61" s="34">
        <f t="shared" si="46"/>
        <v>4061.6112260225959</v>
      </c>
      <c r="K61" s="52">
        <f>(References!$C$58*J61)</f>
        <v>102.41352706415971</v>
      </c>
      <c r="L61" s="52">
        <f>K61/References!$G$61</f>
        <v>104.78159102123972</v>
      </c>
      <c r="M61" s="52">
        <f t="shared" si="51"/>
        <v>3.4167910115621649</v>
      </c>
      <c r="N61" s="52">
        <f>'Proposed Rates'!$C$70</f>
        <v>26.71</v>
      </c>
      <c r="O61" s="52">
        <f t="shared" si="17"/>
        <v>30.126791011562165</v>
      </c>
      <c r="P61" s="52">
        <f>'Proposed Rates'!E70</f>
        <v>30.126791011562165</v>
      </c>
      <c r="Q61" s="52">
        <f t="shared" si="52"/>
        <v>819.10666666666668</v>
      </c>
      <c r="R61" s="52">
        <f t="shared" si="53"/>
        <v>923.88825768790628</v>
      </c>
      <c r="S61" s="52">
        <f t="shared" si="47"/>
        <v>104.78159102123959</v>
      </c>
      <c r="T61" s="52">
        <f t="shared" si="54"/>
        <v>923.88825768790628</v>
      </c>
      <c r="U61" s="52">
        <f t="shared" si="48"/>
        <v>0</v>
      </c>
      <c r="V61" s="54">
        <f t="shared" si="56"/>
        <v>30.126791011562165</v>
      </c>
      <c r="W61" s="54">
        <f t="shared" si="55"/>
        <v>923.88825768790628</v>
      </c>
      <c r="X61" s="54">
        <f t="shared" si="49"/>
        <v>104.78159102123959</v>
      </c>
      <c r="Y61" s="17">
        <f t="shared" si="26"/>
        <v>0</v>
      </c>
      <c r="Z61" s="12">
        <f t="shared" si="27"/>
        <v>0</v>
      </c>
      <c r="AA61" s="12">
        <f>((H61*$E$116*1*References!$C$58)/References!$G$61)-'Company Calc'!M61</f>
        <v>0</v>
      </c>
    </row>
    <row r="62" spans="1:27" ht="17.25" customHeight="1">
      <c r="A62" s="472"/>
      <c r="B62" s="35" t="s">
        <v>161</v>
      </c>
      <c r="C62" s="35" t="str">
        <f>+INDEX('Clallam Reg Price Out'!B:B,MATCH(D62,'Clallam Reg Price Out'!C:C,0))</f>
        <v>F1.5YDEX</v>
      </c>
      <c r="D62" t="s">
        <v>146</v>
      </c>
      <c r="E62" s="26">
        <f>+SUMIF('Clallam Reg Price Out'!B:B,C62,'Clallam Reg Price Out'!AH:AH)+SUMIF('CityPA-M Price Out'!B:B,C62,'CityPA-M Price Out'!AI:AI)</f>
        <v>1</v>
      </c>
      <c r="F62" s="20">
        <f>References!$B$14</f>
        <v>1</v>
      </c>
      <c r="G62" s="53">
        <f t="shared" si="15"/>
        <v>12</v>
      </c>
      <c r="H62" s="53">
        <f>References!B33</f>
        <v>250</v>
      </c>
      <c r="I62" s="53">
        <f t="shared" si="50"/>
        <v>3000</v>
      </c>
      <c r="J62" s="34">
        <f t="shared" si="46"/>
        <v>2270.4659027455509</v>
      </c>
      <c r="K62" s="52">
        <f>(References!$C$58*J62)</f>
        <v>57.24979773772904</v>
      </c>
      <c r="L62" s="52">
        <f>K62/References!$G$61</f>
        <v>58.573560198208547</v>
      </c>
      <c r="M62" s="52">
        <f t="shared" si="51"/>
        <v>4.8811300165173792</v>
      </c>
      <c r="N62" s="52">
        <f>'Proposed Rates'!$C$63</f>
        <v>34</v>
      </c>
      <c r="O62" s="52">
        <f t="shared" si="17"/>
        <v>38.881130016517382</v>
      </c>
      <c r="P62" s="52">
        <f>'Proposed Rates'!E63</f>
        <v>38.881130016517375</v>
      </c>
      <c r="Q62" s="52">
        <f t="shared" si="52"/>
        <v>408</v>
      </c>
      <c r="R62" s="52">
        <f t="shared" si="53"/>
        <v>466.5735601982085</v>
      </c>
      <c r="S62" s="52">
        <f t="shared" si="47"/>
        <v>58.573560198208497</v>
      </c>
      <c r="T62" s="52">
        <f t="shared" si="54"/>
        <v>466.57356019820861</v>
      </c>
      <c r="U62" s="52">
        <f t="shared" si="48"/>
        <v>0</v>
      </c>
      <c r="V62" s="54">
        <f t="shared" si="56"/>
        <v>38.881130016517382</v>
      </c>
      <c r="W62" s="54">
        <f t="shared" si="55"/>
        <v>466.57356019820861</v>
      </c>
      <c r="X62" s="54">
        <f t="shared" si="49"/>
        <v>58.573560198208611</v>
      </c>
      <c r="Y62" s="17">
        <f t="shared" si="26"/>
        <v>-1.1368683772161603E-13</v>
      </c>
      <c r="Z62" s="12">
        <f t="shared" si="27"/>
        <v>0</v>
      </c>
      <c r="AA62" s="12">
        <f>((H62*$E$116*1*References!$C$58)/References!$G$61)-'Company Calc'!M62</f>
        <v>0</v>
      </c>
    </row>
    <row r="63" spans="1:27" ht="14.45" customHeight="1">
      <c r="A63" s="472"/>
      <c r="B63" s="35" t="s">
        <v>161</v>
      </c>
      <c r="C63" s="35" t="str">
        <f>+INDEX('Clallam Reg Price Out'!B:B,MATCH(D63,'Clallam Reg Price Out'!C:C,0))</f>
        <v>R1.5YDEX</v>
      </c>
      <c r="D63" t="s">
        <v>147</v>
      </c>
      <c r="E63" s="26">
        <f>+SUMIF('Clallam Reg Price Out'!B:B,C63,'Clallam Reg Price Out'!AH:AH)+SUMIF('CityPA-M Price Out'!B:B,C63,'CityPA-M Price Out'!AI:AI)</f>
        <v>1</v>
      </c>
      <c r="F63" s="20">
        <f>References!$B$14</f>
        <v>1</v>
      </c>
      <c r="G63" s="53">
        <f t="shared" si="15"/>
        <v>12</v>
      </c>
      <c r="H63" s="53">
        <f>References!B33</f>
        <v>250</v>
      </c>
      <c r="I63" s="53">
        <f t="shared" si="50"/>
        <v>3000</v>
      </c>
      <c r="J63" s="34">
        <f t="shared" si="46"/>
        <v>2270.4659027455509</v>
      </c>
      <c r="K63" s="52">
        <f>(References!$C$58*J63)</f>
        <v>57.24979773772904</v>
      </c>
      <c r="L63" s="52">
        <f>K63/References!$G$61</f>
        <v>58.573560198208547</v>
      </c>
      <c r="M63" s="52">
        <f t="shared" si="51"/>
        <v>4.8811300165173792</v>
      </c>
      <c r="N63" s="52">
        <f>'Proposed Rates'!$C$63</f>
        <v>34</v>
      </c>
      <c r="O63" s="52">
        <f t="shared" si="17"/>
        <v>38.881130016517382</v>
      </c>
      <c r="P63" s="52">
        <f>'Proposed Rates'!E63</f>
        <v>38.881130016517375</v>
      </c>
      <c r="Q63" s="52">
        <f t="shared" si="52"/>
        <v>408</v>
      </c>
      <c r="R63" s="52">
        <f t="shared" si="53"/>
        <v>466.5735601982085</v>
      </c>
      <c r="S63" s="52">
        <f t="shared" si="47"/>
        <v>58.573560198208497</v>
      </c>
      <c r="T63" s="52">
        <f t="shared" si="54"/>
        <v>466.57356019820861</v>
      </c>
      <c r="U63" s="52">
        <f t="shared" si="48"/>
        <v>0</v>
      </c>
      <c r="V63" s="54">
        <f t="shared" si="56"/>
        <v>38.881130016517382</v>
      </c>
      <c r="W63" s="54">
        <f t="shared" si="55"/>
        <v>466.57356019820861</v>
      </c>
      <c r="X63" s="54">
        <f t="shared" si="49"/>
        <v>58.573560198208611</v>
      </c>
      <c r="Y63" s="17">
        <f t="shared" si="26"/>
        <v>-1.1368683772161603E-13</v>
      </c>
      <c r="Z63" s="12">
        <f t="shared" si="27"/>
        <v>0</v>
      </c>
      <c r="AA63" s="12">
        <f>((H63*$E$116*1*References!$C$58)/References!$G$61)-'Company Calc'!M63</f>
        <v>0</v>
      </c>
    </row>
    <row r="64" spans="1:27" ht="14.45" customHeight="1">
      <c r="A64" s="472"/>
      <c r="B64" s="35" t="s">
        <v>161</v>
      </c>
      <c r="C64" s="35" t="str">
        <f>+INDEX('Clallam Reg Price Out'!B:B,MATCH(D64,'Clallam Reg Price Out'!C:C,0))</f>
        <v>F1.5YDTPU</v>
      </c>
      <c r="D64" t="s">
        <v>148</v>
      </c>
      <c r="E64" s="26">
        <f>+SUMIF('Clallam Reg Price Out'!B:B,C64,'Clallam Reg Price Out'!AH:AH)+SUMIF('CityPA-M Price Out'!B:B,C64,'CityPA-M Price Out'!AI:AI)</f>
        <v>1.7142857142857142</v>
      </c>
      <c r="F64" s="20">
        <f>References!$B$14</f>
        <v>1</v>
      </c>
      <c r="G64" s="53">
        <f t="shared" si="15"/>
        <v>20.571428571428569</v>
      </c>
      <c r="H64" s="53">
        <f>References!B33</f>
        <v>250</v>
      </c>
      <c r="I64" s="53">
        <f t="shared" si="50"/>
        <v>5142.8571428571422</v>
      </c>
      <c r="J64" s="34">
        <f t="shared" si="46"/>
        <v>3892.2272618495153</v>
      </c>
      <c r="K64" s="52">
        <f>(References!$C$58*J64)</f>
        <v>98.142510407535482</v>
      </c>
      <c r="L64" s="52">
        <f>K64/References!$G$61</f>
        <v>100.41181748264322</v>
      </c>
      <c r="M64" s="52">
        <f t="shared" si="51"/>
        <v>4.8811300165173792</v>
      </c>
      <c r="N64" s="52">
        <f>'Proposed Rates'!$C$71</f>
        <v>31</v>
      </c>
      <c r="O64" s="52">
        <f t="shared" si="17"/>
        <v>35.881130016517382</v>
      </c>
      <c r="P64" s="52">
        <f>'Proposed Rates'!E71</f>
        <v>35.881130016517375</v>
      </c>
      <c r="Q64" s="52">
        <f t="shared" si="52"/>
        <v>637.71428571428567</v>
      </c>
      <c r="R64" s="52">
        <f t="shared" si="53"/>
        <v>738.12610319692874</v>
      </c>
      <c r="S64" s="52">
        <f t="shared" si="47"/>
        <v>100.41181748264307</v>
      </c>
      <c r="T64" s="52">
        <f t="shared" si="54"/>
        <v>738.12610319692897</v>
      </c>
      <c r="U64" s="52">
        <f t="shared" si="48"/>
        <v>0</v>
      </c>
      <c r="V64" s="54">
        <f t="shared" si="56"/>
        <v>35.881130016517382</v>
      </c>
      <c r="W64" s="54">
        <f t="shared" si="55"/>
        <v>738.12610319692897</v>
      </c>
      <c r="X64" s="54">
        <f t="shared" si="49"/>
        <v>100.4118174826433</v>
      </c>
      <c r="Y64" s="17">
        <f t="shared" si="26"/>
        <v>-2.2737367544323206E-13</v>
      </c>
      <c r="Z64" s="12">
        <f t="shared" si="27"/>
        <v>0</v>
      </c>
      <c r="AA64" s="12">
        <f>((H64*$E$116*1*References!$C$58)/References!$G$61)-'Company Calc'!M64</f>
        <v>0</v>
      </c>
    </row>
    <row r="65" spans="1:28" ht="14.45" customHeight="1">
      <c r="A65" s="472"/>
      <c r="B65" s="35" t="s">
        <v>161</v>
      </c>
      <c r="C65" s="35" t="str">
        <f>+INDEX('Clallam Reg Price Out'!B:B,MATCH(D65,'Clallam Reg Price Out'!C:C,0))</f>
        <v>F2YDEX</v>
      </c>
      <c r="D65" t="s">
        <v>149</v>
      </c>
      <c r="E65" s="26">
        <f>+SUMIF('Clallam Reg Price Out'!B:B,C65,'Clallam Reg Price Out'!AH:AH)+SUMIF('CityPA-M Price Out'!B:B,C65,'CityPA-M Price Out'!AI:AI)</f>
        <v>1.75</v>
      </c>
      <c r="F65" s="20">
        <f>References!$B$14</f>
        <v>1</v>
      </c>
      <c r="G65" s="53">
        <f t="shared" si="15"/>
        <v>21</v>
      </c>
      <c r="H65" s="53">
        <f>References!B35</f>
        <v>324</v>
      </c>
      <c r="I65" s="53">
        <f t="shared" si="50"/>
        <v>6804</v>
      </c>
      <c r="J65" s="34">
        <f t="shared" si="46"/>
        <v>5149.416667426909</v>
      </c>
      <c r="K65" s="52">
        <f>(References!$C$58*J65)</f>
        <v>129.84254126916946</v>
      </c>
      <c r="L65" s="52">
        <f>K65/References!$G$61</f>
        <v>132.844834529537</v>
      </c>
      <c r="M65" s="52">
        <f t="shared" si="51"/>
        <v>6.3259445014065232</v>
      </c>
      <c r="N65" s="52">
        <f>'Proposed Rates'!$C$64</f>
        <v>45.82</v>
      </c>
      <c r="O65" s="52">
        <f t="shared" si="17"/>
        <v>52.145944501406525</v>
      </c>
      <c r="P65" s="52">
        <f>'Proposed Rates'!E64</f>
        <v>52.145944501406525</v>
      </c>
      <c r="Q65" s="52">
        <f t="shared" si="52"/>
        <v>962.22</v>
      </c>
      <c r="R65" s="52">
        <f t="shared" si="53"/>
        <v>1095.0648345295369</v>
      </c>
      <c r="S65" s="52">
        <f t="shared" si="47"/>
        <v>132.84483452953691</v>
      </c>
      <c r="T65" s="52">
        <f t="shared" si="54"/>
        <v>1095.0648345295369</v>
      </c>
      <c r="U65" s="52">
        <f t="shared" si="48"/>
        <v>0</v>
      </c>
      <c r="V65" s="54">
        <f t="shared" si="56"/>
        <v>52.145944501406525</v>
      </c>
      <c r="W65" s="54">
        <f t="shared" si="55"/>
        <v>1095.0648345295369</v>
      </c>
      <c r="X65" s="54">
        <f t="shared" si="49"/>
        <v>132.84483452953691</v>
      </c>
      <c r="Y65" s="17">
        <f t="shared" si="26"/>
        <v>0</v>
      </c>
      <c r="Z65" s="12">
        <f t="shared" si="27"/>
        <v>0</v>
      </c>
      <c r="AA65" s="12">
        <f>((H65*$E$116*1*References!$C$58)/References!$G$61)-'Company Calc'!M65</f>
        <v>0</v>
      </c>
    </row>
    <row r="66" spans="1:28" ht="14.45" customHeight="1">
      <c r="A66" s="472"/>
      <c r="B66" s="35" t="s">
        <v>161</v>
      </c>
      <c r="C66" s="35" t="str">
        <f>+INDEX('Clallam Reg Price Out'!B:B,MATCH(D66,'Clallam Reg Price Out'!C:C,0))</f>
        <v>F2YDEXCO</v>
      </c>
      <c r="D66" t="s">
        <v>403</v>
      </c>
      <c r="E66" s="26">
        <f>+SUMIF('Clallam Reg Price Out'!B:B,C66,'Clallam Reg Price Out'!AH:AH)+SUMIF('CityPA-M Price Out'!B:B,C66,'CityPA-M Price Out'!AI:AI)</f>
        <v>1</v>
      </c>
      <c r="F66" s="20">
        <f>References!$B$14</f>
        <v>1</v>
      </c>
      <c r="G66" s="53">
        <f t="shared" ref="G66" si="166">E66*F66*12</f>
        <v>12</v>
      </c>
      <c r="H66" s="53">
        <f>References!B35</f>
        <v>324</v>
      </c>
      <c r="I66" s="53">
        <f t="shared" ref="I66" si="167">G66*H66</f>
        <v>3888</v>
      </c>
      <c r="J66" s="34">
        <f t="shared" si="46"/>
        <v>2942.5238099582339</v>
      </c>
      <c r="K66" s="52">
        <f>(References!$C$58*J66)</f>
        <v>74.195737868096828</v>
      </c>
      <c r="L66" s="52">
        <f>K66/References!$G$61</f>
        <v>75.911334016878271</v>
      </c>
      <c r="M66" s="52">
        <f t="shared" ref="M66" si="168">L66/G66</f>
        <v>6.3259445014065223</v>
      </c>
      <c r="N66" s="52">
        <f>'Proposed Rates'!$C$64</f>
        <v>45.82</v>
      </c>
      <c r="O66" s="52">
        <f t="shared" ref="O66" si="169">M66+N66</f>
        <v>52.145944501406525</v>
      </c>
      <c r="P66" s="52">
        <f>'Proposed Rates'!E64</f>
        <v>52.145944501406525</v>
      </c>
      <c r="Q66" s="52">
        <f t="shared" ref="Q66" si="170">G66*N66</f>
        <v>549.84</v>
      </c>
      <c r="R66" s="52">
        <f t="shared" ref="R66" si="171">G66*P66</f>
        <v>625.75133401687833</v>
      </c>
      <c r="S66" s="52">
        <f t="shared" ref="S66" si="172">R66-Q66</f>
        <v>75.9113340168783</v>
      </c>
      <c r="T66" s="52">
        <f t="shared" ref="T66" si="173">G66*O66</f>
        <v>625.75133401687833</v>
      </c>
      <c r="U66" s="52">
        <f t="shared" ref="U66" si="174">R66-T66</f>
        <v>0</v>
      </c>
      <c r="V66" s="54">
        <f t="shared" ref="V66" si="175">O66</f>
        <v>52.145944501406525</v>
      </c>
      <c r="W66" s="54">
        <f t="shared" ref="W66" si="176">G66*V66</f>
        <v>625.75133401687833</v>
      </c>
      <c r="X66" s="54">
        <f t="shared" ref="X66" si="177">W66-Q66</f>
        <v>75.9113340168783</v>
      </c>
      <c r="Y66" s="17">
        <f t="shared" ref="Y66" si="178">S66-X66</f>
        <v>0</v>
      </c>
      <c r="Z66" s="12">
        <f t="shared" ref="Z66" si="179">P66-V66</f>
        <v>0</v>
      </c>
      <c r="AA66" s="12">
        <f>((H66*$E$116*1*References!$C$58)/References!$G$61)-'Company Calc'!M66</f>
        <v>0</v>
      </c>
    </row>
    <row r="67" spans="1:28" ht="14.45" customHeight="1">
      <c r="A67" s="472"/>
      <c r="B67" s="35" t="s">
        <v>161</v>
      </c>
      <c r="C67" s="35" t="str">
        <f>+INDEX('Clallam Reg Price Out'!B:B,MATCH(D67,'Clallam Reg Price Out'!C:C,0))</f>
        <v>R2YDEX</v>
      </c>
      <c r="D67" t="s">
        <v>150</v>
      </c>
      <c r="E67" s="26">
        <f>+SUMIF('Clallam Reg Price Out'!B:B,C67,'Clallam Reg Price Out'!AH:AH)+SUMIF('CityPA-M Price Out'!B:B,C67,'CityPA-M Price Out'!AI:AI)</f>
        <v>1.3333333333333333</v>
      </c>
      <c r="F67" s="20">
        <f>References!$B$14</f>
        <v>1</v>
      </c>
      <c r="G67" s="53">
        <f t="shared" si="15"/>
        <v>16</v>
      </c>
      <c r="H67" s="53">
        <f>References!B35</f>
        <v>324</v>
      </c>
      <c r="I67" s="53">
        <f t="shared" si="50"/>
        <v>5184</v>
      </c>
      <c r="J67" s="34">
        <f t="shared" si="46"/>
        <v>3923.3650799443117</v>
      </c>
      <c r="K67" s="52">
        <f>(References!$C$58*J67)</f>
        <v>98.92765049079577</v>
      </c>
      <c r="L67" s="52">
        <f>K67/References!$G$61</f>
        <v>101.21511202250436</v>
      </c>
      <c r="M67" s="52">
        <f t="shared" si="51"/>
        <v>6.3259445014065223</v>
      </c>
      <c r="N67" s="52">
        <f>'Proposed Rates'!$C$64</f>
        <v>45.82</v>
      </c>
      <c r="O67" s="52">
        <f t="shared" si="17"/>
        <v>52.145944501406525</v>
      </c>
      <c r="P67" s="52">
        <f>'Proposed Rates'!E64</f>
        <v>52.145944501406525</v>
      </c>
      <c r="Q67" s="52">
        <f t="shared" si="52"/>
        <v>733.12</v>
      </c>
      <c r="R67" s="52">
        <f t="shared" si="53"/>
        <v>834.3351120225044</v>
      </c>
      <c r="S67" s="52">
        <f t="shared" si="47"/>
        <v>101.2151120225044</v>
      </c>
      <c r="T67" s="52">
        <f t="shared" si="54"/>
        <v>834.3351120225044</v>
      </c>
      <c r="U67" s="52">
        <f t="shared" si="48"/>
        <v>0</v>
      </c>
      <c r="V67" s="54">
        <f t="shared" si="56"/>
        <v>52.145944501406525</v>
      </c>
      <c r="W67" s="54">
        <f t="shared" si="55"/>
        <v>834.3351120225044</v>
      </c>
      <c r="X67" s="54">
        <f t="shared" si="49"/>
        <v>101.2151120225044</v>
      </c>
      <c r="Y67" s="17">
        <f t="shared" si="26"/>
        <v>0</v>
      </c>
      <c r="Z67" s="12">
        <f t="shared" si="27"/>
        <v>0</v>
      </c>
      <c r="AA67" s="12">
        <f>((H67*$E$116*1*References!$C$58)/References!$G$61)-'Company Calc'!M67</f>
        <v>0</v>
      </c>
    </row>
    <row r="68" spans="1:28" ht="14.45" customHeight="1">
      <c r="A68" s="472"/>
      <c r="B68" s="35" t="s">
        <v>161</v>
      </c>
      <c r="C68" s="35" t="str">
        <f>+INDEX('Clallam Reg Price Out'!B:B,MATCH(D68,'Clallam Reg Price Out'!C:C,0))</f>
        <v>F2YDTPU</v>
      </c>
      <c r="D68" t="s">
        <v>151</v>
      </c>
      <c r="E68" s="26">
        <f>+SUMIF('Clallam Reg Price Out'!B:B,C68,'Clallam Reg Price Out'!AH:AH)+SUMIF('CityPA-M Price Out'!B:B,C68,'CityPA-M Price Out'!AI:AI)</f>
        <v>5.5454545454545459</v>
      </c>
      <c r="F68" s="20">
        <f>References!$B$14</f>
        <v>1</v>
      </c>
      <c r="G68" s="53">
        <f t="shared" si="15"/>
        <v>66.545454545454547</v>
      </c>
      <c r="H68" s="53">
        <f>References!B35</f>
        <v>324</v>
      </c>
      <c r="I68" s="53">
        <f t="shared" si="50"/>
        <v>21560.727272727272</v>
      </c>
      <c r="J68" s="34">
        <f t="shared" si="46"/>
        <v>16317.632037041114</v>
      </c>
      <c r="K68" s="52">
        <f>(References!$C$58*J68)</f>
        <v>411.44909181399146</v>
      </c>
      <c r="L68" s="52">
        <f>K68/References!$G$61</f>
        <v>420.96285227541586</v>
      </c>
      <c r="M68" s="52">
        <f t="shared" si="51"/>
        <v>6.3259445014065223</v>
      </c>
      <c r="N68" s="52">
        <f>'Proposed Rates'!$C$72</f>
        <v>40.36</v>
      </c>
      <c r="O68" s="52">
        <f t="shared" si="17"/>
        <v>46.685944501406524</v>
      </c>
      <c r="P68" s="52">
        <f>'Proposed Rates'!E72</f>
        <v>46.685944501406524</v>
      </c>
      <c r="Q68" s="52">
        <f t="shared" si="52"/>
        <v>2685.7745454545457</v>
      </c>
      <c r="R68" s="52">
        <f t="shared" si="53"/>
        <v>3106.7373977299617</v>
      </c>
      <c r="S68" s="52">
        <f t="shared" si="47"/>
        <v>420.96285227541603</v>
      </c>
      <c r="T68" s="52">
        <f t="shared" si="54"/>
        <v>3106.7373977299617</v>
      </c>
      <c r="U68" s="52">
        <f t="shared" si="48"/>
        <v>0</v>
      </c>
      <c r="V68" s="54">
        <f t="shared" si="56"/>
        <v>46.685944501406524</v>
      </c>
      <c r="W68" s="54">
        <f t="shared" si="55"/>
        <v>3106.7373977299617</v>
      </c>
      <c r="X68" s="54">
        <f t="shared" si="49"/>
        <v>420.96285227541603</v>
      </c>
      <c r="Y68" s="17">
        <f t="shared" si="26"/>
        <v>0</v>
      </c>
      <c r="Z68" s="12">
        <f t="shared" si="27"/>
        <v>0</v>
      </c>
      <c r="AA68" s="12">
        <f>((H68*$E$116*1*References!$C$58)/References!$G$61)-'Company Calc'!M68</f>
        <v>0</v>
      </c>
    </row>
    <row r="69" spans="1:28" ht="14.45" customHeight="1">
      <c r="A69" s="472"/>
      <c r="B69" s="35" t="s">
        <v>161</v>
      </c>
      <c r="C69" s="35" t="str">
        <f>+INDEX('Clallam Reg Price Out'!B:B,MATCH(D69,'Clallam Reg Price Out'!C:C,0))</f>
        <v>R2YDTPU</v>
      </c>
      <c r="D69" t="s">
        <v>152</v>
      </c>
      <c r="E69" s="26">
        <f>+SUMIF('Clallam Reg Price Out'!B:B,C69,'Clallam Reg Price Out'!AH:AH)+SUMIF('CityPA-M Price Out'!B:B,C69,'CityPA-M Price Out'!AI:AI)</f>
        <v>1.6666666666666667</v>
      </c>
      <c r="F69" s="20">
        <f>References!$B$14</f>
        <v>1</v>
      </c>
      <c r="G69" s="53">
        <f t="shared" si="15"/>
        <v>20</v>
      </c>
      <c r="H69" s="53">
        <f>References!B35</f>
        <v>324</v>
      </c>
      <c r="I69" s="53">
        <f t="shared" si="50"/>
        <v>6480</v>
      </c>
      <c r="J69" s="34">
        <f t="shared" si="46"/>
        <v>4904.2063499303895</v>
      </c>
      <c r="K69" s="52">
        <f>(References!$C$58*J69)</f>
        <v>123.65956311349471</v>
      </c>
      <c r="L69" s="52">
        <f>K69/References!$G$61</f>
        <v>126.51889002813046</v>
      </c>
      <c r="M69" s="52">
        <f t="shared" si="51"/>
        <v>6.3259445014065232</v>
      </c>
      <c r="N69" s="52">
        <f>'Proposed Rates'!$C$72</f>
        <v>40.36</v>
      </c>
      <c r="O69" s="52">
        <f t="shared" si="17"/>
        <v>46.685944501406524</v>
      </c>
      <c r="P69" s="52">
        <f>'Proposed Rates'!E72</f>
        <v>46.685944501406524</v>
      </c>
      <c r="Q69" s="52">
        <f t="shared" si="52"/>
        <v>807.2</v>
      </c>
      <c r="R69" s="52">
        <f t="shared" si="53"/>
        <v>933.71889002813055</v>
      </c>
      <c r="S69" s="52">
        <f t="shared" si="47"/>
        <v>126.5188900281305</v>
      </c>
      <c r="T69" s="52">
        <f t="shared" si="54"/>
        <v>933.71889002813055</v>
      </c>
      <c r="U69" s="52">
        <f t="shared" si="48"/>
        <v>0</v>
      </c>
      <c r="V69" s="54">
        <f t="shared" si="56"/>
        <v>46.685944501406524</v>
      </c>
      <c r="W69" s="54">
        <f t="shared" si="55"/>
        <v>933.71889002813055</v>
      </c>
      <c r="X69" s="54">
        <f t="shared" si="49"/>
        <v>126.5188900281305</v>
      </c>
      <c r="Y69" s="17">
        <f t="shared" si="26"/>
        <v>0</v>
      </c>
      <c r="Z69" s="12">
        <f t="shared" si="27"/>
        <v>0</v>
      </c>
      <c r="AA69" s="12">
        <f>((H69*$E$116*1*References!$C$58)/References!$G$61)-'Company Calc'!M69</f>
        <v>0</v>
      </c>
    </row>
    <row r="70" spans="1:28" ht="14.45" customHeight="1">
      <c r="A70" s="472"/>
      <c r="B70" s="35" t="s">
        <v>161</v>
      </c>
      <c r="C70" s="35" t="str">
        <f>+INDEX('Clallam Reg Price Out'!B:B,MATCH(D70,'Clallam Reg Price Out'!C:C,0))</f>
        <v>F3YDEX</v>
      </c>
      <c r="D70" t="s">
        <v>153</v>
      </c>
      <c r="E70" s="26">
        <f>+SUMIF('Clallam Reg Price Out'!B:B,C70,'Clallam Reg Price Out'!AH:AH)+SUMIF('CityPA-M Price Out'!B:B,C70,'CityPA-M Price Out'!AI:AI)</f>
        <v>1</v>
      </c>
      <c r="F70" s="20">
        <f>References!$B$14</f>
        <v>1</v>
      </c>
      <c r="G70" s="53">
        <f t="shared" si="15"/>
        <v>12</v>
      </c>
      <c r="H70" s="53">
        <f>References!B36</f>
        <v>473</v>
      </c>
      <c r="I70" s="53">
        <f t="shared" si="50"/>
        <v>5676</v>
      </c>
      <c r="J70" s="34">
        <f t="shared" si="46"/>
        <v>4295.7214879945823</v>
      </c>
      <c r="K70" s="52">
        <f>(References!$C$58*J70)</f>
        <v>108.31661731978333</v>
      </c>
      <c r="L70" s="52">
        <f>K70/References!$G$61</f>
        <v>110.82117589501057</v>
      </c>
      <c r="M70" s="52">
        <f t="shared" si="51"/>
        <v>9.2350979912508802</v>
      </c>
      <c r="N70" s="52">
        <f>'Proposed Rates'!C65</f>
        <v>59.85</v>
      </c>
      <c r="O70" s="52">
        <f t="shared" si="17"/>
        <v>69.085097991250876</v>
      </c>
      <c r="P70" s="52">
        <f>'Proposed Rates'!E65</f>
        <v>69.085097991250876</v>
      </c>
      <c r="Q70" s="52">
        <f t="shared" si="52"/>
        <v>718.2</v>
      </c>
      <c r="R70" s="52">
        <f t="shared" si="53"/>
        <v>829.02117589501051</v>
      </c>
      <c r="S70" s="52">
        <f t="shared" si="47"/>
        <v>110.82117589501047</v>
      </c>
      <c r="T70" s="52">
        <f t="shared" si="54"/>
        <v>829.02117589501051</v>
      </c>
      <c r="U70" s="52">
        <f t="shared" si="48"/>
        <v>0</v>
      </c>
      <c r="V70" s="54">
        <f t="shared" si="56"/>
        <v>69.085097991250876</v>
      </c>
      <c r="W70" s="54">
        <f t="shared" si="55"/>
        <v>829.02117589501051</v>
      </c>
      <c r="X70" s="54">
        <f t="shared" si="49"/>
        <v>110.82117589501047</v>
      </c>
      <c r="Y70" s="17">
        <f t="shared" si="26"/>
        <v>0</v>
      </c>
      <c r="Z70" s="12">
        <f t="shared" si="27"/>
        <v>0</v>
      </c>
      <c r="AA70" s="12">
        <f>((H70*$E$116*1*References!$C$58)/References!$G$61)-'Company Calc'!M70</f>
        <v>0</v>
      </c>
    </row>
    <row r="71" spans="1:28" ht="14.45" customHeight="1">
      <c r="A71" s="472"/>
      <c r="B71" s="35" t="s">
        <v>161</v>
      </c>
      <c r="C71" s="35" t="str">
        <f>+INDEX('Clallam Reg Price Out'!B:B,MATCH(D71,'Clallam Reg Price Out'!C:C,0))</f>
        <v>SP3-COM</v>
      </c>
      <c r="D71" t="s">
        <v>407</v>
      </c>
      <c r="E71" s="26">
        <f>+SUMIF('Clallam Reg Price Out'!B:B,C71,'Clallam Reg Price Out'!AH:AH)+SUMIF('CityPA-M Price Out'!B:B,C71,'CityPA-M Price Out'!AI:AI)</f>
        <v>1.125</v>
      </c>
      <c r="F71" s="20">
        <f>References!$B$14</f>
        <v>1</v>
      </c>
      <c r="G71" s="53">
        <f t="shared" ref="G71" si="180">E71*F71*12</f>
        <v>13.5</v>
      </c>
      <c r="H71" s="53">
        <f>References!B36</f>
        <v>473</v>
      </c>
      <c r="I71" s="53">
        <f t="shared" ref="I71" si="181">G71*H71</f>
        <v>6385.5</v>
      </c>
      <c r="J71" s="34">
        <f t="shared" si="46"/>
        <v>4832.6866739939051</v>
      </c>
      <c r="K71" s="52">
        <f>(References!$C$58*J71)</f>
        <v>121.85619448475626</v>
      </c>
      <c r="L71" s="52">
        <f>K71/References!$G$61</f>
        <v>124.67382288188689</v>
      </c>
      <c r="M71" s="52">
        <f t="shared" ref="M71:M73" si="182">L71/G71</f>
        <v>9.2350979912508802</v>
      </c>
      <c r="N71" s="52">
        <f>'Proposed Rates'!C65</f>
        <v>59.85</v>
      </c>
      <c r="O71" s="52">
        <f>M71+N71</f>
        <v>69.085097991250876</v>
      </c>
      <c r="P71" s="52">
        <f>'Proposed Rates'!E65</f>
        <v>69.085097991250876</v>
      </c>
      <c r="Q71" s="52">
        <f t="shared" ref="Q71" si="183">G71*N71</f>
        <v>807.97500000000002</v>
      </c>
      <c r="R71" s="52">
        <f t="shared" ref="R71" si="184">G71*P71</f>
        <v>932.64882288188687</v>
      </c>
      <c r="S71" s="52">
        <f t="shared" ref="S71" si="185">R71-Q71</f>
        <v>124.67382288188685</v>
      </c>
      <c r="T71" s="52">
        <f t="shared" ref="T71" si="186">G71*O71</f>
        <v>932.64882288188687</v>
      </c>
      <c r="U71" s="52">
        <f t="shared" ref="U71" si="187">R71-T71</f>
        <v>0</v>
      </c>
      <c r="V71" s="54">
        <f t="shared" ref="V71" si="188">O71</f>
        <v>69.085097991250876</v>
      </c>
      <c r="W71" s="54">
        <f t="shared" ref="W71" si="189">G71*V71</f>
        <v>932.64882288188687</v>
      </c>
      <c r="X71" s="54">
        <f t="shared" ref="X71" si="190">W71-Q71</f>
        <v>124.67382288188685</v>
      </c>
      <c r="Y71" s="17">
        <f t="shared" ref="Y71" si="191">S71-X71</f>
        <v>0</v>
      </c>
      <c r="Z71" s="12">
        <f t="shared" ref="Z71" si="192">P71-V71</f>
        <v>0</v>
      </c>
      <c r="AA71" s="12">
        <f>((H71*$E$116*1*References!$C$58)/References!$G$61)-'Company Calc'!M71</f>
        <v>0</v>
      </c>
    </row>
    <row r="72" spans="1:28" ht="14.45" customHeight="1">
      <c r="A72" s="472"/>
      <c r="B72" s="35" t="s">
        <v>161</v>
      </c>
      <c r="C72" s="35" t="str">
        <f>+INDEX('Clallam Reg Price Out'!B:B,MATCH(D72,'Clallam Reg Price Out'!C:C,0))</f>
        <v>F4YDEX</v>
      </c>
      <c r="D72" t="s">
        <v>154</v>
      </c>
      <c r="E72" s="26">
        <f>+SUMIF('Clallam Reg Price Out'!B:B,C72,'Clallam Reg Price Out'!AH:AH)+SUMIF('CityPA-M Price Out'!B:B,C72,'CityPA-M Price Out'!AI:AI)</f>
        <v>2</v>
      </c>
      <c r="F72" s="20">
        <f>References!$B$14</f>
        <v>1</v>
      </c>
      <c r="G72" s="53">
        <f t="shared" si="15"/>
        <v>24</v>
      </c>
      <c r="H72" s="53">
        <f>References!$B$38</f>
        <v>613</v>
      </c>
      <c r="I72" s="53">
        <f t="shared" si="50"/>
        <v>14712</v>
      </c>
      <c r="J72" s="34">
        <f t="shared" si="46"/>
        <v>11134.364787064182</v>
      </c>
      <c r="K72" s="52">
        <f>(References!$C$58*J72)</f>
        <v>280.7530081058232</v>
      </c>
      <c r="L72" s="52">
        <f>K72/References!$G$61</f>
        <v>287.24473921201474</v>
      </c>
      <c r="M72" s="52">
        <f t="shared" si="51"/>
        <v>11.968530800500615</v>
      </c>
      <c r="N72" s="52">
        <f>'Proposed Rates'!$C$66</f>
        <v>80.709999999999994</v>
      </c>
      <c r="O72" s="52">
        <f t="shared" si="17"/>
        <v>92.67853080050061</v>
      </c>
      <c r="P72" s="52">
        <f>'Proposed Rates'!E66</f>
        <v>92.67853080050061</v>
      </c>
      <c r="Q72" s="52">
        <f t="shared" si="52"/>
        <v>1937.04</v>
      </c>
      <c r="R72" s="52">
        <f t="shared" si="53"/>
        <v>2224.2847392120148</v>
      </c>
      <c r="S72" s="52">
        <f t="shared" si="47"/>
        <v>287.24473921201479</v>
      </c>
      <c r="T72" s="52">
        <f t="shared" si="54"/>
        <v>2224.2847392120148</v>
      </c>
      <c r="U72" s="52">
        <f t="shared" si="48"/>
        <v>0</v>
      </c>
      <c r="V72" s="54">
        <f t="shared" si="56"/>
        <v>92.67853080050061</v>
      </c>
      <c r="W72" s="54">
        <f t="shared" si="55"/>
        <v>2224.2847392120148</v>
      </c>
      <c r="X72" s="54">
        <f t="shared" si="49"/>
        <v>287.24473921201479</v>
      </c>
      <c r="Y72" s="17">
        <f t="shared" si="26"/>
        <v>0</v>
      </c>
      <c r="Z72" s="12">
        <f t="shared" si="27"/>
        <v>0</v>
      </c>
      <c r="AA72" s="12">
        <f>((H72*$E$116*1*References!$C$58)/References!$G$61)-'Company Calc'!M72</f>
        <v>0</v>
      </c>
    </row>
    <row r="73" spans="1:28" ht="14.45" customHeight="1">
      <c r="A73" s="472"/>
      <c r="B73" s="35" t="s">
        <v>161</v>
      </c>
      <c r="C73" s="286" t="s">
        <v>410</v>
      </c>
      <c r="D73" t="s">
        <v>411</v>
      </c>
      <c r="E73" s="26">
        <f>+SUMIF('Clallam Reg Price Out'!B:B,C73,'Clallam Reg Price Out'!AH:AH)+SUMIF('CityPA-M Price Out'!B:B,C73,'CityPA-M Price Out'!AI:AI)</f>
        <v>1.5714285714285714</v>
      </c>
      <c r="F73" s="20">
        <v>1</v>
      </c>
      <c r="G73" s="53">
        <v>24</v>
      </c>
      <c r="H73" s="53">
        <v>613</v>
      </c>
      <c r="I73" s="53">
        <v>14712</v>
      </c>
      <c r="J73" s="34">
        <v>7457.7737443462074</v>
      </c>
      <c r="K73" s="52">
        <v>-11.857860253510427</v>
      </c>
      <c r="L73" s="52">
        <v>-12.101092206868485</v>
      </c>
      <c r="M73" s="52">
        <f t="shared" si="182"/>
        <v>-0.50421217528618689</v>
      </c>
      <c r="N73" s="52">
        <v>80.709999999999994</v>
      </c>
      <c r="O73" s="52">
        <v>80.205787824713809</v>
      </c>
      <c r="P73" s="52">
        <v>80.205787824713809</v>
      </c>
      <c r="Q73" s="52">
        <v>1937.04</v>
      </c>
      <c r="R73" s="52">
        <v>1924.9389077931314</v>
      </c>
      <c r="S73" s="52">
        <v>-12.101092206868543</v>
      </c>
      <c r="T73" s="52">
        <v>1924.9389077931314</v>
      </c>
      <c r="U73" s="52">
        <v>0</v>
      </c>
      <c r="V73" s="54">
        <v>80.205787824713809</v>
      </c>
      <c r="W73" s="54">
        <v>1924.9389077931314</v>
      </c>
      <c r="X73" s="54">
        <v>-12.101092206868543</v>
      </c>
      <c r="Y73" s="17">
        <v>0</v>
      </c>
      <c r="Z73" s="12">
        <v>0</v>
      </c>
      <c r="AA73" s="12">
        <v>0</v>
      </c>
    </row>
    <row r="74" spans="1:28" ht="14.45" customHeight="1">
      <c r="A74" s="472"/>
      <c r="B74" s="35" t="s">
        <v>161</v>
      </c>
      <c r="C74" s="286" t="s">
        <v>233</v>
      </c>
      <c r="D74" t="s">
        <v>154</v>
      </c>
      <c r="E74" s="26">
        <f>+SUMIF('Clallam Reg Price Out'!B:B,C74,'Clallam Reg Price Out'!AH:AH)+SUMIF('CityPA-M Price Out'!B:B,C74,'CityPA-M Price Out'!AI:AI)</f>
        <v>1.6666666666666667</v>
      </c>
      <c r="F74" s="20">
        <f>References!$B$14</f>
        <v>1</v>
      </c>
      <c r="G74" s="53">
        <f t="shared" ref="G74" si="193">E74*F74*12</f>
        <v>20</v>
      </c>
      <c r="H74" s="53">
        <f>References!$B$38</f>
        <v>613</v>
      </c>
      <c r="I74" s="53">
        <f t="shared" ref="I74" si="194">G74*H74</f>
        <v>12260</v>
      </c>
      <c r="J74" s="34">
        <f t="shared" ref="J74:J87" si="195">$E$116*I74</f>
        <v>9278.6373225534844</v>
      </c>
      <c r="K74" s="52">
        <f>(References!$C$58*J74)</f>
        <v>233.96084008818599</v>
      </c>
      <c r="L74" s="52">
        <f>K74/References!$G$61</f>
        <v>239.37061601001224</v>
      </c>
      <c r="M74" s="52">
        <f t="shared" ref="M74" si="196">L74/G74</f>
        <v>11.968530800500613</v>
      </c>
      <c r="N74" s="52">
        <f>'Proposed Rates'!$C$66</f>
        <v>80.709999999999994</v>
      </c>
      <c r="O74" s="52">
        <f t="shared" ref="O74" si="197">M74+N74</f>
        <v>92.67853080050061</v>
      </c>
      <c r="P74" s="52">
        <f>'Proposed Rates'!$E$66</f>
        <v>92.67853080050061</v>
      </c>
      <c r="Q74" s="52">
        <f t="shared" ref="Q74" si="198">G74*N74</f>
        <v>1614.1999999999998</v>
      </c>
      <c r="R74" s="52">
        <f t="shared" ref="R74" si="199">G74*P74</f>
        <v>1853.5706160100121</v>
      </c>
      <c r="S74" s="52">
        <f t="shared" ref="S74" si="200">R74-Q74</f>
        <v>239.37061601001233</v>
      </c>
      <c r="T74" s="52">
        <f t="shared" ref="T74" si="201">G74*O74</f>
        <v>1853.5706160100121</v>
      </c>
      <c r="U74" s="52">
        <f t="shared" ref="U74" si="202">R74-T74</f>
        <v>0</v>
      </c>
      <c r="V74" s="54">
        <f t="shared" ref="V74" si="203">O74</f>
        <v>92.67853080050061</v>
      </c>
      <c r="W74" s="54">
        <f t="shared" ref="W74" si="204">G74*V74</f>
        <v>1853.5706160100121</v>
      </c>
      <c r="X74" s="54">
        <f t="shared" ref="X74" si="205">W74-Q74</f>
        <v>239.37061601001233</v>
      </c>
      <c r="Y74" s="17">
        <f t="shared" ref="Y74" si="206">S74-X74</f>
        <v>0</v>
      </c>
      <c r="Z74" s="12">
        <f t="shared" ref="Z74" si="207">P74-V74</f>
        <v>0</v>
      </c>
      <c r="AA74" s="12">
        <f>((H74*$E$116*1*References!$C$58)/References!$G$61)-'Company Calc'!M74</f>
        <v>0</v>
      </c>
    </row>
    <row r="75" spans="1:28" ht="14.45" customHeight="1">
      <c r="A75" s="472"/>
      <c r="B75" s="35" t="s">
        <v>161</v>
      </c>
      <c r="C75" s="35" t="str">
        <f>+INDEX('Clallam Reg Price Out'!B:B,MATCH(D75,'Clallam Reg Price Out'!C:C,0))</f>
        <v>F6YDEX</v>
      </c>
      <c r="D75" t="s">
        <v>155</v>
      </c>
      <c r="E75" s="26">
        <f>+SUMIF('Clallam Reg Price Out'!B:B,C75,'Clallam Reg Price Out'!AH:AH)+SUMIF('CityPA-M Price Out'!B:B,C75,'CityPA-M Price Out'!AI:AI)</f>
        <v>2</v>
      </c>
      <c r="F75" s="20">
        <f>References!$B$14</f>
        <v>1</v>
      </c>
      <c r="G75" s="53">
        <f t="shared" si="15"/>
        <v>24</v>
      </c>
      <c r="H75" s="53">
        <f>References!B40</f>
        <v>840</v>
      </c>
      <c r="I75" s="53">
        <f t="shared" si="50"/>
        <v>20160</v>
      </c>
      <c r="J75" s="34">
        <f t="shared" si="195"/>
        <v>15257.530866450101</v>
      </c>
      <c r="K75" s="52">
        <f>(References!$C$58*J75)</f>
        <v>384.71864079753908</v>
      </c>
      <c r="L75" s="52">
        <f>K75/References!$G$61</f>
        <v>393.61432453196142</v>
      </c>
      <c r="M75" s="52">
        <f t="shared" si="51"/>
        <v>16.400596855498392</v>
      </c>
      <c r="N75" s="52">
        <f>'Proposed Rates'!C67</f>
        <v>111.65</v>
      </c>
      <c r="O75" s="52">
        <f t="shared" ref="O75:O86" si="208">M75+N75</f>
        <v>128.05059685549838</v>
      </c>
      <c r="P75" s="52">
        <f>'Proposed Rates'!E67</f>
        <v>128.05059685549838</v>
      </c>
      <c r="Q75" s="52">
        <f t="shared" si="52"/>
        <v>2679.6000000000004</v>
      </c>
      <c r="R75" s="52">
        <f t="shared" si="53"/>
        <v>3073.2143245319612</v>
      </c>
      <c r="S75" s="52">
        <f t="shared" si="47"/>
        <v>393.61432453196085</v>
      </c>
      <c r="T75" s="52">
        <f t="shared" si="54"/>
        <v>3073.2143245319612</v>
      </c>
      <c r="U75" s="52">
        <f t="shared" si="48"/>
        <v>0</v>
      </c>
      <c r="V75" s="54">
        <f t="shared" si="56"/>
        <v>128.05059685549838</v>
      </c>
      <c r="W75" s="54">
        <f t="shared" si="55"/>
        <v>3073.2143245319612</v>
      </c>
      <c r="X75" s="54">
        <f t="shared" si="49"/>
        <v>393.61432453196085</v>
      </c>
      <c r="Y75" s="17">
        <f t="shared" ref="Y75:Y89" si="209">S75-X75</f>
        <v>0</v>
      </c>
      <c r="Z75" s="12">
        <f t="shared" ref="Z75:Z85" si="210">P75-V75</f>
        <v>0</v>
      </c>
      <c r="AA75" s="12">
        <f>((H75*$E$116*1*References!$C$58)/References!$G$61)-'Company Calc'!M75</f>
        <v>0</v>
      </c>
    </row>
    <row r="76" spans="1:28" ht="14.45" customHeight="1">
      <c r="A76" s="472"/>
      <c r="B76" s="35" t="s">
        <v>161</v>
      </c>
      <c r="C76" s="35" t="str">
        <f>+INDEX('Clallam Reg Price Out'!B:B,MATCH(D76,'Clallam Reg Price Out'!C:C,0))</f>
        <v>R6YDEX</v>
      </c>
      <c r="D76" t="s">
        <v>409</v>
      </c>
      <c r="E76" s="26">
        <f>+SUMIF('Clallam Reg Price Out'!B:B,C76,'Clallam Reg Price Out'!AH:AH)+SUMIF('CityPA-M Price Out'!B:B,C76,'CityPA-M Price Out'!AI:AI)</f>
        <v>1.5</v>
      </c>
      <c r="F76" s="20">
        <f>References!$B$14</f>
        <v>1</v>
      </c>
      <c r="G76" s="53">
        <f t="shared" ref="G76" si="211">E76*F76*12</f>
        <v>18</v>
      </c>
      <c r="H76" s="53">
        <f>References!B40</f>
        <v>840</v>
      </c>
      <c r="I76" s="53">
        <f t="shared" ref="I76" si="212">G76*H76</f>
        <v>15120</v>
      </c>
      <c r="J76" s="34">
        <f t="shared" si="195"/>
        <v>11443.148149837576</v>
      </c>
      <c r="K76" s="52">
        <f>(References!$C$58*J76)</f>
        <v>288.53898059815435</v>
      </c>
      <c r="L76" s="52">
        <f>K76/References!$G$61</f>
        <v>295.21074339897109</v>
      </c>
      <c r="M76" s="52">
        <f t="shared" ref="M76" si="213">L76/G76</f>
        <v>16.400596855498392</v>
      </c>
      <c r="N76" s="52">
        <f>'Proposed Rates'!C67</f>
        <v>111.65</v>
      </c>
      <c r="O76" s="52">
        <f t="shared" ref="O76" si="214">M76+N76</f>
        <v>128.05059685549838</v>
      </c>
      <c r="P76" s="52">
        <f>'Proposed Rates'!E67</f>
        <v>128.05059685549838</v>
      </c>
      <c r="Q76" s="52">
        <f t="shared" ref="Q76" si="215">G76*N76</f>
        <v>2009.7</v>
      </c>
      <c r="R76" s="52">
        <f t="shared" ref="R76" si="216">G76*P76</f>
        <v>2304.9107433989711</v>
      </c>
      <c r="S76" s="52">
        <f t="shared" ref="S76" si="217">R76-Q76</f>
        <v>295.21074339897109</v>
      </c>
      <c r="T76" s="52">
        <f t="shared" ref="T76" si="218">G76*O76</f>
        <v>2304.9107433989711</v>
      </c>
      <c r="U76" s="52">
        <f t="shared" ref="U76" si="219">R76-T76</f>
        <v>0</v>
      </c>
      <c r="V76" s="54">
        <f t="shared" ref="V76" si="220">O76</f>
        <v>128.05059685549838</v>
      </c>
      <c r="W76" s="54">
        <f t="shared" ref="W76" si="221">G76*V76</f>
        <v>2304.9107433989711</v>
      </c>
      <c r="X76" s="54">
        <f t="shared" ref="X76" si="222">W76-Q76</f>
        <v>295.21074339897109</v>
      </c>
      <c r="Y76" s="17">
        <f t="shared" ref="Y76" si="223">S76-X76</f>
        <v>0</v>
      </c>
      <c r="Z76" s="12">
        <f t="shared" ref="Z76" si="224">P76-V76</f>
        <v>0</v>
      </c>
      <c r="AA76" s="12">
        <f>((H76*$E$116*1*References!$C$58)/References!$G$61)-'Company Calc'!M76</f>
        <v>0</v>
      </c>
    </row>
    <row r="77" spans="1:28" ht="14.45" customHeight="1">
      <c r="A77" s="472"/>
      <c r="B77" s="35" t="s">
        <v>161</v>
      </c>
      <c r="C77" s="35" t="str">
        <f>+INDEX('Clallam Reg Price Out'!B:B,MATCH(D77,'Clallam Reg Price Out'!C:C,0))</f>
        <v>SP6-COM</v>
      </c>
      <c r="D77" t="s">
        <v>405</v>
      </c>
      <c r="E77" s="26">
        <f>+SUMIF('Clallam Reg Price Out'!B:B,C77,'Clallam Reg Price Out'!AH:AH)+SUMIF('CityPA-M Price Out'!B:B,C77,'CityPA-M Price Out'!AI:AI)</f>
        <v>1.2</v>
      </c>
      <c r="F77" s="20">
        <f>References!$B$14</f>
        <v>1</v>
      </c>
      <c r="G77" s="53">
        <f t="shared" ref="G77" si="225">E77*F77*12</f>
        <v>14.399999999999999</v>
      </c>
      <c r="H77" s="53">
        <f>References!B40</f>
        <v>840</v>
      </c>
      <c r="I77" s="53">
        <f t="shared" ref="I77" si="226">G77*H77</f>
        <v>12095.999999999998</v>
      </c>
      <c r="J77" s="34">
        <f t="shared" si="195"/>
        <v>9154.5185198700601</v>
      </c>
      <c r="K77" s="52">
        <f>(References!$C$58*J77)</f>
        <v>230.83118447852345</v>
      </c>
      <c r="L77" s="52">
        <f>K77/References!$G$61</f>
        <v>236.16859471917684</v>
      </c>
      <c r="M77" s="52">
        <f t="shared" ref="M77" si="227">L77/G77</f>
        <v>16.400596855498392</v>
      </c>
      <c r="N77" s="52">
        <f>'Proposed Rates'!C67</f>
        <v>111.65</v>
      </c>
      <c r="O77" s="52">
        <f t="shared" ref="O77" si="228">M77+N77</f>
        <v>128.05059685549838</v>
      </c>
      <c r="P77" s="52">
        <f>'Proposed Rates'!E67</f>
        <v>128.05059685549838</v>
      </c>
      <c r="Q77" s="52">
        <f t="shared" ref="Q77" si="229">G77*N77</f>
        <v>1607.76</v>
      </c>
      <c r="R77" s="52">
        <f t="shared" ref="R77" si="230">G77*P77</f>
        <v>1843.9285947191765</v>
      </c>
      <c r="S77" s="52">
        <f t="shared" ref="S77" si="231">R77-Q77</f>
        <v>236.16859471917655</v>
      </c>
      <c r="T77" s="52">
        <f t="shared" ref="T77" si="232">G77*O77</f>
        <v>1843.9285947191765</v>
      </c>
      <c r="U77" s="52">
        <f t="shared" ref="U77" si="233">R77-T77</f>
        <v>0</v>
      </c>
      <c r="V77" s="54">
        <f t="shared" ref="V77" si="234">O77</f>
        <v>128.05059685549838</v>
      </c>
      <c r="W77" s="54">
        <f t="shared" ref="W77" si="235">G77*V77</f>
        <v>1843.9285947191765</v>
      </c>
      <c r="X77" s="54">
        <f t="shared" ref="X77" si="236">W77-Q77</f>
        <v>236.16859471917655</v>
      </c>
      <c r="Y77" s="17">
        <f t="shared" ref="Y77" si="237">S77-X77</f>
        <v>0</v>
      </c>
      <c r="Z77" s="12">
        <f t="shared" ref="Z77" si="238">P77-V77</f>
        <v>0</v>
      </c>
      <c r="AA77" s="12">
        <f>((H77*$E$116*1*References!$C$58)/References!$G$61)-'Company Calc'!M77</f>
        <v>0</v>
      </c>
    </row>
    <row r="78" spans="1:28" ht="14.45" customHeight="1">
      <c r="A78" s="472"/>
      <c r="B78" s="35"/>
      <c r="C78" s="35" t="str">
        <f>+INDEX('Clallam Reg Price Out'!B:B,MATCH(D78,'Clallam Reg Price Out'!C:C,0))</f>
        <v>F3TC-COM</v>
      </c>
      <c r="D78" t="s">
        <v>381</v>
      </c>
      <c r="E78" s="26">
        <f>+SUMIF('Clallam Reg Price Out'!B:B,C78,'Clallam Reg Price Out'!AH:AH)+SUMIF('CityPA-M Price Out'!B:B,C78,'CityPA-M Price Out'!AI:AI)</f>
        <v>17.033333333333335</v>
      </c>
      <c r="F78" s="20">
        <f>References!$B$14</f>
        <v>1</v>
      </c>
      <c r="G78" s="53">
        <f t="shared" si="15"/>
        <v>204.40000000000003</v>
      </c>
      <c r="H78" s="53">
        <f>+References!B36</f>
        <v>473</v>
      </c>
      <c r="I78" s="53">
        <f t="shared" si="50"/>
        <v>96681.200000000012</v>
      </c>
      <c r="J78" s="34">
        <f t="shared" si="195"/>
        <v>73170.456012174385</v>
      </c>
      <c r="K78" s="52">
        <f>(References!$C$58*J78)</f>
        <v>1844.9930483469761</v>
      </c>
      <c r="L78" s="52">
        <f>K78/References!$G$61</f>
        <v>1887.6540294116801</v>
      </c>
      <c r="M78" s="52">
        <f t="shared" ref="M78" si="239">L78/G78</f>
        <v>9.2350979912508802</v>
      </c>
      <c r="N78" s="52">
        <f>+'Proposed Rates'!C73</f>
        <v>56.85</v>
      </c>
      <c r="O78" s="52">
        <f t="shared" si="208"/>
        <v>66.085097991250876</v>
      </c>
      <c r="P78" s="52">
        <f>+'Proposed Rates'!E73</f>
        <v>66.085097991250876</v>
      </c>
      <c r="Q78" s="52">
        <f t="shared" ref="Q78" si="240">G78*N78</f>
        <v>11620.140000000003</v>
      </c>
      <c r="R78" s="52">
        <f t="shared" ref="R78" si="241">G78*P78</f>
        <v>13507.794029411682</v>
      </c>
      <c r="S78" s="52">
        <f t="shared" ref="S78" si="242">R78-Q78</f>
        <v>1887.6540294116785</v>
      </c>
      <c r="T78" s="52">
        <f t="shared" ref="T78" si="243">G78*O78</f>
        <v>13507.794029411682</v>
      </c>
      <c r="U78" s="52">
        <f t="shared" ref="U78" si="244">R78-T78</f>
        <v>0</v>
      </c>
      <c r="V78" s="54">
        <f t="shared" ref="V78" si="245">O78</f>
        <v>66.085097991250876</v>
      </c>
      <c r="W78" s="54">
        <f t="shared" ref="W78" si="246">G78*V78</f>
        <v>13507.794029411682</v>
      </c>
      <c r="X78" s="54">
        <f t="shared" ref="X78" si="247">W78-Q78</f>
        <v>1887.6540294116785</v>
      </c>
      <c r="Y78" s="17">
        <f t="shared" ref="Y78" si="248">S78-X78</f>
        <v>0</v>
      </c>
      <c r="Z78" s="12">
        <f t="shared" ref="Z78" si="249">P78-V78</f>
        <v>0</v>
      </c>
      <c r="AA78" s="12">
        <f>((H78*$E$116*1*References!$C$58)/References!$G$61)-'Company Calc'!M78</f>
        <v>0</v>
      </c>
    </row>
    <row r="79" spans="1:28" ht="14.45" customHeight="1">
      <c r="A79" s="472"/>
      <c r="B79" s="35">
        <v>38</v>
      </c>
      <c r="C79" s="35" t="s">
        <v>235</v>
      </c>
      <c r="D79" t="s">
        <v>156</v>
      </c>
      <c r="E79" s="26">
        <f>+SUMIF('Clallam Reg Price Out'!B:B,C79,'Clallam Reg Price Out'!AH:AH)+SUMIF('CityPA-M Price Out'!B:B,C79,'CityPA-M Price Out'!AI:AI)</f>
        <v>1.0141663298885746</v>
      </c>
      <c r="F79" s="20">
        <f>References!$B$14</f>
        <v>1</v>
      </c>
      <c r="G79" s="53">
        <f t="shared" si="15"/>
        <v>12.169995958662895</v>
      </c>
      <c r="H79" s="53">
        <f>References!B47</f>
        <v>1686</v>
      </c>
      <c r="I79" s="53">
        <f t="shared" si="50"/>
        <v>20518.61318630564</v>
      </c>
      <c r="J79" s="34">
        <f t="shared" si="195"/>
        <v>15528.937203710733</v>
      </c>
      <c r="K79" s="52">
        <f>(References!$C$58*J79)</f>
        <v>391.56215159156596</v>
      </c>
      <c r="L79" s="52">
        <f>K79/References!$G$61</f>
        <v>400.61607488394304</v>
      </c>
      <c r="M79" s="52">
        <f>L79/G79</f>
        <v>32.918340831393202</v>
      </c>
      <c r="N79" s="52">
        <f>'Proposed Rates'!C119</f>
        <v>160.01</v>
      </c>
      <c r="O79" s="52">
        <f t="shared" si="208"/>
        <v>192.9283408313932</v>
      </c>
      <c r="P79" s="52">
        <f>'Proposed Rates'!E119</f>
        <v>192.9283408313932</v>
      </c>
      <c r="Q79" s="52">
        <f t="shared" si="52"/>
        <v>1947.3210533456497</v>
      </c>
      <c r="R79" s="52">
        <f t="shared" si="53"/>
        <v>2347.9371282295929</v>
      </c>
      <c r="S79" s="52">
        <f t="shared" si="47"/>
        <v>400.61607488394316</v>
      </c>
      <c r="T79" s="52">
        <f t="shared" si="54"/>
        <v>2347.9371282295929</v>
      </c>
      <c r="U79" s="52">
        <f t="shared" si="48"/>
        <v>0</v>
      </c>
      <c r="V79" s="54">
        <f t="shared" si="56"/>
        <v>192.9283408313932</v>
      </c>
      <c r="W79" s="54">
        <f t="shared" si="55"/>
        <v>2347.9371282295929</v>
      </c>
      <c r="X79" s="54">
        <f t="shared" si="49"/>
        <v>400.61607488394316</v>
      </c>
      <c r="Y79" s="17">
        <f t="shared" si="209"/>
        <v>0</v>
      </c>
      <c r="Z79" s="75">
        <f t="shared" si="210"/>
        <v>0</v>
      </c>
      <c r="AA79" s="12">
        <f>((H79*$E$116*1*References!$C$58)/References!$G$61)-'Company Calc'!M79</f>
        <v>0</v>
      </c>
      <c r="AB79" t="s">
        <v>352</v>
      </c>
    </row>
    <row r="80" spans="1:28" ht="14.45" customHeight="1">
      <c r="A80" s="472"/>
      <c r="B80" s="35"/>
      <c r="C80" s="35" t="str">
        <f>+INDEX('Clallam Reg Price Out'!B:B,MATCH(D80,'Clallam Reg Price Out'!C:C,0))</f>
        <v>F4TC-COM</v>
      </c>
      <c r="D80" t="s">
        <v>371</v>
      </c>
      <c r="E80" s="26">
        <f>+SUMIF('Clallam Reg Price Out'!B:B,C80,'Clallam Reg Price Out'!AH:AH)+SUMIF('CityPA-M Price Out'!B:B,C80,'CityPA-M Price Out'!AI:AI)</f>
        <v>15.027777777777779</v>
      </c>
      <c r="F80" s="20">
        <f>References!$B$14</f>
        <v>1</v>
      </c>
      <c r="G80" s="53">
        <f t="shared" si="15"/>
        <v>180.33333333333334</v>
      </c>
      <c r="H80" s="53">
        <f>+References!B38</f>
        <v>613</v>
      </c>
      <c r="I80" s="53">
        <f t="shared" si="50"/>
        <v>110544.33333333334</v>
      </c>
      <c r="J80" s="34">
        <f t="shared" si="195"/>
        <v>83662.379858357264</v>
      </c>
      <c r="K80" s="52">
        <f>(References!$C$58*J80)</f>
        <v>2109.5469081284773</v>
      </c>
      <c r="L80" s="52">
        <f>K80/References!$G$61</f>
        <v>2158.3250543569443</v>
      </c>
      <c r="M80" s="52">
        <f>L80/G80</f>
        <v>11.968530800500615</v>
      </c>
      <c r="N80" s="52">
        <f>+'Proposed Rates'!C74</f>
        <v>77.709999999999994</v>
      </c>
      <c r="O80" s="52">
        <f t="shared" si="208"/>
        <v>89.67853080050061</v>
      </c>
      <c r="P80" s="52">
        <f>+'Proposed Rates'!E74</f>
        <v>89.67853080050061</v>
      </c>
      <c r="Q80" s="52">
        <f t="shared" ref="Q80:Q82" si="250">G80*N80</f>
        <v>14013.703333333333</v>
      </c>
      <c r="R80" s="52">
        <f t="shared" ref="R80:R82" si="251">G80*P80</f>
        <v>16172.028387690278</v>
      </c>
      <c r="S80" s="52">
        <f t="shared" ref="S80:S82" si="252">R80-Q80</f>
        <v>2158.3250543569447</v>
      </c>
      <c r="T80" s="52">
        <f t="shared" ref="T80:T82" si="253">G80*O80</f>
        <v>16172.028387690278</v>
      </c>
      <c r="U80" s="52">
        <f t="shared" ref="U80:U82" si="254">R80-T80</f>
        <v>0</v>
      </c>
      <c r="V80" s="54">
        <f t="shared" ref="V80:V82" si="255">O80</f>
        <v>89.67853080050061</v>
      </c>
      <c r="W80" s="54">
        <f t="shared" ref="W80:W82" si="256">G80*V80</f>
        <v>16172.028387690278</v>
      </c>
      <c r="X80" s="54">
        <f t="shared" ref="X80:X82" si="257">W80-Q80</f>
        <v>2158.3250543569447</v>
      </c>
      <c r="Y80" s="17">
        <f t="shared" ref="Y80:Y82" si="258">S80-X80</f>
        <v>0</v>
      </c>
      <c r="Z80" s="75">
        <f t="shared" ref="Z80:Z82" si="259">P80-V80</f>
        <v>0</v>
      </c>
      <c r="AA80" s="12">
        <f>((H80*$E$116*1*References!$C$58)/References!$G$61)-'Company Calc'!M80</f>
        <v>0</v>
      </c>
    </row>
    <row r="81" spans="1:27" s="448" customFormat="1" ht="13.5" customHeight="1">
      <c r="A81" s="472"/>
      <c r="B81" s="459" t="s">
        <v>162</v>
      </c>
      <c r="C81" s="459" t="s">
        <v>236</v>
      </c>
      <c r="D81" s="448" t="s">
        <v>157</v>
      </c>
      <c r="E81" s="460">
        <f>+SUMIF('Clallam Reg Price Out'!B:B,C81,'Clallam Reg Price Out'!AH:AH)+SUMIF('CityPA-M Price Out'!B:B,C81,'CityPA-M Price Out'!AI:AI)</f>
        <v>1</v>
      </c>
      <c r="F81" s="461">
        <f>References!$B$12</f>
        <v>4.333333333333333</v>
      </c>
      <c r="G81" s="462">
        <f t="shared" si="15"/>
        <v>52</v>
      </c>
      <c r="H81" s="462">
        <f>+References!B19</f>
        <v>34</v>
      </c>
      <c r="I81" s="462">
        <f t="shared" si="50"/>
        <v>1768</v>
      </c>
      <c r="J81" s="463">
        <f t="shared" si="195"/>
        <v>1338.0612386847113</v>
      </c>
      <c r="K81" s="464">
        <f>(References!$C$58*J81)</f>
        <v>33.739214133434977</v>
      </c>
      <c r="L81" s="464">
        <f>K81/References!$G$61</f>
        <v>34.519351476810904</v>
      </c>
      <c r="M81" s="464">
        <f t="shared" ref="M81" si="260">L81/G81</f>
        <v>0.66383368224636352</v>
      </c>
      <c r="N81" s="464">
        <f>+'Proposed Rates'!C99</f>
        <v>5.31</v>
      </c>
      <c r="O81" s="464">
        <f t="shared" si="208"/>
        <v>5.9738336822463634</v>
      </c>
      <c r="P81" s="52">
        <f>+'Proposed Rates'!E99</f>
        <v>5.9738336822463634</v>
      </c>
      <c r="Q81" s="464">
        <f t="shared" ref="Q81" si="261">G81*N81</f>
        <v>276.12</v>
      </c>
      <c r="R81" s="464">
        <f t="shared" ref="R81" si="262">G81*P81</f>
        <v>310.63935147681087</v>
      </c>
      <c r="S81" s="464">
        <f t="shared" ref="S81" si="263">R81-Q81</f>
        <v>34.519351476810868</v>
      </c>
      <c r="T81" s="464">
        <f t="shared" ref="T81" si="264">G81*O81</f>
        <v>310.63935147681087</v>
      </c>
      <c r="U81" s="464">
        <f t="shared" ref="U81" si="265">R81-T81</f>
        <v>0</v>
      </c>
      <c r="V81" s="464">
        <f t="shared" ref="V81" si="266">O81</f>
        <v>5.9738336822463634</v>
      </c>
      <c r="W81" s="464">
        <f t="shared" ref="W81" si="267">G81*V81</f>
        <v>310.63935147681087</v>
      </c>
      <c r="X81" s="464">
        <f t="shared" ref="X81" si="268">W81-Q81</f>
        <v>34.519351476810868</v>
      </c>
      <c r="Y81" s="465">
        <f t="shared" ref="Y81" si="269">S81-X81</f>
        <v>0</v>
      </c>
      <c r="Z81" s="75">
        <f t="shared" ref="Z81" si="270">P81-V81</f>
        <v>0</v>
      </c>
      <c r="AA81" s="75">
        <f>((H81*$E$116*1*References!$C$58)/References!$G$61)-'Company Calc'!M81</f>
        <v>0</v>
      </c>
    </row>
    <row r="82" spans="1:27" ht="14.45" customHeight="1">
      <c r="A82" s="472"/>
      <c r="B82" s="35" t="s">
        <v>162</v>
      </c>
      <c r="C82" s="35" t="str">
        <f>+INDEX('Clallam Reg Price Out'!B:B,MATCH(D82,'Clallam Reg Price Out'!C:C,0))</f>
        <v>CEXYD</v>
      </c>
      <c r="D82" t="s">
        <v>241</v>
      </c>
      <c r="E82" s="26">
        <f>+SUMIF('Clallam Reg Price Out'!B:B,C82,'Clallam Reg Price Out'!AH:AH)+SUMIF('CityPA-M Price Out'!B:B,C82,'CityPA-M Price Out'!AI:AI)</f>
        <v>8.5</v>
      </c>
      <c r="F82" s="20">
        <f>References!$B$14</f>
        <v>1</v>
      </c>
      <c r="G82" s="53">
        <f t="shared" ref="G82" si="271">E82*F82*12</f>
        <v>102</v>
      </c>
      <c r="H82" s="53">
        <f>+References!B51</f>
        <v>125</v>
      </c>
      <c r="I82" s="53">
        <f t="shared" ref="I82" si="272">G82*H82</f>
        <v>12750</v>
      </c>
      <c r="J82" s="34">
        <f t="shared" si="195"/>
        <v>9649.480086668591</v>
      </c>
      <c r="K82" s="52">
        <f>(References!$C$58*J82)</f>
        <v>243.3116403853484</v>
      </c>
      <c r="L82" s="52">
        <f>K82/References!$G$61</f>
        <v>248.93763084238631</v>
      </c>
      <c r="M82" s="52">
        <f t="shared" ref="M82" si="273">L82/G82</f>
        <v>2.4405650082586892</v>
      </c>
      <c r="N82" s="52">
        <f>+'Proposed Rates'!C112</f>
        <v>28.44</v>
      </c>
      <c r="O82" s="52">
        <f t="shared" ref="O82" si="274">M82+N82</f>
        <v>30.880565008258692</v>
      </c>
      <c r="P82" s="52">
        <f>+'Proposed Rates'!E112</f>
        <v>30.880565008258692</v>
      </c>
      <c r="Q82" s="52">
        <f t="shared" si="250"/>
        <v>2900.88</v>
      </c>
      <c r="R82" s="52">
        <f t="shared" si="251"/>
        <v>3149.8176308423867</v>
      </c>
      <c r="S82" s="52">
        <f t="shared" si="252"/>
        <v>248.93763084238662</v>
      </c>
      <c r="T82" s="52">
        <f t="shared" si="253"/>
        <v>3149.8176308423867</v>
      </c>
      <c r="U82" s="52">
        <f t="shared" si="254"/>
        <v>0</v>
      </c>
      <c r="V82" s="54">
        <f t="shared" si="255"/>
        <v>30.880565008258692</v>
      </c>
      <c r="W82" s="54">
        <f t="shared" si="256"/>
        <v>3149.8176308423867</v>
      </c>
      <c r="X82" s="54">
        <f t="shared" si="257"/>
        <v>248.93763084238662</v>
      </c>
      <c r="Y82" s="17">
        <f t="shared" si="258"/>
        <v>0</v>
      </c>
      <c r="Z82" s="12">
        <f t="shared" si="259"/>
        <v>0</v>
      </c>
      <c r="AA82" s="12">
        <f>((H82*$E$116*1*References!$C$58)/References!$G$61)-'Company Calc'!M82</f>
        <v>0</v>
      </c>
    </row>
    <row r="83" spans="1:27" ht="14.45" customHeight="1">
      <c r="A83" s="472"/>
      <c r="B83" s="35" t="s">
        <v>163</v>
      </c>
      <c r="C83" s="35" t="str">
        <f>+INDEX('Clallam Reg Price Out'!B:B,MATCH(D83,'Clallam Reg Price Out'!C:C,0))</f>
        <v>35CW1</v>
      </c>
      <c r="D83" t="s">
        <v>158</v>
      </c>
      <c r="E83" s="26">
        <f>+SUMIF('Clallam Reg Price Out'!B:B,C83,'Clallam Reg Price Out'!AH:AH)+SUMIF('CityPA-M Price Out'!B:B,C83,'CityPA-M Price Out'!AI:AI)</f>
        <v>10.999967924044135</v>
      </c>
      <c r="F83" s="20">
        <f>+References!$C$13</f>
        <v>4.333333333333333</v>
      </c>
      <c r="G83" s="53">
        <f t="shared" si="15"/>
        <v>571.99833205029495</v>
      </c>
      <c r="H83" s="53">
        <v>37</v>
      </c>
      <c r="I83" s="53">
        <f t="shared" si="50"/>
        <v>21163.938285860913</v>
      </c>
      <c r="J83" s="34">
        <f t="shared" si="195"/>
        <v>16017.333415286108</v>
      </c>
      <c r="K83" s="52">
        <f>(References!$C$58*J83)</f>
        <v>403.87706206643901</v>
      </c>
      <c r="L83" s="52">
        <f>K83/References!$G$61</f>
        <v>413.21573773934824</v>
      </c>
      <c r="M83" s="52">
        <f t="shared" si="51"/>
        <v>0.722407242444572</v>
      </c>
      <c r="N83" s="52">
        <f>'Proposed Rates'!C80</f>
        <v>6</v>
      </c>
      <c r="O83" s="52">
        <f t="shared" si="208"/>
        <v>6.7224072424445716</v>
      </c>
      <c r="P83" s="52">
        <f>'Proposed Rates'!E80</f>
        <v>6.7224072424445716</v>
      </c>
      <c r="Q83" s="52">
        <f t="shared" si="52"/>
        <v>3431.9899923017697</v>
      </c>
      <c r="R83" s="52">
        <f t="shared" si="53"/>
        <v>3845.2057300411175</v>
      </c>
      <c r="S83" s="52">
        <f t="shared" si="47"/>
        <v>413.21573773934779</v>
      </c>
      <c r="T83" s="52">
        <f t="shared" si="54"/>
        <v>3845.2057300411175</v>
      </c>
      <c r="U83" s="52">
        <f t="shared" si="48"/>
        <v>0</v>
      </c>
      <c r="V83" s="54">
        <f t="shared" si="56"/>
        <v>6.7224072424445716</v>
      </c>
      <c r="W83" s="54">
        <f t="shared" si="55"/>
        <v>3845.2057300411175</v>
      </c>
      <c r="X83" s="54">
        <f t="shared" si="49"/>
        <v>413.21573773934779</v>
      </c>
      <c r="Y83" s="17">
        <f t="shared" si="209"/>
        <v>0</v>
      </c>
      <c r="Z83" s="12">
        <f t="shared" si="210"/>
        <v>0</v>
      </c>
      <c r="AA83" s="12">
        <f>((H83*$E$116*1*References!$C$58)/References!$G$61)-'Company Calc'!M83</f>
        <v>0</v>
      </c>
    </row>
    <row r="84" spans="1:27" ht="14.45" customHeight="1">
      <c r="A84" s="472"/>
      <c r="B84" s="35" t="s">
        <v>163</v>
      </c>
      <c r="C84" s="35" t="str">
        <f>+INDEX('Clallam Reg Price Out'!B:B,MATCH(D84,'Clallam Reg Price Out'!C:C,0))</f>
        <v>60CW1</v>
      </c>
      <c r="D84" t="s">
        <v>159</v>
      </c>
      <c r="E84" s="26">
        <f>+SUMIF('Clallam Reg Price Out'!B:B,C84,'Clallam Reg Price Out'!AH:AH)+SUMIF('CityPA-M Price Out'!B:B,C84,'CityPA-M Price Out'!AI:AI)</f>
        <v>33.604135300612263</v>
      </c>
      <c r="F84" s="20">
        <f>+References!$C$13</f>
        <v>4.333333333333333</v>
      </c>
      <c r="G84" s="53">
        <f t="shared" si="15"/>
        <v>1747.4150356318373</v>
      </c>
      <c r="H84" s="53">
        <f>References!B26</f>
        <v>47</v>
      </c>
      <c r="I84" s="53">
        <f t="shared" si="50"/>
        <v>82128.506674696357</v>
      </c>
      <c r="J84" s="34">
        <f t="shared" si="195"/>
        <v>62156.658016102818</v>
      </c>
      <c r="K84" s="52">
        <f>(References!$C$58*J84)</f>
        <v>1567.2801318760319</v>
      </c>
      <c r="L84" s="52">
        <f>K84/References!$G$61</f>
        <v>1603.5196765664332</v>
      </c>
      <c r="M84" s="52">
        <f t="shared" si="51"/>
        <v>0.91765244310526728</v>
      </c>
      <c r="N84" s="52">
        <f>'Proposed Rates'!C83</f>
        <v>7.67</v>
      </c>
      <c r="O84" s="52">
        <f t="shared" si="208"/>
        <v>8.5876524431052665</v>
      </c>
      <c r="P84" s="52">
        <f>'Proposed Rates'!E83</f>
        <v>8.5876524431052665</v>
      </c>
      <c r="Q84" s="52">
        <f t="shared" si="52"/>
        <v>13402.673323296192</v>
      </c>
      <c r="R84" s="52">
        <f t="shared" si="53"/>
        <v>15006.192999862624</v>
      </c>
      <c r="S84" s="52">
        <f t="shared" si="47"/>
        <v>1603.5196765664314</v>
      </c>
      <c r="T84" s="52">
        <f t="shared" si="54"/>
        <v>15006.192999862624</v>
      </c>
      <c r="U84" s="52">
        <f t="shared" si="48"/>
        <v>0</v>
      </c>
      <c r="V84" s="54">
        <f t="shared" si="56"/>
        <v>8.5876524431052665</v>
      </c>
      <c r="W84" s="54">
        <f t="shared" si="55"/>
        <v>15006.192999862624</v>
      </c>
      <c r="X84" s="54">
        <f t="shared" si="49"/>
        <v>1603.5196765664314</v>
      </c>
      <c r="Y84" s="17">
        <f t="shared" si="209"/>
        <v>0</v>
      </c>
      <c r="Z84" s="12">
        <f t="shared" si="210"/>
        <v>0</v>
      </c>
      <c r="AA84" s="12">
        <f>((H84*$E$116*1*References!$C$58)/References!$G$61)-'Company Calc'!M84</f>
        <v>0</v>
      </c>
    </row>
    <row r="85" spans="1:27" ht="14.45" customHeight="1">
      <c r="A85" s="472"/>
      <c r="C85" s="35" t="str">
        <f>+INDEX('Clallam Reg Price Out'!B:B,MATCH(D85,'Clallam Reg Price Out'!C:C,0))</f>
        <v>60CW2</v>
      </c>
      <c r="D85" t="s">
        <v>160</v>
      </c>
      <c r="E85" s="26">
        <f>+SUMIF('Clallam Reg Price Out'!B:B,C85,'Clallam Reg Price Out'!AH:AH)+SUMIF('CityPA-M Price Out'!B:B,C85,'CityPA-M Price Out'!AI:AI)</f>
        <v>1</v>
      </c>
      <c r="F85" s="20">
        <f>+References!$C$13*2</f>
        <v>8.6666666666666661</v>
      </c>
      <c r="G85" s="53">
        <f t="shared" si="15"/>
        <v>104</v>
      </c>
      <c r="H85" s="53">
        <f>References!B26</f>
        <v>47</v>
      </c>
      <c r="I85" s="53">
        <f t="shared" si="50"/>
        <v>4888</v>
      </c>
      <c r="J85" s="34">
        <f t="shared" si="195"/>
        <v>3699.3457775400843</v>
      </c>
      <c r="K85" s="52">
        <f>(References!$C$58*J85)</f>
        <v>93.279003780673179</v>
      </c>
      <c r="L85" s="52">
        <f>K85/References!$G$61</f>
        <v>95.435854082947799</v>
      </c>
      <c r="M85" s="52">
        <f>L85/G85</f>
        <v>0.91765244310526728</v>
      </c>
      <c r="N85" s="52">
        <f>N84*2</f>
        <v>15.34</v>
      </c>
      <c r="O85" s="52">
        <f>M85*2+N85</f>
        <v>17.175304886210533</v>
      </c>
      <c r="P85" s="52">
        <f>P84*2</f>
        <v>17.175304886210533</v>
      </c>
      <c r="Q85" s="52">
        <f>G85*(N85/2)</f>
        <v>797.68</v>
      </c>
      <c r="R85" s="52">
        <f>G85*(P85/2)</f>
        <v>893.11585408294775</v>
      </c>
      <c r="S85" s="52">
        <f t="shared" si="47"/>
        <v>95.435854082947799</v>
      </c>
      <c r="T85" s="52">
        <f>G85*(O85/2)</f>
        <v>893.11585408294775</v>
      </c>
      <c r="U85" s="52">
        <f t="shared" si="48"/>
        <v>0</v>
      </c>
      <c r="V85" s="54">
        <f t="shared" si="56"/>
        <v>17.175304886210533</v>
      </c>
      <c r="W85" s="54">
        <f>G85*(V85/2)</f>
        <v>893.11585408294775</v>
      </c>
      <c r="X85" s="54">
        <f t="shared" si="49"/>
        <v>95.435854082947799</v>
      </c>
      <c r="Y85" s="17">
        <f t="shared" si="209"/>
        <v>0</v>
      </c>
      <c r="Z85" s="12">
        <f t="shared" si="210"/>
        <v>0</v>
      </c>
      <c r="AA85" s="12">
        <f>((H85*$E$116*1*References!$C$58)/References!$G$61)-'Company Calc'!M85</f>
        <v>0</v>
      </c>
    </row>
    <row r="86" spans="1:27" ht="14.45" customHeight="1">
      <c r="A86" s="97"/>
      <c r="B86" s="35" t="s">
        <v>163</v>
      </c>
      <c r="C86" s="35" t="str">
        <f>+INDEX('Clallam Reg Price Out'!B:B,MATCH(D86,'Clallam Reg Price Out'!C:C,0))</f>
        <v>96CW1</v>
      </c>
      <c r="D86" t="s">
        <v>389</v>
      </c>
      <c r="E86" s="26">
        <f>+SUMIF('Clallam Reg Price Out'!B:B,C86,'Clallam Reg Price Out'!AH:AH)+SUMIF('CityPA-M Price Out'!B:B,C86,'CityPA-M Price Out'!AI:AI)</f>
        <v>33.12600308641975</v>
      </c>
      <c r="F86" s="20">
        <f>+References!$C$13*2</f>
        <v>8.6666666666666661</v>
      </c>
      <c r="G86" s="53">
        <f t="shared" ref="G86" si="275">E86*F86*12</f>
        <v>3445.1043209876534</v>
      </c>
      <c r="H86" s="53">
        <f>References!B27</f>
        <v>68</v>
      </c>
      <c r="I86" s="53">
        <f t="shared" ref="I86" si="276">G86*H86</f>
        <v>234267.09382716042</v>
      </c>
      <c r="J86" s="34">
        <f t="shared" si="195"/>
        <v>177298.48288995348</v>
      </c>
      <c r="K86" s="52">
        <f>(References!$C$58*J86)</f>
        <v>4470.5812460701745</v>
      </c>
      <c r="L86" s="52">
        <f>K86/References!$G$61</f>
        <v>4573.9525742481828</v>
      </c>
      <c r="M86" s="52">
        <f>L86/G86</f>
        <v>1.3276673644927268</v>
      </c>
      <c r="N86" s="52">
        <f>+'Proposed Rates'!C86</f>
        <v>9.9700000000000006</v>
      </c>
      <c r="O86" s="52">
        <f t="shared" si="208"/>
        <v>11.297667364492728</v>
      </c>
      <c r="P86" s="52">
        <f>+'Proposed Rates'!E86</f>
        <v>11.297667364492728</v>
      </c>
      <c r="Q86" s="52">
        <f>G86*(N86/2)</f>
        <v>17173.845040123455</v>
      </c>
      <c r="R86" s="52">
        <f>G86*(P86/2)</f>
        <v>19460.821327247548</v>
      </c>
      <c r="S86" s="52">
        <f t="shared" ref="S86" si="277">R86-Q86</f>
        <v>2286.9762871240928</v>
      </c>
      <c r="T86" s="52">
        <f>G86*(O86/2)</f>
        <v>19460.821327247548</v>
      </c>
      <c r="U86" s="52">
        <f t="shared" ref="U86" si="278">R86-T86</f>
        <v>0</v>
      </c>
      <c r="V86" s="54">
        <f t="shared" ref="V86" si="279">O86</f>
        <v>11.297667364492728</v>
      </c>
      <c r="W86" s="54">
        <f>G86*(V86/2)</f>
        <v>19460.821327247548</v>
      </c>
      <c r="X86" s="54">
        <f t="shared" ref="X86" si="280">W86-Q86</f>
        <v>2286.9762871240928</v>
      </c>
      <c r="Y86" s="17">
        <f t="shared" ref="Y86" si="281">S86-X86</f>
        <v>0</v>
      </c>
      <c r="Z86" s="12">
        <f t="shared" ref="Z86" si="282">P86-V86</f>
        <v>0</v>
      </c>
      <c r="AA86" s="12">
        <f>((H86*$E$116*1*References!$C$58)/References!$G$61)-'Company Calc'!M86</f>
        <v>0</v>
      </c>
    </row>
    <row r="87" spans="1:27" ht="14.45" customHeight="1">
      <c r="A87" s="97"/>
      <c r="B87" s="35" t="s">
        <v>579</v>
      </c>
      <c r="C87" s="35" t="str">
        <f>+INDEX('Clallam Reg Price Out'!B:B,MATCH(D87,'Clallam Reg Price Out'!C:C,0))</f>
        <v>CEX</v>
      </c>
      <c r="D87" t="s">
        <v>415</v>
      </c>
      <c r="E87" s="26">
        <f>+SUMIF('Clallam Reg Price Out'!B:B,C87,'Clallam Reg Price Out'!AH:AH)+SUMIF('CityPA-M Price Out'!B:B,C87,'CityPA-M Price Out'!AI:AI)</f>
        <v>4</v>
      </c>
      <c r="F87" s="20">
        <f>References!$B$14</f>
        <v>1</v>
      </c>
      <c r="G87" s="53">
        <f t="shared" ref="G87" si="283">E87*F87*12</f>
        <v>48</v>
      </c>
      <c r="H87" s="53">
        <f>References!B28</f>
        <v>34</v>
      </c>
      <c r="I87" s="53">
        <f t="shared" ref="I87" si="284">G87*H87</f>
        <v>1632</v>
      </c>
      <c r="J87" s="34">
        <f t="shared" si="195"/>
        <v>1235.1334510935797</v>
      </c>
      <c r="K87" s="52">
        <f>(References!$C$58*J87)</f>
        <v>31.143889969324594</v>
      </c>
      <c r="L87" s="52">
        <f>K87/References!$G$61</f>
        <v>31.864016747825449</v>
      </c>
      <c r="M87" s="52">
        <f>L87/G87</f>
        <v>0.66383368224636352</v>
      </c>
      <c r="N87" s="52">
        <f>+'Proposed Rates'!C91</f>
        <v>6.51</v>
      </c>
      <c r="O87" s="52">
        <f t="shared" ref="O87" si="285">M87+N87</f>
        <v>7.1738336822463635</v>
      </c>
      <c r="P87" s="52">
        <f>+'Proposed Rates'!E91</f>
        <v>7.1738336822463635</v>
      </c>
      <c r="Q87" s="52">
        <f>G87*(N87/2)</f>
        <v>156.24</v>
      </c>
      <c r="R87" s="52">
        <f>G87*(P87/2)</f>
        <v>172.17200837391272</v>
      </c>
      <c r="S87" s="52">
        <f t="shared" ref="S87" si="286">R87-Q87</f>
        <v>15.932008373912709</v>
      </c>
      <c r="T87" s="52">
        <f>G87*(O87/2)</f>
        <v>172.17200837391272</v>
      </c>
      <c r="U87" s="52">
        <f t="shared" ref="U87" si="287">R87-T87</f>
        <v>0</v>
      </c>
      <c r="V87" s="54">
        <f t="shared" ref="V87" si="288">O87</f>
        <v>7.1738336822463635</v>
      </c>
      <c r="W87" s="54">
        <f>G87*(V87/2)</f>
        <v>172.17200837391272</v>
      </c>
      <c r="X87" s="54">
        <f t="shared" ref="X87" si="289">W87-Q87</f>
        <v>15.932008373912709</v>
      </c>
      <c r="Y87" s="17">
        <f t="shared" ref="Y87" si="290">S87-X87</f>
        <v>0</v>
      </c>
      <c r="Z87" s="12">
        <f t="shared" ref="Z87" si="291">P87-V87</f>
        <v>0</v>
      </c>
      <c r="AA87" s="12">
        <f>((H87*$E$116*1*References!$C$58)/References!$G$61)-'Company Calc'!M87</f>
        <v>0</v>
      </c>
    </row>
    <row r="88" spans="1:27">
      <c r="A88" s="38"/>
      <c r="B88" s="36"/>
      <c r="C88" s="36"/>
      <c r="D88" s="39" t="s">
        <v>15</v>
      </c>
      <c r="E88" s="40">
        <f>SUM(E26:E87)</f>
        <v>1105.592535669412</v>
      </c>
      <c r="F88" s="41"/>
      <c r="G88" s="42">
        <f>SUM(G26:G87)</f>
        <v>42631.945560697881</v>
      </c>
      <c r="H88" s="43"/>
      <c r="I88" s="42">
        <f>SUM(I26:I87)</f>
        <v>13514007.507336469</v>
      </c>
      <c r="J88" s="44">
        <f>SUM(J26:J87)</f>
        <v>10224021.160575569</v>
      </c>
      <c r="K88" s="44">
        <f>SUM(K26:K87)</f>
        <v>257598.78793869575</v>
      </c>
      <c r="L88" s="44">
        <f>SUM(L26:L87)</f>
        <v>263555.16491858609</v>
      </c>
      <c r="M88" s="55"/>
      <c r="N88" s="55"/>
      <c r="O88" s="55"/>
      <c r="P88" s="55"/>
      <c r="Q88" s="55">
        <f>SUM(Q26:Q87)</f>
        <v>1713678.5994113467</v>
      </c>
      <c r="R88" s="55">
        <f>SUM(R26:R87)</f>
        <v>1974930.8560344351</v>
      </c>
      <c r="S88" s="55">
        <f>SUM(S26:S87)</f>
        <v>261252.25662308809</v>
      </c>
      <c r="T88" s="55">
        <f>SUM(T26:T87)</f>
        <v>1974930.8560344351</v>
      </c>
      <c r="U88" s="55">
        <f>SUM(U26:U87)</f>
        <v>0</v>
      </c>
      <c r="V88" s="56"/>
      <c r="W88" s="55">
        <f>SUM(W26:W87)</f>
        <v>1974930.8560344351</v>
      </c>
      <c r="X88" s="55">
        <f>SUM(X26:X87)</f>
        <v>261252.25662308809</v>
      </c>
      <c r="Y88" s="17">
        <f t="shared" si="209"/>
        <v>0</v>
      </c>
      <c r="AA88" s="12">
        <f>((H88*$E$116*1*References!$C$58)/References!$G$61)-'Company Calc'!M88</f>
        <v>0</v>
      </c>
    </row>
    <row r="89" spans="1:27">
      <c r="D89" s="49" t="s">
        <v>3</v>
      </c>
      <c r="E89" s="50">
        <f>E25+E88</f>
        <v>12452.906978259412</v>
      </c>
      <c r="F89" s="50"/>
      <c r="G89" s="50">
        <f>G25+G88</f>
        <v>491899.27386067068</v>
      </c>
      <c r="H89" s="50"/>
      <c r="I89" s="50">
        <f>I25+I88</f>
        <v>35280936.790609539</v>
      </c>
      <c r="J89" s="50">
        <f>J25+J88</f>
        <v>26697711.408957291</v>
      </c>
      <c r="K89" s="50">
        <f>K25+K88</f>
        <v>672982.88755164063</v>
      </c>
      <c r="L89" s="50">
        <f>L25+L88</f>
        <v>688544.01248656726</v>
      </c>
      <c r="M89" s="57"/>
      <c r="N89" s="57"/>
      <c r="O89" s="57"/>
      <c r="P89" s="57"/>
      <c r="Q89" s="57">
        <f>Q25+Q88</f>
        <v>5146992.7694113469</v>
      </c>
      <c r="R89" s="57">
        <f>R25+R88</f>
        <v>5833233.8736024173</v>
      </c>
      <c r="S89" s="57">
        <f>S25+S88</f>
        <v>686241.10419106926</v>
      </c>
      <c r="T89" s="57">
        <f>T25+T88</f>
        <v>5833233.8736024173</v>
      </c>
      <c r="U89" s="57">
        <f>U25+U88</f>
        <v>0</v>
      </c>
      <c r="V89" s="57"/>
      <c r="W89" s="57">
        <f>W25+W88</f>
        <v>5833233.8736024173</v>
      </c>
      <c r="X89" s="57">
        <f>X25+X88</f>
        <v>686241.10419106926</v>
      </c>
      <c r="Y89" s="17">
        <f t="shared" si="209"/>
        <v>0</v>
      </c>
    </row>
    <row r="90" spans="1:27">
      <c r="K90" s="46"/>
      <c r="L90" s="89"/>
      <c r="N90" s="12"/>
      <c r="T90" s="47"/>
    </row>
    <row r="91" spans="1:27">
      <c r="F91" s="30"/>
      <c r="K91" s="46"/>
      <c r="R91" s="12"/>
      <c r="T91" s="47"/>
      <c r="W91" s="12"/>
    </row>
    <row r="92" spans="1:27">
      <c r="A92" s="453"/>
      <c r="B92" s="454"/>
      <c r="C92" s="454"/>
      <c r="D92" s="455" t="s">
        <v>98</v>
      </c>
      <c r="E92" s="456"/>
      <c r="F92" s="453"/>
      <c r="G92" s="453"/>
      <c r="H92" s="453"/>
      <c r="I92" s="453"/>
      <c r="J92" s="457"/>
      <c r="K92" s="458"/>
      <c r="L92" s="453"/>
      <c r="M92" s="453"/>
      <c r="N92" s="453"/>
      <c r="O92" s="453"/>
      <c r="P92" s="453"/>
      <c r="T92" s="47"/>
    </row>
    <row r="93" spans="1:27">
      <c r="A93" s="58"/>
      <c r="B93" s="59">
        <v>22</v>
      </c>
      <c r="C93" s="59"/>
      <c r="D93" s="58" t="s">
        <v>661</v>
      </c>
      <c r="E93" s="26">
        <v>0</v>
      </c>
      <c r="F93" s="21">
        <v>1</v>
      </c>
      <c r="G93" s="82">
        <f t="shared" ref="G93" si="292">F93*12</f>
        <v>12</v>
      </c>
      <c r="H93" s="82">
        <f>+References!B19</f>
        <v>34</v>
      </c>
      <c r="I93" s="82">
        <f t="shared" ref="I93:I98" si="293">G93*H93/12</f>
        <v>34</v>
      </c>
      <c r="J93" s="82">
        <f t="shared" ref="J93:J98" si="294">I93*$E$116</f>
        <v>25.731946897782908</v>
      </c>
      <c r="K93" s="52">
        <f>(References!$C$58*J93)</f>
        <v>0.6488310410275957</v>
      </c>
      <c r="L93" s="65">
        <f>K93/References!$G$61</f>
        <v>0.66383368224636352</v>
      </c>
      <c r="M93" s="52">
        <f t="shared" ref="M93" si="295">L93</f>
        <v>0.66383368224636352</v>
      </c>
      <c r="N93" s="30">
        <f>+'Proposed Rates'!C24</f>
        <v>7.5</v>
      </c>
      <c r="O93" s="65">
        <f t="shared" ref="O93" si="296">L93+N93</f>
        <v>8.1638336822463629</v>
      </c>
      <c r="P93" s="65">
        <f>'Proposed Rates'!E24</f>
        <v>8.1638336822463629</v>
      </c>
      <c r="T93" s="47"/>
    </row>
    <row r="94" spans="1:27">
      <c r="A94" s="58"/>
      <c r="B94" s="59">
        <v>22</v>
      </c>
      <c r="C94" s="59"/>
      <c r="D94" t="s">
        <v>648</v>
      </c>
      <c r="E94" s="26">
        <v>0</v>
      </c>
      <c r="F94" s="21">
        <v>1</v>
      </c>
      <c r="G94" s="82">
        <f t="shared" ref="G94:G98" si="297">F94*12</f>
        <v>12</v>
      </c>
      <c r="H94" s="82">
        <f>+References!B19</f>
        <v>34</v>
      </c>
      <c r="I94" s="82">
        <f t="shared" si="293"/>
        <v>34</v>
      </c>
      <c r="J94" s="82">
        <f t="shared" si="294"/>
        <v>25.731946897782908</v>
      </c>
      <c r="K94" s="52">
        <f>(References!$C$58*J94)</f>
        <v>0.6488310410275957</v>
      </c>
      <c r="L94" s="65">
        <f>K94/References!$G$61</f>
        <v>0.66383368224636352</v>
      </c>
      <c r="M94" s="52">
        <f t="shared" ref="M94:M98" si="298">L94</f>
        <v>0.66383368224636352</v>
      </c>
      <c r="N94" s="30">
        <f>+'Proposed Rates'!C12</f>
        <v>21.93</v>
      </c>
      <c r="O94" s="65">
        <f t="shared" ref="O94:O98" si="299">L94+N94</f>
        <v>22.593833682246363</v>
      </c>
      <c r="P94" s="65">
        <f>'Proposed Rates'!E12</f>
        <v>22.593833682246363</v>
      </c>
      <c r="Q94" s="30"/>
      <c r="T94" s="47"/>
    </row>
    <row r="95" spans="1:27">
      <c r="A95" s="58"/>
      <c r="B95" s="59">
        <v>22</v>
      </c>
      <c r="C95" s="59"/>
      <c r="D95" t="s">
        <v>650</v>
      </c>
      <c r="E95" s="26">
        <v>0</v>
      </c>
      <c r="F95" s="21">
        <v>1</v>
      </c>
      <c r="G95" s="82">
        <f t="shared" si="297"/>
        <v>12</v>
      </c>
      <c r="H95" s="82">
        <f>+References!B20</f>
        <v>51</v>
      </c>
      <c r="I95" s="82">
        <f t="shared" si="293"/>
        <v>51</v>
      </c>
      <c r="J95" s="82">
        <f t="shared" si="294"/>
        <v>38.597920346674364</v>
      </c>
      <c r="K95" s="52">
        <f>(References!$C$58*J95)</f>
        <v>0.97324656154139355</v>
      </c>
      <c r="L95" s="65">
        <f>K95/References!$G$61</f>
        <v>0.99575052336954528</v>
      </c>
      <c r="M95" s="52">
        <f t="shared" si="298"/>
        <v>0.99575052336954528</v>
      </c>
      <c r="N95" s="30">
        <f>+'Proposed Rates'!C13</f>
        <v>33.58</v>
      </c>
      <c r="O95" s="65">
        <f t="shared" si="299"/>
        <v>34.575750523369543</v>
      </c>
      <c r="P95" s="65">
        <f>'Proposed Rates'!E13</f>
        <v>34.575750523369543</v>
      </c>
      <c r="Q95" s="30"/>
      <c r="T95" s="47"/>
    </row>
    <row r="96" spans="1:27">
      <c r="A96" s="58"/>
      <c r="B96" s="59">
        <v>22</v>
      </c>
      <c r="C96" s="59"/>
      <c r="D96" t="s">
        <v>652</v>
      </c>
      <c r="E96" s="26">
        <v>0</v>
      </c>
      <c r="F96" s="21">
        <v>1</v>
      </c>
      <c r="G96" s="82">
        <f t="shared" si="297"/>
        <v>12</v>
      </c>
      <c r="H96" s="82">
        <f>+References!B21</f>
        <v>77</v>
      </c>
      <c r="I96" s="82">
        <f t="shared" si="293"/>
        <v>77</v>
      </c>
      <c r="J96" s="82">
        <f t="shared" si="294"/>
        <v>58.275291503802471</v>
      </c>
      <c r="K96" s="52">
        <f>(References!$C$58*J96)</f>
        <v>1.4694114752683787</v>
      </c>
      <c r="L96" s="65">
        <f>K96/References!$G$61</f>
        <v>1.5033880450873527</v>
      </c>
      <c r="M96" s="52">
        <f t="shared" si="298"/>
        <v>1.5033880450873527</v>
      </c>
      <c r="N96" s="30">
        <f>+'Proposed Rates'!C14</f>
        <v>46.17</v>
      </c>
      <c r="O96" s="65">
        <f t="shared" si="299"/>
        <v>47.673388045087357</v>
      </c>
      <c r="P96" s="65">
        <f>'Proposed Rates'!E14</f>
        <v>47.673388045087357</v>
      </c>
      <c r="Q96" s="30"/>
      <c r="T96" s="47"/>
    </row>
    <row r="97" spans="1:27">
      <c r="A97" s="58"/>
      <c r="B97" s="59">
        <v>22</v>
      </c>
      <c r="C97" s="59"/>
      <c r="D97" s="444" t="s">
        <v>654</v>
      </c>
      <c r="E97" s="26">
        <v>0</v>
      </c>
      <c r="F97" s="21">
        <v>1</v>
      </c>
      <c r="G97" s="82">
        <f t="shared" si="297"/>
        <v>12</v>
      </c>
      <c r="H97" s="82">
        <f>+References!B22</f>
        <v>97</v>
      </c>
      <c r="I97" s="82">
        <f t="shared" si="293"/>
        <v>97</v>
      </c>
      <c r="J97" s="82">
        <f t="shared" si="294"/>
        <v>73.411730855439473</v>
      </c>
      <c r="K97" s="52">
        <f>(References!$C$58*J97)</f>
        <v>1.8510767935199053</v>
      </c>
      <c r="L97" s="65">
        <f>K97/References!$G$61</f>
        <v>1.8938784464087428</v>
      </c>
      <c r="M97" s="52">
        <f t="shared" si="298"/>
        <v>1.8938784464087428</v>
      </c>
      <c r="N97" s="30">
        <f>+'Proposed Rates'!C15</f>
        <v>60.24</v>
      </c>
      <c r="O97" s="65">
        <f t="shared" si="299"/>
        <v>62.133878446408744</v>
      </c>
      <c r="P97" s="65">
        <f>'Proposed Rates'!E15</f>
        <v>62.133878446408744</v>
      </c>
      <c r="Q97" s="30"/>
      <c r="T97" s="47"/>
    </row>
    <row r="98" spans="1:27">
      <c r="A98" s="58"/>
      <c r="B98" s="59">
        <v>22</v>
      </c>
      <c r="C98" s="59"/>
      <c r="D98" s="444" t="s">
        <v>656</v>
      </c>
      <c r="E98" s="26">
        <v>0</v>
      </c>
      <c r="F98" s="21">
        <v>1</v>
      </c>
      <c r="G98" s="82">
        <f t="shared" si="297"/>
        <v>12</v>
      </c>
      <c r="H98" s="82">
        <f>+References!B23</f>
        <v>117</v>
      </c>
      <c r="I98" s="82">
        <f t="shared" si="293"/>
        <v>117</v>
      </c>
      <c r="J98" s="82">
        <f t="shared" si="294"/>
        <v>88.548170207076481</v>
      </c>
      <c r="K98" s="52">
        <f>(References!$C$58*J98)</f>
        <v>2.2327421117714326</v>
      </c>
      <c r="L98" s="65">
        <f>K98/References!$G$61</f>
        <v>2.2843688477301334</v>
      </c>
      <c r="M98" s="52">
        <f t="shared" si="298"/>
        <v>2.2843688477301334</v>
      </c>
      <c r="N98" s="30">
        <f>+'Proposed Rates'!C16</f>
        <v>71.45</v>
      </c>
      <c r="O98" s="65">
        <f t="shared" si="299"/>
        <v>73.734368847730138</v>
      </c>
      <c r="P98" s="65">
        <f>'Proposed Rates'!E16</f>
        <v>73.734368847730138</v>
      </c>
      <c r="Q98" s="30"/>
      <c r="T98" s="47"/>
    </row>
    <row r="99" spans="1:27">
      <c r="A99" s="445"/>
      <c r="B99" s="84" t="s">
        <v>117</v>
      </c>
      <c r="C99" s="35"/>
      <c r="D99" s="444" t="s">
        <v>639</v>
      </c>
      <c r="E99" s="26">
        <v>0</v>
      </c>
      <c r="F99" s="21">
        <v>1</v>
      </c>
      <c r="G99" s="82">
        <f t="shared" ref="G99" si="300">F99*12</f>
        <v>12</v>
      </c>
      <c r="H99" s="82">
        <f>+References!B19</f>
        <v>34</v>
      </c>
      <c r="I99" s="82">
        <f t="shared" ref="I99" si="301">G99*H99/12</f>
        <v>34</v>
      </c>
      <c r="J99" s="82">
        <f t="shared" ref="J99" si="302">I99*$E$116</f>
        <v>25.731946897782908</v>
      </c>
      <c r="K99" s="52">
        <f>(References!$C$58*J99)</f>
        <v>0.6488310410275957</v>
      </c>
      <c r="L99" s="65">
        <f>K99/References!$G$61</f>
        <v>0.66383368224636352</v>
      </c>
      <c r="M99" s="52">
        <f t="shared" ref="M99" si="303">L99</f>
        <v>0.66383368224636352</v>
      </c>
      <c r="N99" s="65">
        <f>+'Proposed Rates'!C35</f>
        <v>8.5</v>
      </c>
      <c r="O99" s="65">
        <f t="shared" ref="O99" si="304">L99+N99</f>
        <v>9.1638336822463629</v>
      </c>
      <c r="P99" s="65">
        <f>'Proposed Rates'!E35</f>
        <v>9.1638336822463629</v>
      </c>
      <c r="Q99" s="30"/>
    </row>
    <row r="100" spans="1:27">
      <c r="A100" s="445"/>
      <c r="B100" s="84" t="s">
        <v>334</v>
      </c>
      <c r="C100" s="35"/>
      <c r="D100" s="444" t="s">
        <v>332</v>
      </c>
      <c r="E100" s="26">
        <v>0</v>
      </c>
      <c r="F100" s="21">
        <v>1</v>
      </c>
      <c r="G100" s="82">
        <f t="shared" ref="G100:G107" si="305">F100*12</f>
        <v>12</v>
      </c>
      <c r="H100" s="82">
        <f>References!B51</f>
        <v>125</v>
      </c>
      <c r="I100" s="82">
        <f t="shared" ref="I100:I107" si="306">G100*H100/12</f>
        <v>125</v>
      </c>
      <c r="J100" s="82">
        <f t="shared" ref="J100:J107" si="307">I100*$E$116</f>
        <v>94.602745947731279</v>
      </c>
      <c r="K100" s="52">
        <f>(References!$C$58*J100)</f>
        <v>2.385408239072043</v>
      </c>
      <c r="L100" s="65">
        <f>K100/References!$G$61</f>
        <v>2.4405650082586892</v>
      </c>
      <c r="M100" s="52">
        <f t="shared" ref="M100:M107" si="308">L100</f>
        <v>2.4405650082586892</v>
      </c>
      <c r="N100" s="65">
        <f>'Proposed Rates'!C38</f>
        <v>28.44</v>
      </c>
      <c r="O100" s="65">
        <f t="shared" ref="O100:O107" si="309">L100+N100</f>
        <v>30.880565008258692</v>
      </c>
      <c r="P100" s="65">
        <f>'Proposed Rates'!E38</f>
        <v>30.880565008258692</v>
      </c>
      <c r="Q100" s="30"/>
    </row>
    <row r="101" spans="1:27">
      <c r="A101" s="48"/>
      <c r="B101" s="84" t="s">
        <v>333</v>
      </c>
      <c r="C101" s="35"/>
      <c r="D101" s="444" t="s">
        <v>332</v>
      </c>
      <c r="E101" s="26">
        <v>0</v>
      </c>
      <c r="F101" s="21">
        <v>1</v>
      </c>
      <c r="G101" s="82">
        <f t="shared" ref="G101" si="310">F101*12</f>
        <v>12</v>
      </c>
      <c r="H101" s="82">
        <f>References!B51</f>
        <v>125</v>
      </c>
      <c r="I101" s="82">
        <f t="shared" ref="I101" si="311">G101*H101/12</f>
        <v>125</v>
      </c>
      <c r="J101" s="82">
        <f t="shared" si="307"/>
        <v>94.602745947731279</v>
      </c>
      <c r="K101" s="52">
        <f>(References!$C$58*J101)</f>
        <v>2.385408239072043</v>
      </c>
      <c r="L101" s="65">
        <f>K101/References!$G$61</f>
        <v>2.4405650082586892</v>
      </c>
      <c r="M101" s="52">
        <f t="shared" ref="M101" si="312">L101</f>
        <v>2.4405650082586892</v>
      </c>
      <c r="N101" s="65">
        <f>'Proposed Rates'!C48</f>
        <v>28.52</v>
      </c>
      <c r="O101" s="65">
        <f t="shared" ref="O101" si="313">L101+N101</f>
        <v>30.960565008258691</v>
      </c>
      <c r="P101" s="65">
        <f>'Proposed Rates'!E39</f>
        <v>30.880565008258692</v>
      </c>
      <c r="Q101" s="30"/>
    </row>
    <row r="102" spans="1:27">
      <c r="A102" s="48"/>
      <c r="B102" s="84" t="s">
        <v>334</v>
      </c>
      <c r="C102" s="35"/>
      <c r="D102" s="444" t="s">
        <v>637</v>
      </c>
      <c r="E102" s="26">
        <v>0</v>
      </c>
      <c r="F102" s="21">
        <v>1</v>
      </c>
      <c r="G102" s="82">
        <f t="shared" ref="G102" si="314">F102*12</f>
        <v>12</v>
      </c>
      <c r="H102" s="82">
        <f>References!B51</f>
        <v>125</v>
      </c>
      <c r="I102" s="82">
        <f t="shared" ref="I102" si="315">G102*H102/12</f>
        <v>125</v>
      </c>
      <c r="J102" s="82">
        <f t="shared" si="307"/>
        <v>94.602745947731279</v>
      </c>
      <c r="K102" s="52">
        <f>(References!$C$58*J102)</f>
        <v>2.385408239072043</v>
      </c>
      <c r="L102" s="65">
        <f>K102/References!$G$61</f>
        <v>2.4405650082586892</v>
      </c>
      <c r="M102" s="52">
        <f t="shared" ref="M102" si="316">L102</f>
        <v>2.4405650082586892</v>
      </c>
      <c r="N102" s="65">
        <f>+'Proposed Rates'!C41</f>
        <v>0</v>
      </c>
      <c r="O102" s="65">
        <f t="shared" ref="O102" si="317">L102+N102</f>
        <v>2.4405650082586892</v>
      </c>
      <c r="P102" s="65">
        <f>+'Proposed Rates'!E41</f>
        <v>2.4405650082586892</v>
      </c>
      <c r="Q102" s="30"/>
    </row>
    <row r="103" spans="1:27">
      <c r="A103" s="48"/>
      <c r="B103" s="84" t="s">
        <v>161</v>
      </c>
      <c r="C103" s="35"/>
      <c r="D103" s="444" t="s">
        <v>302</v>
      </c>
      <c r="E103" s="26">
        <v>0</v>
      </c>
      <c r="F103" s="21">
        <v>1</v>
      </c>
      <c r="G103" s="82">
        <f t="shared" si="305"/>
        <v>12</v>
      </c>
      <c r="H103" s="82">
        <f>References!B42</f>
        <v>980</v>
      </c>
      <c r="I103" s="82">
        <f t="shared" si="306"/>
        <v>980</v>
      </c>
      <c r="J103" s="82">
        <f t="shared" si="307"/>
        <v>741.68552823021332</v>
      </c>
      <c r="K103" s="52">
        <f>(References!$C$58*J103)</f>
        <v>18.70160059432482</v>
      </c>
      <c r="L103" s="65">
        <f>K103/References!$G$61</f>
        <v>19.134029664748127</v>
      </c>
      <c r="M103" s="52">
        <f t="shared" si="308"/>
        <v>19.134029664748127</v>
      </c>
      <c r="N103" s="65">
        <f>'Proposed Rates'!C60</f>
        <v>145.79</v>
      </c>
      <c r="O103" s="65">
        <f t="shared" si="309"/>
        <v>164.9240296647481</v>
      </c>
      <c r="P103" s="65">
        <f>'Proposed Rates'!E60</f>
        <v>164.9240296647481</v>
      </c>
      <c r="Q103" s="30"/>
    </row>
    <row r="104" spans="1:27" ht="15" customHeight="1">
      <c r="A104" s="48"/>
      <c r="B104" s="84" t="s">
        <v>161</v>
      </c>
      <c r="C104" s="35"/>
      <c r="D104" s="64" t="s">
        <v>328</v>
      </c>
      <c r="E104" s="26">
        <v>0</v>
      </c>
      <c r="F104" s="20">
        <v>1</v>
      </c>
      <c r="G104" s="82">
        <f t="shared" si="305"/>
        <v>12</v>
      </c>
      <c r="H104" s="53">
        <f>References!B42</f>
        <v>980</v>
      </c>
      <c r="I104" s="82">
        <f t="shared" si="306"/>
        <v>980</v>
      </c>
      <c r="J104" s="82">
        <f t="shared" si="307"/>
        <v>741.68552823021332</v>
      </c>
      <c r="K104" s="52">
        <f>(References!$C$58*J104)</f>
        <v>18.70160059432482</v>
      </c>
      <c r="L104" s="65">
        <f>K104/References!$G$61</f>
        <v>19.134029664748127</v>
      </c>
      <c r="M104" s="52">
        <f t="shared" si="308"/>
        <v>19.134029664748127</v>
      </c>
      <c r="N104" s="65">
        <f>'Proposed Rates'!C68</f>
        <v>148.79</v>
      </c>
      <c r="O104" s="65">
        <f t="shared" si="309"/>
        <v>167.9240296647481</v>
      </c>
      <c r="P104" s="65">
        <f>'Proposed Rates'!E68</f>
        <v>167.9240296647481</v>
      </c>
      <c r="Q104" s="30"/>
    </row>
    <row r="105" spans="1:27" ht="15" customHeight="1">
      <c r="A105" s="48"/>
      <c r="B105" s="84" t="s">
        <v>163</v>
      </c>
      <c r="C105" s="35"/>
      <c r="D105" s="64" t="s">
        <v>331</v>
      </c>
      <c r="E105" s="26">
        <v>0</v>
      </c>
      <c r="F105" s="20">
        <v>1</v>
      </c>
      <c r="G105" s="82">
        <f t="shared" si="305"/>
        <v>12</v>
      </c>
      <c r="H105" s="53">
        <f>References!B27</f>
        <v>68</v>
      </c>
      <c r="I105" s="82">
        <f t="shared" si="306"/>
        <v>68</v>
      </c>
      <c r="J105" s="82">
        <f t="shared" si="307"/>
        <v>51.463893795565816</v>
      </c>
      <c r="K105" s="52">
        <f>(References!$C$58*J105)</f>
        <v>1.2976620820551914</v>
      </c>
      <c r="L105" s="65">
        <f>K105/References!$G$61</f>
        <v>1.327667364492727</v>
      </c>
      <c r="M105" s="52">
        <f t="shared" si="308"/>
        <v>1.327667364492727</v>
      </c>
      <c r="N105" s="65">
        <f>'Proposed Rates'!C87</f>
        <v>12.97</v>
      </c>
      <c r="O105" s="65">
        <f t="shared" si="309"/>
        <v>14.297667364492728</v>
      </c>
      <c r="P105" s="65">
        <f>'Proposed Rates'!E87</f>
        <v>14.297667364492728</v>
      </c>
      <c r="Q105" s="30"/>
    </row>
    <row r="106" spans="1:27">
      <c r="A106" s="48"/>
      <c r="B106" s="84" t="s">
        <v>333</v>
      </c>
      <c r="C106" s="35"/>
      <c r="D106" s="63" t="s">
        <v>267</v>
      </c>
      <c r="E106" s="26">
        <v>0</v>
      </c>
      <c r="F106" s="20">
        <v>1</v>
      </c>
      <c r="G106" s="82">
        <f t="shared" si="305"/>
        <v>12</v>
      </c>
      <c r="H106" s="53">
        <f>References!B51</f>
        <v>125</v>
      </c>
      <c r="I106" s="82">
        <f t="shared" si="306"/>
        <v>125</v>
      </c>
      <c r="J106" s="82">
        <f t="shared" si="307"/>
        <v>94.602745947731279</v>
      </c>
      <c r="K106" s="52">
        <f>(References!$C$58*J106)</f>
        <v>2.385408239072043</v>
      </c>
      <c r="L106" s="65">
        <f>K106/References!$G$61</f>
        <v>2.4405650082586892</v>
      </c>
      <c r="M106" s="52">
        <f t="shared" si="308"/>
        <v>2.4405650082586892</v>
      </c>
      <c r="N106" s="65">
        <f>'Proposed Rates'!C112</f>
        <v>28.44</v>
      </c>
      <c r="O106" s="65">
        <f t="shared" si="309"/>
        <v>30.880565008258692</v>
      </c>
      <c r="P106" s="65">
        <f>'Proposed Rates'!E112</f>
        <v>30.880565008258692</v>
      </c>
      <c r="Q106" s="30"/>
      <c r="T106" s="47"/>
    </row>
    <row r="107" spans="1:27">
      <c r="A107" s="48"/>
      <c r="B107" s="84" t="s">
        <v>162</v>
      </c>
      <c r="C107" s="35"/>
      <c r="D107" s="63" t="s">
        <v>325</v>
      </c>
      <c r="E107" s="26">
        <v>0</v>
      </c>
      <c r="F107" s="20">
        <v>1</v>
      </c>
      <c r="G107" s="82">
        <f t="shared" si="305"/>
        <v>12</v>
      </c>
      <c r="H107" s="53">
        <f>References!B51</f>
        <v>125</v>
      </c>
      <c r="I107" s="82">
        <f t="shared" si="306"/>
        <v>125</v>
      </c>
      <c r="J107" s="82">
        <f t="shared" si="307"/>
        <v>94.602745947731279</v>
      </c>
      <c r="K107" s="52">
        <f>(References!$C$58*J107)</f>
        <v>2.385408239072043</v>
      </c>
      <c r="L107" s="65">
        <f>K107/References!$G$61</f>
        <v>2.4405650082586892</v>
      </c>
      <c r="M107" s="52">
        <f t="shared" si="308"/>
        <v>2.4405650082586892</v>
      </c>
      <c r="N107" s="65">
        <f>'Proposed Rates'!C114</f>
        <v>6.94</v>
      </c>
      <c r="O107" s="65">
        <f t="shared" si="309"/>
        <v>9.3805650082586887</v>
      </c>
      <c r="P107" s="65">
        <f>'Proposed Rates'!E114</f>
        <v>7.6038336822463641</v>
      </c>
      <c r="Q107" s="30"/>
      <c r="T107" s="47"/>
    </row>
    <row r="108" spans="1:27">
      <c r="A108" s="48"/>
      <c r="B108" s="35"/>
      <c r="C108" s="35"/>
      <c r="E108" s="23"/>
      <c r="F108" s="20"/>
      <c r="G108" s="53"/>
      <c r="H108" s="53"/>
      <c r="I108" s="53"/>
      <c r="J108" s="34"/>
      <c r="K108" s="52"/>
      <c r="L108" s="52"/>
      <c r="M108" s="52"/>
      <c r="N108" s="21"/>
      <c r="O108" s="52"/>
      <c r="P108" s="52"/>
      <c r="Q108" s="52"/>
      <c r="R108" s="52"/>
      <c r="S108" s="52"/>
      <c r="T108" s="52"/>
      <c r="U108" s="52"/>
      <c r="V108" s="54"/>
      <c r="W108" s="54"/>
      <c r="X108" s="54"/>
      <c r="Y108" s="17"/>
      <c r="Z108" s="12"/>
      <c r="AA108" s="12"/>
    </row>
    <row r="109" spans="1:27">
      <c r="A109" s="48"/>
      <c r="B109" s="35"/>
      <c r="C109" s="35"/>
      <c r="E109" s="23"/>
      <c r="F109" s="20"/>
      <c r="G109" s="53"/>
      <c r="H109" s="53"/>
      <c r="I109" s="53"/>
      <c r="J109" s="34"/>
      <c r="K109" s="52"/>
      <c r="L109" s="52"/>
      <c r="M109" s="52"/>
      <c r="N109" s="21"/>
      <c r="O109" s="52"/>
      <c r="P109" s="52"/>
      <c r="Q109" s="52"/>
      <c r="R109" s="52"/>
      <c r="S109" s="52"/>
      <c r="T109" s="52"/>
      <c r="U109" s="52"/>
      <c r="V109" s="54"/>
      <c r="W109" s="54"/>
      <c r="X109" s="54"/>
      <c r="Y109" s="17"/>
      <c r="Z109" s="12"/>
      <c r="AA109" s="12"/>
    </row>
    <row r="110" spans="1:27">
      <c r="A110" s="48"/>
      <c r="D110" s="51"/>
      <c r="T110" s="47"/>
    </row>
    <row r="111" spans="1:27">
      <c r="A111" s="48"/>
      <c r="D111" s="468" t="s">
        <v>93</v>
      </c>
      <c r="E111" s="468"/>
    </row>
    <row r="112" spans="1:27">
      <c r="A112" s="48"/>
      <c r="E112" s="45" t="s">
        <v>15</v>
      </c>
      <c r="F112" s="25"/>
      <c r="G112" s="25"/>
      <c r="K112" s="30"/>
      <c r="Q112" s="83"/>
      <c r="R112" s="30"/>
    </row>
    <row r="113" spans="1:18">
      <c r="A113" s="48"/>
      <c r="D113" t="s">
        <v>31</v>
      </c>
      <c r="E113" s="284">
        <f>+'DF Schedule'!N18+'DF Schedule'!N17</f>
        <v>13350.694</v>
      </c>
      <c r="F113" s="47" t="s">
        <v>338</v>
      </c>
      <c r="H113" s="287"/>
      <c r="K113" s="30"/>
      <c r="Q113" s="83"/>
      <c r="R113" s="65"/>
    </row>
    <row r="114" spans="1:18">
      <c r="A114" s="48"/>
      <c r="D114" t="s">
        <v>32</v>
      </c>
      <c r="E114" s="284">
        <f>E113*2000</f>
        <v>26701388</v>
      </c>
      <c r="F114" s="47" t="s">
        <v>635</v>
      </c>
      <c r="G114" s="288">
        <v>45261</v>
      </c>
      <c r="H114" s="284"/>
      <c r="K114" s="30"/>
      <c r="R114" s="65"/>
    </row>
    <row r="115" spans="1:18">
      <c r="A115" s="48"/>
      <c r="D115" t="s">
        <v>4</v>
      </c>
      <c r="E115" s="23">
        <f>G25+G88</f>
        <v>491899.27386067068</v>
      </c>
      <c r="F115" s="82"/>
      <c r="G115" s="82"/>
      <c r="H115" s="82"/>
      <c r="K115" s="30"/>
      <c r="Q115" s="83"/>
      <c r="R115" s="65"/>
    </row>
    <row r="116" spans="1:18">
      <c r="D116" s="31" t="s">
        <v>10</v>
      </c>
      <c r="E116" s="22">
        <f>E114/$I$89</f>
        <v>0.75682196758185027</v>
      </c>
      <c r="F116" s="22"/>
      <c r="G116" s="22"/>
      <c r="H116" s="22"/>
      <c r="I116" s="19"/>
      <c r="K116" s="30"/>
      <c r="N116" s="29"/>
      <c r="O116" s="29"/>
      <c r="P116" s="29"/>
      <c r="Q116" s="28"/>
      <c r="R116" s="28"/>
    </row>
    <row r="117" spans="1:18">
      <c r="H117" s="32"/>
      <c r="I117" s="21"/>
      <c r="K117" s="30"/>
      <c r="N117" s="12"/>
      <c r="O117" s="18"/>
      <c r="P117" s="18"/>
      <c r="Q117" s="47"/>
      <c r="R117" s="19"/>
    </row>
    <row r="118" spans="1:18">
      <c r="D118" t="s">
        <v>12</v>
      </c>
      <c r="E118" s="76">
        <f>S25</f>
        <v>424988.84756798123</v>
      </c>
      <c r="F118" s="80">
        <f>E118/Q25</f>
        <v>0.12378385039199055</v>
      </c>
      <c r="I118" s="21"/>
      <c r="K118" s="30"/>
      <c r="N118" s="12"/>
      <c r="O118" s="18"/>
      <c r="P118" s="18"/>
      <c r="Q118" s="47"/>
      <c r="R118" s="19"/>
    </row>
    <row r="119" spans="1:18">
      <c r="D119" t="s">
        <v>13</v>
      </c>
      <c r="E119" s="76">
        <f>S88</f>
        <v>261252.25662308809</v>
      </c>
      <c r="F119" s="80">
        <f>S88/Q88</f>
        <v>0.15245114032049473</v>
      </c>
      <c r="I119" s="21"/>
      <c r="K119" s="30"/>
      <c r="N119" s="12"/>
      <c r="O119" s="18"/>
      <c r="P119" s="18"/>
      <c r="Q119" s="47"/>
      <c r="R119" s="19"/>
    </row>
    <row r="120" spans="1:18">
      <c r="D120" t="s">
        <v>15</v>
      </c>
      <c r="E120" s="77">
        <f>SUM(E118:E119)</f>
        <v>686241.10419106926</v>
      </c>
      <c r="F120" s="47"/>
      <c r="J120"/>
    </row>
    <row r="121" spans="1:18">
      <c r="E121"/>
      <c r="F121" s="47"/>
      <c r="J121"/>
    </row>
    <row r="122" spans="1:18">
      <c r="D122" t="s">
        <v>341</v>
      </c>
      <c r="E122" s="82">
        <f>+'DF Schedule'!N9</f>
        <v>5313.6100000000006</v>
      </c>
      <c r="F122" s="80">
        <f>References!D58</f>
        <v>0.34781709083385043</v>
      </c>
      <c r="J122"/>
    </row>
    <row r="123" spans="1:18">
      <c r="E123"/>
      <c r="F123" s="47" t="s">
        <v>338</v>
      </c>
      <c r="J123"/>
    </row>
    <row r="124" spans="1:18">
      <c r="D124" t="s">
        <v>8</v>
      </c>
      <c r="E124" s="77">
        <f>E122*References!B58</f>
        <v>267965.35229999991</v>
      </c>
      <c r="F124" s="47" t="s">
        <v>636</v>
      </c>
      <c r="G124" s="288">
        <v>45261</v>
      </c>
    </row>
    <row r="125" spans="1:18">
      <c r="E125"/>
      <c r="F125" s="47"/>
    </row>
    <row r="126" spans="1:18">
      <c r="E126"/>
      <c r="F126" s="47"/>
    </row>
    <row r="127" spans="1:18">
      <c r="E127" s="77">
        <f>E120+E124</f>
        <v>954206.45649106917</v>
      </c>
      <c r="F127" s="47"/>
    </row>
    <row r="128" spans="1:18">
      <c r="E128"/>
      <c r="F128" s="47"/>
    </row>
    <row r="129" spans="5:6">
      <c r="E129"/>
      <c r="F129" s="47"/>
    </row>
  </sheetData>
  <mergeCells count="4">
    <mergeCell ref="D111:E111"/>
    <mergeCell ref="A5:L5"/>
    <mergeCell ref="A9:A24"/>
    <mergeCell ref="A26:A85"/>
  </mergeCells>
  <phoneticPr fontId="73" type="noConversion"/>
  <conditionalFormatting sqref="C1:C1048576">
    <cfRule type="duplicateValues" dxfId="13" priority="1"/>
  </conditionalFormatting>
  <pageMargins left="0.7" right="0.7" top="0.75" bottom="0.75" header="0.3" footer="0.3"/>
  <pageSetup scale="53" fitToHeight="0" pageOrder="overThenDown" orientation="landscape" r:id="rId1"/>
  <headerFooter>
    <oddFooter>&amp;L&amp;F - &amp;A&amp;R&amp;P of &amp;N</oddFooter>
  </headerFooter>
  <rowBreaks count="2" manualBreakCount="2">
    <brk id="55" max="22" man="1"/>
    <brk id="89" max="22" man="1"/>
  </rowBreaks>
  <colBreaks count="1" manualBreakCount="1">
    <brk id="16" max="8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26F5-13F9-4CE6-9490-4F048537E396}">
  <sheetPr>
    <tabColor theme="6" tint="0.39997558519241921"/>
    <pageSetUpPr fitToPage="1"/>
  </sheetPr>
  <dimension ref="A1:G114"/>
  <sheetViews>
    <sheetView tabSelected="1" view="pageBreakPreview" topLeftCell="B2" zoomScale="85" zoomScaleNormal="85" zoomScaleSheetLayoutView="85" workbookViewId="0">
      <selection activeCell="I16" sqref="I16"/>
    </sheetView>
  </sheetViews>
  <sheetFormatPr defaultRowHeight="15" outlineLevelCol="1"/>
  <cols>
    <col min="1" max="1" width="25.85546875" hidden="1" customWidth="1" outlineLevel="1"/>
    <col min="2" max="2" width="28.28515625" customWidth="1" collapsed="1"/>
    <col min="3" max="3" width="12.7109375" customWidth="1"/>
    <col min="4" max="4" width="15" customWidth="1"/>
    <col min="5" max="5" width="12.5703125" customWidth="1"/>
    <col min="6" max="6" width="10.140625" customWidth="1"/>
  </cols>
  <sheetData>
    <row r="1" spans="1:7">
      <c r="B1" s="15" t="s">
        <v>269</v>
      </c>
    </row>
    <row r="2" spans="1:7">
      <c r="B2" s="15" t="s">
        <v>344</v>
      </c>
    </row>
    <row r="3" spans="1:7">
      <c r="B3" s="15" t="s">
        <v>347</v>
      </c>
      <c r="C3" s="96">
        <v>45292</v>
      </c>
    </row>
    <row r="4" spans="1:7">
      <c r="B4" s="15"/>
    </row>
    <row r="5" spans="1:7">
      <c r="B5" s="473"/>
      <c r="C5" s="81"/>
      <c r="D5" s="25"/>
      <c r="E5" s="25"/>
      <c r="F5" s="25" t="s">
        <v>644</v>
      </c>
    </row>
    <row r="6" spans="1:7" ht="60" customHeight="1">
      <c r="C6" s="87" t="s">
        <v>645</v>
      </c>
      <c r="D6" s="449" t="s">
        <v>342</v>
      </c>
      <c r="E6" s="88" t="s">
        <v>583</v>
      </c>
      <c r="F6" s="88" t="s">
        <v>583</v>
      </c>
    </row>
    <row r="7" spans="1:7">
      <c r="B7" s="15" t="s">
        <v>270</v>
      </c>
    </row>
    <row r="8" spans="1:7">
      <c r="B8" t="s">
        <v>271</v>
      </c>
      <c r="C8" s="30">
        <v>6.55</v>
      </c>
      <c r="D8" s="30">
        <f>'[55]Company Calc'!L25</f>
        <v>-4.3348540015968565E-2</v>
      </c>
      <c r="E8" s="30">
        <f>C8+D8</f>
        <v>6.506651459984031</v>
      </c>
      <c r="F8" s="30"/>
      <c r="G8" s="30"/>
    </row>
    <row r="9" spans="1:7">
      <c r="G9" s="30"/>
    </row>
    <row r="10" spans="1:7">
      <c r="B10" s="475" t="s">
        <v>272</v>
      </c>
      <c r="C10" s="474"/>
      <c r="D10" s="473"/>
      <c r="E10" s="474"/>
      <c r="F10" s="30"/>
      <c r="G10" s="30"/>
    </row>
    <row r="11" spans="1:7">
      <c r="A11" t="s">
        <v>646</v>
      </c>
      <c r="B11" s="473" t="s">
        <v>647</v>
      </c>
      <c r="C11" s="474">
        <v>16.87</v>
      </c>
      <c r="D11" s="474">
        <f>VLOOKUP(A11,'[55]Company Calc'!C:L,10,FALSE)</f>
        <v>-0.11049627847207671</v>
      </c>
      <c r="E11" s="474">
        <f t="shared" ref="E11:E73" si="0">C11+D11</f>
        <v>16.759503721527924</v>
      </c>
      <c r="F11" s="30"/>
      <c r="G11" s="30"/>
    </row>
    <row r="12" spans="1:7">
      <c r="A12" t="s">
        <v>648</v>
      </c>
      <c r="B12" s="473" t="s">
        <v>649</v>
      </c>
      <c r="C12" s="474">
        <v>22.06</v>
      </c>
      <c r="D12" s="474">
        <f>VLOOKUP(A12,'[55]Company Calc'!C:L,10,FALSE)</f>
        <v>-0.18784367340253041</v>
      </c>
      <c r="E12" s="474">
        <f t="shared" si="0"/>
        <v>21.872156326597469</v>
      </c>
      <c r="F12" s="30"/>
      <c r="G12" s="30"/>
    </row>
    <row r="13" spans="1:7">
      <c r="A13" t="s">
        <v>650</v>
      </c>
      <c r="B13" s="473" t="s">
        <v>651</v>
      </c>
      <c r="C13" s="474">
        <v>33.770000000000003</v>
      </c>
      <c r="D13" s="474">
        <f>VLOOKUP(A13,'[55]Company Calc'!C:L,10,FALSE)</f>
        <v>-0.28176551010379564</v>
      </c>
      <c r="E13" s="474">
        <f t="shared" si="0"/>
        <v>33.488234489896207</v>
      </c>
      <c r="F13" s="30"/>
      <c r="G13" s="30"/>
    </row>
    <row r="14" spans="1:7">
      <c r="A14" t="s">
        <v>652</v>
      </c>
      <c r="B14" s="473" t="s">
        <v>653</v>
      </c>
      <c r="C14" s="474">
        <v>46.47</v>
      </c>
      <c r="D14" s="474">
        <f>VLOOKUP(A14,'[55]Company Calc'!C:L,10,FALSE)</f>
        <v>-0.42541067211749534</v>
      </c>
      <c r="E14" s="474">
        <f t="shared" si="0"/>
        <v>46.044589327882505</v>
      </c>
      <c r="F14" s="30"/>
      <c r="G14" s="30"/>
    </row>
    <row r="15" spans="1:7">
      <c r="A15" s="444" t="s">
        <v>654</v>
      </c>
      <c r="B15" s="473" t="s">
        <v>655</v>
      </c>
      <c r="C15" s="474">
        <v>60.61</v>
      </c>
      <c r="D15" s="474">
        <f>VLOOKUP(A15,'[55]Company Calc'!C:L,10,FALSE)</f>
        <v>-0.53590695058957205</v>
      </c>
      <c r="E15" s="474">
        <f t="shared" si="0"/>
        <v>60.074093049410429</v>
      </c>
      <c r="F15" s="30"/>
      <c r="G15" s="30"/>
    </row>
    <row r="16" spans="1:7">
      <c r="A16" s="444" t="s">
        <v>656</v>
      </c>
      <c r="B16" s="473" t="s">
        <v>657</v>
      </c>
      <c r="C16" s="474">
        <v>71.900000000000006</v>
      </c>
      <c r="D16" s="474">
        <f>VLOOKUP(A16,'[55]Company Calc'!C:L,10,FALSE)</f>
        <v>-0.64640322906164882</v>
      </c>
      <c r="E16" s="474">
        <f t="shared" si="0"/>
        <v>71.253596770938358</v>
      </c>
      <c r="F16" s="30"/>
      <c r="G16" s="30"/>
    </row>
    <row r="17" spans="1:7">
      <c r="A17" t="s">
        <v>107</v>
      </c>
      <c r="B17" s="473" t="s">
        <v>273</v>
      </c>
      <c r="C17" s="474">
        <v>24.48</v>
      </c>
      <c r="D17" s="474">
        <f>VLOOKUP(A17,'[55]Company Calc'!C:L,10,FALSE)</f>
        <v>-0.20441811517334194</v>
      </c>
      <c r="E17" s="474">
        <f t="shared" si="0"/>
        <v>24.275581884826657</v>
      </c>
      <c r="F17" s="30"/>
      <c r="G17" s="30"/>
    </row>
    <row r="18" spans="1:7">
      <c r="A18" t="s">
        <v>108</v>
      </c>
      <c r="B18" s="473" t="s">
        <v>274</v>
      </c>
      <c r="C18" s="474">
        <v>31.92</v>
      </c>
      <c r="D18" s="474">
        <f>VLOOKUP(A18,'[55]Company Calc'!C:L,10,FALSE)</f>
        <v>-0.25966625440938024</v>
      </c>
      <c r="E18" s="474">
        <f t="shared" si="0"/>
        <v>31.66033374559062</v>
      </c>
      <c r="F18" s="30"/>
      <c r="G18" s="30"/>
    </row>
    <row r="19" spans="1:7">
      <c r="A19" s="444" t="s">
        <v>658</v>
      </c>
      <c r="B19" s="473" t="s">
        <v>275</v>
      </c>
      <c r="C19" s="474">
        <v>41.57</v>
      </c>
      <c r="D19" s="474">
        <f>VLOOKUP(A19,'[55]Company Calc'!C:L,10,FALSE)</f>
        <v>-0.37568734680506088</v>
      </c>
      <c r="E19" s="474">
        <f t="shared" si="0"/>
        <v>41.194312653194942</v>
      </c>
      <c r="F19" s="30"/>
      <c r="G19" s="30"/>
    </row>
    <row r="20" spans="1:7">
      <c r="A20" t="s">
        <v>110</v>
      </c>
      <c r="B20" s="473" t="s">
        <v>659</v>
      </c>
      <c r="C20" s="474">
        <v>12.73</v>
      </c>
      <c r="D20" s="474">
        <f>VLOOKUP(A20,'[55]Company Calc'!C:L,10,FALSE)</f>
        <v>-9.3921836701265193E-2</v>
      </c>
      <c r="E20" s="474">
        <f t="shared" si="0"/>
        <v>12.636078163298736</v>
      </c>
      <c r="F20" s="30"/>
      <c r="G20" s="30"/>
    </row>
    <row r="21" spans="1:7">
      <c r="A21" t="s">
        <v>111</v>
      </c>
      <c r="B21" s="473" t="s">
        <v>276</v>
      </c>
      <c r="C21" s="474">
        <v>14.11</v>
      </c>
      <c r="D21" s="474">
        <f>VLOOKUP(A21,'[55]Company Calc'!C:L,10,FALSE)</f>
        <v>-0.10220905758667097</v>
      </c>
      <c r="E21" s="474">
        <f t="shared" si="0"/>
        <v>14.007790942413328</v>
      </c>
      <c r="F21" s="30"/>
      <c r="G21" s="30"/>
    </row>
    <row r="22" spans="1:7">
      <c r="A22" t="s">
        <v>112</v>
      </c>
      <c r="B22" s="473" t="s">
        <v>277</v>
      </c>
      <c r="C22" s="474">
        <v>18.27</v>
      </c>
      <c r="D22" s="474">
        <f>VLOOKUP(A22,'[55]Company Calc'!C:L,10,FALSE)</f>
        <v>-0.12983312720469012</v>
      </c>
      <c r="E22" s="474">
        <f t="shared" si="0"/>
        <v>18.140166872795309</v>
      </c>
      <c r="F22" s="30"/>
      <c r="G22" s="30"/>
    </row>
    <row r="23" spans="1:7">
      <c r="A23" s="444" t="s">
        <v>660</v>
      </c>
      <c r="B23" s="473" t="s">
        <v>278</v>
      </c>
      <c r="C23" s="474">
        <v>23.76</v>
      </c>
      <c r="D23" s="474">
        <f>VLOOKUP(A23,'[55]Company Calc'!C:L,10,FALSE)</f>
        <v>-0.18784367340253044</v>
      </c>
      <c r="E23" s="474">
        <f t="shared" si="0"/>
        <v>23.572156326597472</v>
      </c>
      <c r="F23" s="30"/>
      <c r="G23" s="30"/>
    </row>
    <row r="24" spans="1:7">
      <c r="A24" t="s">
        <v>661</v>
      </c>
      <c r="B24" s="473" t="s">
        <v>662</v>
      </c>
      <c r="C24" s="474">
        <v>7.52</v>
      </c>
      <c r="D24" s="474">
        <f>VLOOKUP(A24,'[55]Company Calc'!C:L,10,FALSE)</f>
        <v>-4.3348540015968558E-2</v>
      </c>
      <c r="E24" s="474">
        <f t="shared" si="0"/>
        <v>7.4766514599840308</v>
      </c>
      <c r="F24" s="30"/>
      <c r="G24" s="30"/>
    </row>
    <row r="25" spans="1:7">
      <c r="A25" t="s">
        <v>663</v>
      </c>
      <c r="B25" s="473" t="s">
        <v>279</v>
      </c>
      <c r="C25" s="474">
        <v>8.6300000000000008</v>
      </c>
      <c r="D25" s="474">
        <f>VLOOKUP(A25,'[55]Company Calc'!C:L,10,FALSE)</f>
        <v>-4.7173411193848144E-2</v>
      </c>
      <c r="E25" s="474">
        <f t="shared" si="0"/>
        <v>8.582826588806153</v>
      </c>
      <c r="F25" s="30"/>
      <c r="G25" s="30"/>
    </row>
    <row r="26" spans="1:7">
      <c r="A26" t="s">
        <v>114</v>
      </c>
      <c r="B26" s="473" t="s">
        <v>280</v>
      </c>
      <c r="C26" s="474">
        <v>12.36</v>
      </c>
      <c r="D26" s="474">
        <f>VLOOKUP(A26,'[55]Company Calc'!C:L,10,FALSE)</f>
        <v>-5.9922981786780072E-2</v>
      </c>
      <c r="E26" s="474">
        <f t="shared" si="0"/>
        <v>12.300077018213219</v>
      </c>
      <c r="F26" s="30"/>
      <c r="G26" s="30"/>
    </row>
    <row r="27" spans="1:7">
      <c r="A27" t="s">
        <v>664</v>
      </c>
      <c r="B27" s="473" t="s">
        <v>281</v>
      </c>
      <c r="C27" s="474">
        <v>15.99</v>
      </c>
      <c r="D27" s="474">
        <f>VLOOKUP(A27,'[55]Company Calc'!C:L,10,FALSE)</f>
        <v>-8.6697080031937115E-2</v>
      </c>
      <c r="E27" s="474">
        <f t="shared" si="0"/>
        <v>15.903302919968063</v>
      </c>
      <c r="F27" s="30"/>
      <c r="G27" s="30"/>
    </row>
    <row r="28" spans="1:7">
      <c r="D28" s="30"/>
      <c r="E28" s="30"/>
      <c r="F28" s="30"/>
      <c r="G28" s="30"/>
    </row>
    <row r="29" spans="1:7">
      <c r="B29" s="15" t="s">
        <v>282</v>
      </c>
      <c r="E29" s="30"/>
      <c r="F29" s="30"/>
      <c r="G29" s="30"/>
    </row>
    <row r="30" spans="1:7">
      <c r="A30" t="s">
        <v>115</v>
      </c>
      <c r="B30" t="s">
        <v>283</v>
      </c>
      <c r="C30" s="30">
        <v>6.98</v>
      </c>
      <c r="D30" s="30">
        <f>VLOOKUP(A30,'[55]Company Calc'!C:L,10,FALSE)</f>
        <v>-4.3348540015968558E-2</v>
      </c>
      <c r="E30" s="30">
        <f t="shared" si="0"/>
        <v>6.9366514599840317</v>
      </c>
      <c r="F30" s="30"/>
      <c r="G30" s="30"/>
    </row>
    <row r="31" spans="1:7">
      <c r="A31" t="s">
        <v>115</v>
      </c>
      <c r="B31" t="s">
        <v>284</v>
      </c>
      <c r="C31" s="30">
        <v>6.98</v>
      </c>
      <c r="D31" s="30">
        <f>VLOOKUP(A31,'[55]Company Calc'!C:L,10,FALSE)</f>
        <v>-4.3348540015968558E-2</v>
      </c>
      <c r="E31" s="30">
        <f t="shared" si="0"/>
        <v>6.9366514599840317</v>
      </c>
      <c r="F31" s="30"/>
      <c r="G31" s="30"/>
    </row>
    <row r="32" spans="1:7">
      <c r="A32" t="s">
        <v>115</v>
      </c>
      <c r="B32" t="s">
        <v>285</v>
      </c>
      <c r="C32" s="30">
        <v>6.98</v>
      </c>
      <c r="D32" s="30">
        <f>VLOOKUP(A32,'[55]Company Calc'!C:L,10,FALSE)</f>
        <v>-4.3348540015968558E-2</v>
      </c>
      <c r="E32" s="30">
        <f t="shared" si="0"/>
        <v>6.9366514599840317</v>
      </c>
      <c r="F32" s="30"/>
      <c r="G32" s="30"/>
    </row>
    <row r="33" spans="1:7">
      <c r="A33" t="s">
        <v>115</v>
      </c>
      <c r="B33" t="s">
        <v>286</v>
      </c>
      <c r="C33" s="30">
        <v>6.98</v>
      </c>
      <c r="D33" s="30">
        <f>VLOOKUP(A33,'[55]Company Calc'!C:L,10,FALSE)</f>
        <v>-4.3348540015968558E-2</v>
      </c>
      <c r="E33" s="30">
        <f t="shared" si="0"/>
        <v>6.9366514599840317</v>
      </c>
      <c r="F33" s="30"/>
      <c r="G33" s="30"/>
    </row>
    <row r="34" spans="1:7">
      <c r="A34" t="s">
        <v>665</v>
      </c>
      <c r="B34" t="s">
        <v>666</v>
      </c>
      <c r="C34" s="30">
        <v>8.52</v>
      </c>
      <c r="D34" s="30">
        <f>VLOOKUP(A34,'[55]Company Calc'!C:L,10,FALSE)</f>
        <v>-4.3348540015968558E-2</v>
      </c>
      <c r="E34" s="30">
        <f t="shared" si="0"/>
        <v>8.4766514599840317</v>
      </c>
      <c r="F34" s="30"/>
      <c r="G34" s="30"/>
    </row>
    <row r="35" spans="1:7">
      <c r="E35" s="30"/>
      <c r="F35" s="30"/>
      <c r="G35" s="30"/>
    </row>
    <row r="36" spans="1:7">
      <c r="B36" s="15" t="s">
        <v>287</v>
      </c>
      <c r="E36" s="30"/>
      <c r="F36" s="30"/>
      <c r="G36" s="30"/>
    </row>
    <row r="37" spans="1:7">
      <c r="A37" t="s">
        <v>332</v>
      </c>
      <c r="B37" s="473" t="s">
        <v>288</v>
      </c>
      <c r="C37" s="474">
        <v>28.52</v>
      </c>
      <c r="D37" s="474">
        <f>VLOOKUP(A37,'[55]Company Calc'!C:L,10,FALSE)</f>
        <v>-0.15936963241164914</v>
      </c>
      <c r="E37" s="474">
        <f t="shared" si="0"/>
        <v>28.36063036758835</v>
      </c>
      <c r="F37" s="30"/>
      <c r="G37" s="30"/>
    </row>
    <row r="38" spans="1:7">
      <c r="A38" t="s">
        <v>332</v>
      </c>
      <c r="B38" s="473" t="s">
        <v>289</v>
      </c>
      <c r="C38" s="474">
        <v>28.52</v>
      </c>
      <c r="D38" s="474">
        <f>VLOOKUP(A38,'[55]Company Calc'!C:L,10,FALSE)</f>
        <v>-0.15936963241164914</v>
      </c>
      <c r="E38" s="474">
        <f t="shared" si="0"/>
        <v>28.36063036758835</v>
      </c>
      <c r="F38" s="30"/>
      <c r="G38" s="30"/>
    </row>
    <row r="39" spans="1:7">
      <c r="A39" t="s">
        <v>332</v>
      </c>
      <c r="B39" s="473" t="s">
        <v>290</v>
      </c>
      <c r="C39" s="474">
        <v>28.52</v>
      </c>
      <c r="D39" s="474">
        <f>VLOOKUP(A39,'[55]Company Calc'!C:L,10,FALSE)</f>
        <v>-0.15936963241164914</v>
      </c>
      <c r="E39" s="474">
        <f t="shared" si="0"/>
        <v>28.36063036758835</v>
      </c>
      <c r="F39" s="30"/>
      <c r="G39" s="30"/>
    </row>
    <row r="40" spans="1:7">
      <c r="B40" s="473"/>
      <c r="C40" s="473"/>
      <c r="D40" s="473"/>
      <c r="E40" s="474"/>
      <c r="F40" s="30"/>
      <c r="G40" s="30"/>
    </row>
    <row r="41" spans="1:7">
      <c r="B41" s="475" t="s">
        <v>291</v>
      </c>
      <c r="C41" s="473"/>
      <c r="D41" s="473"/>
      <c r="E41" s="474"/>
      <c r="F41" s="30"/>
      <c r="G41" s="30"/>
    </row>
    <row r="42" spans="1:7">
      <c r="A42" t="s">
        <v>116</v>
      </c>
      <c r="B42" s="473" t="s">
        <v>292</v>
      </c>
      <c r="C42" s="474">
        <v>28.52</v>
      </c>
      <c r="D42" s="474">
        <f>D39</f>
        <v>-0.15936963241164914</v>
      </c>
      <c r="E42" s="474">
        <f t="shared" si="0"/>
        <v>28.36063036758835</v>
      </c>
      <c r="F42" s="30"/>
      <c r="G42" s="30"/>
    </row>
    <row r="43" spans="1:7">
      <c r="B43" s="473"/>
      <c r="C43" s="473"/>
      <c r="D43" s="473"/>
      <c r="E43" s="474"/>
      <c r="F43" s="30"/>
      <c r="G43" s="30"/>
    </row>
    <row r="44" spans="1:7">
      <c r="B44" s="475" t="s">
        <v>293</v>
      </c>
      <c r="C44" s="473"/>
      <c r="D44" s="473"/>
      <c r="E44" s="474"/>
      <c r="F44" s="30"/>
      <c r="G44" s="30"/>
    </row>
    <row r="45" spans="1:7">
      <c r="B45" s="473" t="s">
        <v>294</v>
      </c>
      <c r="C45" s="474">
        <v>148.16999999999999</v>
      </c>
      <c r="D45" s="20">
        <f>[55]References!B58</f>
        <v>-3.1799999999999784</v>
      </c>
      <c r="E45" s="474">
        <f t="shared" si="0"/>
        <v>144.99</v>
      </c>
      <c r="F45" s="30"/>
      <c r="G45" s="30"/>
    </row>
    <row r="46" spans="1:7">
      <c r="B46" s="473"/>
      <c r="C46" s="473"/>
      <c r="D46" s="474"/>
      <c r="E46" s="474"/>
      <c r="F46" s="30"/>
      <c r="G46" s="30"/>
    </row>
    <row r="47" spans="1:7">
      <c r="B47" s="475" t="s">
        <v>295</v>
      </c>
      <c r="C47" s="473"/>
      <c r="D47" s="473"/>
      <c r="E47" s="474"/>
      <c r="F47" s="30"/>
      <c r="G47" s="30"/>
    </row>
    <row r="48" spans="1:7">
      <c r="A48" t="s">
        <v>119</v>
      </c>
      <c r="B48" s="473" t="s">
        <v>296</v>
      </c>
      <c r="C48" s="474">
        <v>21.85</v>
      </c>
      <c r="D48" s="474">
        <f>VLOOKUP(A48,'[55]Company Calc'!C:L,10,FALSE)</f>
        <v>-0.22311748537630879</v>
      </c>
      <c r="E48" s="474">
        <f t="shared" si="0"/>
        <v>21.626882514623691</v>
      </c>
      <c r="F48" s="30"/>
      <c r="G48" s="30"/>
    </row>
    <row r="49" spans="1:7">
      <c r="A49" t="s">
        <v>121</v>
      </c>
      <c r="B49" s="473" t="s">
        <v>297</v>
      </c>
      <c r="C49" s="474">
        <v>31.23</v>
      </c>
      <c r="D49" s="474">
        <f>VLOOKUP(A49,'[55]Company Calc'!C:L,10,FALSE)</f>
        <v>-0.31873926482329817</v>
      </c>
      <c r="E49" s="474">
        <f t="shared" si="0"/>
        <v>30.911260735176704</v>
      </c>
      <c r="F49" s="30"/>
      <c r="G49" s="30"/>
    </row>
    <row r="50" spans="1:7">
      <c r="A50" t="s">
        <v>123</v>
      </c>
      <c r="B50" s="473" t="s">
        <v>298</v>
      </c>
      <c r="C50" s="474">
        <v>43.11</v>
      </c>
      <c r="D50" s="474">
        <f>VLOOKUP(A50,'[55]Company Calc'!C:L,10,FALSE)</f>
        <v>-0.41308608721099449</v>
      </c>
      <c r="E50" s="474">
        <f t="shared" si="0"/>
        <v>42.696913912789007</v>
      </c>
      <c r="F50" s="30"/>
      <c r="G50" s="30"/>
    </row>
    <row r="51" spans="1:7">
      <c r="A51" t="s">
        <v>126</v>
      </c>
      <c r="B51" s="473" t="s">
        <v>299</v>
      </c>
      <c r="C51" s="474">
        <v>57.29</v>
      </c>
      <c r="D51" s="474">
        <f>VLOOKUP(A51,'[55]Company Calc'!C:L,10,FALSE)</f>
        <v>-0.60305468904568027</v>
      </c>
      <c r="E51" s="474">
        <f t="shared" si="0"/>
        <v>56.686945310954322</v>
      </c>
      <c r="F51" s="30"/>
      <c r="G51" s="30"/>
    </row>
    <row r="52" spans="1:7">
      <c r="A52" t="s">
        <v>127</v>
      </c>
      <c r="B52" s="473" t="s">
        <v>300</v>
      </c>
      <c r="C52" s="474">
        <v>78.27</v>
      </c>
      <c r="D52" s="474">
        <f>VLOOKUP(A52,'[55]Company Calc'!C:L,10,FALSE)</f>
        <v>-0.78154867734672739</v>
      </c>
      <c r="E52" s="474">
        <f t="shared" si="0"/>
        <v>77.488451322653262</v>
      </c>
      <c r="F52" s="30"/>
      <c r="G52" s="30"/>
    </row>
    <row r="53" spans="1:7">
      <c r="A53" t="s">
        <v>129</v>
      </c>
      <c r="B53" s="473" t="s">
        <v>301</v>
      </c>
      <c r="C53" s="474">
        <v>109.42</v>
      </c>
      <c r="D53" s="474">
        <f>VLOOKUP(A53,'[55]Company Calc'!C:L,10,FALSE)</f>
        <v>-1.0709639298062819</v>
      </c>
      <c r="E53" s="474">
        <f t="shared" si="0"/>
        <v>108.34903607019372</v>
      </c>
      <c r="F53" s="30"/>
      <c r="G53" s="30"/>
    </row>
    <row r="54" spans="1:7">
      <c r="A54" t="s">
        <v>130</v>
      </c>
      <c r="B54" s="473" t="s">
        <v>302</v>
      </c>
      <c r="C54" s="474">
        <v>146.63</v>
      </c>
      <c r="D54" s="474">
        <f>VLOOKUP(A54,'[55]Company Calc'!C:L,10,FALSE)</f>
        <v>-1.2494579181073293</v>
      </c>
      <c r="E54" s="474">
        <f t="shared" si="0"/>
        <v>145.38054208189266</v>
      </c>
      <c r="F54" s="30"/>
      <c r="G54" s="30"/>
    </row>
    <row r="55" spans="1:7">
      <c r="B55" s="473"/>
      <c r="C55" s="473"/>
      <c r="D55" s="473"/>
      <c r="E55" s="474"/>
      <c r="F55" s="30"/>
      <c r="G55" s="30"/>
    </row>
    <row r="56" spans="1:7">
      <c r="B56" s="473" t="s">
        <v>303</v>
      </c>
      <c r="C56" s="474">
        <v>24.85</v>
      </c>
      <c r="D56" s="474">
        <f>D48</f>
        <v>-0.22311748537630879</v>
      </c>
      <c r="E56" s="474">
        <f t="shared" si="0"/>
        <v>24.626882514623691</v>
      </c>
      <c r="F56" s="30"/>
      <c r="G56" s="30"/>
    </row>
    <row r="57" spans="1:7">
      <c r="B57" s="473" t="s">
        <v>304</v>
      </c>
      <c r="C57" s="474">
        <v>34.229999999999997</v>
      </c>
      <c r="D57" s="474">
        <f t="shared" ref="D57:D62" si="1">D49</f>
        <v>-0.31873926482329817</v>
      </c>
      <c r="E57" s="474">
        <f t="shared" si="0"/>
        <v>33.911260735176697</v>
      </c>
      <c r="F57" s="30"/>
      <c r="G57" s="30"/>
    </row>
    <row r="58" spans="1:7">
      <c r="B58" s="473" t="s">
        <v>305</v>
      </c>
      <c r="C58" s="474">
        <v>46.11</v>
      </c>
      <c r="D58" s="474">
        <f t="shared" si="1"/>
        <v>-0.41308608721099449</v>
      </c>
      <c r="E58" s="474">
        <f t="shared" si="0"/>
        <v>45.696913912789007</v>
      </c>
      <c r="F58" s="30"/>
      <c r="G58" s="30"/>
    </row>
    <row r="59" spans="1:7">
      <c r="B59" s="473" t="s">
        <v>306</v>
      </c>
      <c r="C59" s="474">
        <v>60.29</v>
      </c>
      <c r="D59" s="474">
        <f t="shared" si="1"/>
        <v>-0.60305468904568027</v>
      </c>
      <c r="E59" s="474">
        <f t="shared" si="0"/>
        <v>59.686945310954322</v>
      </c>
      <c r="F59" s="30"/>
      <c r="G59" s="30"/>
    </row>
    <row r="60" spans="1:7">
      <c r="B60" s="473" t="s">
        <v>307</v>
      </c>
      <c r="C60" s="474">
        <v>81.27</v>
      </c>
      <c r="D60" s="474">
        <f t="shared" si="1"/>
        <v>-0.78154867734672739</v>
      </c>
      <c r="E60" s="474">
        <f t="shared" si="0"/>
        <v>80.488451322653262</v>
      </c>
      <c r="F60" s="30"/>
      <c r="G60" s="30"/>
    </row>
    <row r="61" spans="1:7">
      <c r="B61" s="473" t="s">
        <v>308</v>
      </c>
      <c r="C61" s="474">
        <v>112.42</v>
      </c>
      <c r="D61" s="474">
        <f t="shared" si="1"/>
        <v>-1.0709639298062819</v>
      </c>
      <c r="E61" s="474">
        <f t="shared" si="0"/>
        <v>111.34903607019372</v>
      </c>
      <c r="F61" s="30"/>
      <c r="G61" s="30"/>
    </row>
    <row r="62" spans="1:7">
      <c r="B62" s="473" t="s">
        <v>309</v>
      </c>
      <c r="C62" s="474">
        <v>149.63</v>
      </c>
      <c r="D62" s="474">
        <f t="shared" si="1"/>
        <v>-1.2494579181073293</v>
      </c>
      <c r="E62" s="474">
        <f t="shared" si="0"/>
        <v>148.38054208189266</v>
      </c>
      <c r="F62" s="30"/>
      <c r="G62" s="30"/>
    </row>
    <row r="63" spans="1:7">
      <c r="B63" s="473"/>
      <c r="C63" s="473"/>
      <c r="D63" s="473"/>
      <c r="E63" s="474"/>
      <c r="F63" s="30"/>
      <c r="G63" s="30"/>
    </row>
    <row r="64" spans="1:7">
      <c r="B64" s="473" t="s">
        <v>310</v>
      </c>
      <c r="C64" s="474">
        <v>26.86</v>
      </c>
      <c r="D64" s="474">
        <f>D48</f>
        <v>-0.22311748537630879</v>
      </c>
      <c r="E64" s="474">
        <f t="shared" si="0"/>
        <v>26.636882514623689</v>
      </c>
      <c r="F64" s="30"/>
      <c r="G64" s="30"/>
    </row>
    <row r="65" spans="1:7">
      <c r="B65" s="473" t="s">
        <v>311</v>
      </c>
      <c r="C65" s="474">
        <v>31.23</v>
      </c>
      <c r="D65" s="474">
        <f t="shared" ref="D65:D68" si="2">D49</f>
        <v>-0.31873926482329817</v>
      </c>
      <c r="E65" s="474">
        <f t="shared" si="0"/>
        <v>30.911260735176704</v>
      </c>
      <c r="F65" s="30"/>
      <c r="G65" s="30"/>
    </row>
    <row r="66" spans="1:7">
      <c r="B66" s="473" t="s">
        <v>312</v>
      </c>
      <c r="C66" s="474">
        <v>40.659999999999997</v>
      </c>
      <c r="D66" s="474">
        <f t="shared" si="2"/>
        <v>-0.41308608721099449</v>
      </c>
      <c r="E66" s="474">
        <f t="shared" si="0"/>
        <v>40.246913912789005</v>
      </c>
      <c r="F66" s="30"/>
      <c r="G66" s="30"/>
    </row>
    <row r="67" spans="1:7">
      <c r="B67" s="473" t="s">
        <v>339</v>
      </c>
      <c r="C67" s="476">
        <v>57.29</v>
      </c>
      <c r="D67" s="474">
        <f t="shared" si="2"/>
        <v>-0.60305468904568027</v>
      </c>
      <c r="E67" s="474">
        <f t="shared" si="0"/>
        <v>56.686945310954322</v>
      </c>
      <c r="F67" s="30"/>
      <c r="G67" s="30"/>
    </row>
    <row r="68" spans="1:7">
      <c r="B68" s="473" t="s">
        <v>340</v>
      </c>
      <c r="C68" s="476">
        <v>78.27</v>
      </c>
      <c r="D68" s="474">
        <f t="shared" si="2"/>
        <v>-0.78154867734672739</v>
      </c>
      <c r="E68" s="474">
        <f t="shared" si="0"/>
        <v>77.488451322653262</v>
      </c>
      <c r="F68" s="30"/>
      <c r="G68" s="30"/>
    </row>
    <row r="69" spans="1:7">
      <c r="B69" s="473"/>
      <c r="C69" s="473"/>
      <c r="D69" s="473"/>
      <c r="E69" s="474"/>
      <c r="F69" s="30"/>
      <c r="G69" s="30"/>
    </row>
    <row r="70" spans="1:7">
      <c r="B70" s="475" t="s">
        <v>313</v>
      </c>
      <c r="C70" s="473"/>
      <c r="D70" s="473"/>
      <c r="E70" s="474"/>
      <c r="F70" s="30"/>
      <c r="G70" s="30"/>
    </row>
    <row r="71" spans="1:7">
      <c r="B71" s="473"/>
      <c r="C71" s="473"/>
      <c r="D71" s="473"/>
      <c r="E71" s="474"/>
      <c r="F71" s="30"/>
      <c r="G71" s="30"/>
    </row>
    <row r="72" spans="1:7">
      <c r="A72" t="s">
        <v>158</v>
      </c>
      <c r="B72" s="473" t="s">
        <v>314</v>
      </c>
      <c r="C72" s="474">
        <v>6.03</v>
      </c>
      <c r="D72" s="474">
        <f>VLOOKUP(A72,'[55]Company Calc'!C:L,10,FALSE)</f>
        <v>-4.7173411193848137E-2</v>
      </c>
      <c r="E72" s="474">
        <f t="shared" si="0"/>
        <v>5.9828265888061525</v>
      </c>
      <c r="F72" s="30"/>
      <c r="G72" s="30"/>
    </row>
    <row r="73" spans="1:7">
      <c r="A73" t="s">
        <v>330</v>
      </c>
      <c r="B73" s="473" t="s">
        <v>315</v>
      </c>
      <c r="C73" s="474">
        <v>8.0299999999999994</v>
      </c>
      <c r="D73" s="474">
        <f>D72</f>
        <v>-4.7173411193848137E-2</v>
      </c>
      <c r="E73" s="474">
        <f t="shared" si="0"/>
        <v>7.9828265888061516</v>
      </c>
      <c r="F73" s="30"/>
      <c r="G73" s="30"/>
    </row>
    <row r="74" spans="1:7">
      <c r="B74" s="473"/>
      <c r="C74" s="473"/>
      <c r="D74" s="473"/>
      <c r="E74" s="474"/>
      <c r="F74" s="30"/>
      <c r="G74" s="30"/>
    </row>
    <row r="75" spans="1:7">
      <c r="A75" t="s">
        <v>159</v>
      </c>
      <c r="B75" s="473" t="s">
        <v>166</v>
      </c>
      <c r="C75" s="474">
        <v>7.71</v>
      </c>
      <c r="D75" s="474">
        <f>VLOOKUP(A75,'[55]Company Calc'!C:L,10,FALSE)</f>
        <v>-5.9922981786780079E-2</v>
      </c>
      <c r="E75" s="474">
        <f t="shared" ref="E75:E111" si="3">C75+D75</f>
        <v>7.6500770182132198</v>
      </c>
      <c r="F75" s="30"/>
      <c r="G75" s="30"/>
    </row>
    <row r="76" spans="1:7">
      <c r="A76" t="s">
        <v>329</v>
      </c>
      <c r="B76" s="473" t="s">
        <v>316</v>
      </c>
      <c r="C76" s="474">
        <v>10.71</v>
      </c>
      <c r="D76" s="474">
        <f>D75</f>
        <v>-5.9922981786780079E-2</v>
      </c>
      <c r="E76" s="474">
        <f t="shared" si="3"/>
        <v>10.650077018213221</v>
      </c>
      <c r="F76" s="30"/>
      <c r="G76" s="30"/>
    </row>
    <row r="77" spans="1:7">
      <c r="B77" s="473"/>
      <c r="C77" s="473"/>
      <c r="D77" s="473"/>
      <c r="E77" s="474"/>
      <c r="F77" s="30"/>
      <c r="G77" s="30"/>
    </row>
    <row r="78" spans="1:7">
      <c r="A78" t="s">
        <v>667</v>
      </c>
      <c r="B78" s="473" t="s">
        <v>317</v>
      </c>
      <c r="C78" s="474">
        <v>10.029999999999999</v>
      </c>
      <c r="D78" s="474">
        <f>VLOOKUP(A78,'[55]Company Calc'!C:L,10,FALSE)</f>
        <v>-8.6697080031937115E-2</v>
      </c>
      <c r="E78" s="474">
        <f t="shared" si="3"/>
        <v>9.9433029199680618</v>
      </c>
      <c r="F78" s="30"/>
      <c r="G78" s="30"/>
    </row>
    <row r="79" spans="1:7">
      <c r="A79" t="s">
        <v>331</v>
      </c>
      <c r="B79" s="473" t="s">
        <v>318</v>
      </c>
      <c r="C79" s="474">
        <v>13.03</v>
      </c>
      <c r="D79" s="474">
        <f>D78</f>
        <v>-8.6697080031937115E-2</v>
      </c>
      <c r="E79" s="474">
        <f t="shared" si="3"/>
        <v>12.943302919968062</v>
      </c>
      <c r="F79" s="30"/>
      <c r="G79" s="30"/>
    </row>
    <row r="80" spans="1:7">
      <c r="B80" s="473"/>
      <c r="C80" s="474"/>
      <c r="D80" s="474"/>
      <c r="E80" s="474"/>
      <c r="F80" s="30"/>
      <c r="G80" s="30"/>
    </row>
    <row r="81" spans="1:7">
      <c r="B81" s="473" t="s">
        <v>343</v>
      </c>
      <c r="C81" s="474">
        <v>28.52</v>
      </c>
      <c r="D81" s="474">
        <f>D37</f>
        <v>-0.15936963241164914</v>
      </c>
      <c r="E81" s="474">
        <f t="shared" si="3"/>
        <v>28.36063036758835</v>
      </c>
      <c r="F81" s="30"/>
      <c r="G81" s="30"/>
    </row>
    <row r="82" spans="1:7">
      <c r="B82" s="473"/>
      <c r="C82" s="474"/>
      <c r="D82" s="474"/>
      <c r="E82" s="474"/>
      <c r="F82" s="30"/>
      <c r="G82" s="30"/>
    </row>
    <row r="83" spans="1:7">
      <c r="A83" t="s">
        <v>325</v>
      </c>
      <c r="B83" s="473" t="s">
        <v>337</v>
      </c>
      <c r="C83" s="474">
        <v>6.65</v>
      </c>
      <c r="D83" s="474">
        <f>VLOOKUP(A83,'[55]Company Calc'!C:L,10,FALSE)</f>
        <v>-0.15936963241164914</v>
      </c>
      <c r="E83" s="474">
        <f t="shared" si="3"/>
        <v>6.4906303675883512</v>
      </c>
      <c r="F83" s="30"/>
      <c r="G83" s="30"/>
    </row>
    <row r="84" spans="1:7">
      <c r="B84" s="473"/>
      <c r="C84" s="474"/>
      <c r="D84" s="473"/>
      <c r="E84" s="474"/>
      <c r="F84" s="30"/>
      <c r="G84" s="30"/>
    </row>
    <row r="85" spans="1:7">
      <c r="B85" s="473" t="s">
        <v>319</v>
      </c>
      <c r="C85" s="474">
        <v>26.1</v>
      </c>
      <c r="D85" s="474">
        <f>D72*[55]References!B12</f>
        <v>-0.20441811517334191</v>
      </c>
      <c r="E85" s="474">
        <f t="shared" si="3"/>
        <v>25.895581884826658</v>
      </c>
      <c r="F85" s="30"/>
      <c r="G85" s="30"/>
    </row>
    <row r="86" spans="1:7">
      <c r="B86" s="473" t="s">
        <v>320</v>
      </c>
      <c r="C86" s="474">
        <v>33.409999999999997</v>
      </c>
      <c r="D86" s="474">
        <f>D75*[55]References!B12</f>
        <v>-0.25966625440938035</v>
      </c>
      <c r="E86" s="474">
        <f t="shared" si="3"/>
        <v>33.150333745590615</v>
      </c>
      <c r="F86" s="30"/>
      <c r="G86" s="30"/>
    </row>
    <row r="87" spans="1:7">
      <c r="B87" s="473" t="s">
        <v>321</v>
      </c>
      <c r="C87" s="474">
        <v>43.46</v>
      </c>
      <c r="D87" s="474">
        <f>D78*[55]References!B12</f>
        <v>-0.37568734680506083</v>
      </c>
      <c r="E87" s="474">
        <f t="shared" si="3"/>
        <v>43.084312653194942</v>
      </c>
      <c r="F87" s="30"/>
      <c r="G87" s="30"/>
    </row>
    <row r="88" spans="1:7">
      <c r="B88" s="473"/>
      <c r="C88" s="474"/>
      <c r="D88" s="473"/>
      <c r="E88" s="474"/>
      <c r="F88" s="30"/>
      <c r="G88" s="30"/>
    </row>
    <row r="89" spans="1:7">
      <c r="B89" s="475" t="s">
        <v>322</v>
      </c>
      <c r="C89" s="473"/>
      <c r="D89" s="473"/>
      <c r="E89" s="474"/>
      <c r="F89" s="30"/>
      <c r="G89" s="30"/>
    </row>
    <row r="90" spans="1:7">
      <c r="B90" s="473" t="s">
        <v>668</v>
      </c>
      <c r="C90" s="474">
        <v>5.34</v>
      </c>
      <c r="D90" s="474">
        <f>'[55]Company Calc'!L75</f>
        <v>-3.6973754719502601E-2</v>
      </c>
      <c r="E90" s="474">
        <f t="shared" si="3"/>
        <v>5.3030262452804973</v>
      </c>
      <c r="F90" s="30"/>
      <c r="G90" s="30"/>
    </row>
    <row r="91" spans="1:7">
      <c r="B91" s="473" t="s">
        <v>669</v>
      </c>
      <c r="C91" s="474">
        <v>7.34</v>
      </c>
      <c r="D91" s="474">
        <f>D90</f>
        <v>-3.6973754719502601E-2</v>
      </c>
      <c r="E91" s="474">
        <f t="shared" si="3"/>
        <v>7.3030262452804973</v>
      </c>
      <c r="F91" s="30"/>
      <c r="G91" s="30"/>
    </row>
    <row r="92" spans="1:7">
      <c r="B92" s="473"/>
      <c r="C92" s="473"/>
      <c r="D92" s="473"/>
      <c r="E92" s="474"/>
      <c r="F92" s="30"/>
      <c r="G92" s="30"/>
    </row>
    <row r="93" spans="1:7">
      <c r="B93" s="473" t="s">
        <v>298</v>
      </c>
      <c r="C93" s="474">
        <v>43.11</v>
      </c>
      <c r="D93" s="474">
        <f>D50</f>
        <v>-0.41308608721099449</v>
      </c>
      <c r="E93" s="474">
        <f t="shared" si="3"/>
        <v>42.696913912789007</v>
      </c>
      <c r="F93" s="30"/>
      <c r="G93" s="30"/>
    </row>
    <row r="94" spans="1:7">
      <c r="B94" s="473" t="s">
        <v>299</v>
      </c>
      <c r="C94" s="474">
        <v>57.29</v>
      </c>
      <c r="D94" s="474">
        <f>D51</f>
        <v>-0.60305468904568027</v>
      </c>
      <c r="E94" s="474">
        <f t="shared" si="3"/>
        <v>56.686945310954322</v>
      </c>
      <c r="F94" s="30"/>
      <c r="G94" s="30"/>
    </row>
    <row r="95" spans="1:7">
      <c r="B95" s="473" t="s">
        <v>300</v>
      </c>
      <c r="C95" s="474">
        <v>78.27</v>
      </c>
      <c r="D95" s="474">
        <f>D52</f>
        <v>-0.78154867734672739</v>
      </c>
      <c r="E95" s="474">
        <f t="shared" si="3"/>
        <v>77.488451322653262</v>
      </c>
      <c r="F95" s="30"/>
      <c r="G95" s="30"/>
    </row>
    <row r="96" spans="1:7">
      <c r="B96" s="473" t="s">
        <v>323</v>
      </c>
      <c r="C96" s="474">
        <v>109.41</v>
      </c>
      <c r="D96" s="474">
        <f>D53</f>
        <v>-1.0709639298062819</v>
      </c>
      <c r="E96" s="474">
        <f t="shared" si="3"/>
        <v>108.33903607019371</v>
      </c>
      <c r="F96" s="30"/>
      <c r="G96" s="30"/>
    </row>
    <row r="97" spans="2:7">
      <c r="B97" s="473"/>
      <c r="C97" s="473"/>
      <c r="D97" s="473"/>
      <c r="E97" s="474"/>
      <c r="F97" s="30"/>
      <c r="G97" s="30"/>
    </row>
    <row r="98" spans="2:7">
      <c r="B98" s="473" t="s">
        <v>305</v>
      </c>
      <c r="C98" s="474">
        <v>46.11</v>
      </c>
      <c r="D98" s="474">
        <f>D50</f>
        <v>-0.41308608721099449</v>
      </c>
      <c r="E98" s="474">
        <f t="shared" si="3"/>
        <v>45.696913912789007</v>
      </c>
      <c r="F98" s="30"/>
      <c r="G98" s="30"/>
    </row>
    <row r="99" spans="2:7">
      <c r="B99" s="473" t="s">
        <v>306</v>
      </c>
      <c r="C99" s="474">
        <v>60.29</v>
      </c>
      <c r="D99" s="474">
        <f t="shared" ref="D99:D101" si="4">D51</f>
        <v>-0.60305468904568027</v>
      </c>
      <c r="E99" s="474">
        <f t="shared" si="3"/>
        <v>59.686945310954322</v>
      </c>
      <c r="F99" s="30"/>
      <c r="G99" s="30"/>
    </row>
    <row r="100" spans="2:7">
      <c r="B100" s="473" t="s">
        <v>307</v>
      </c>
      <c r="C100" s="474">
        <v>81.27</v>
      </c>
      <c r="D100" s="474">
        <f t="shared" si="4"/>
        <v>-0.78154867734672739</v>
      </c>
      <c r="E100" s="474">
        <f t="shared" si="3"/>
        <v>80.488451322653262</v>
      </c>
      <c r="F100" s="30"/>
      <c r="G100" s="30"/>
    </row>
    <row r="101" spans="2:7">
      <c r="B101" s="473" t="s">
        <v>336</v>
      </c>
      <c r="C101" s="474">
        <v>112.41</v>
      </c>
      <c r="D101" s="474">
        <f t="shared" si="4"/>
        <v>-1.0709639298062819</v>
      </c>
      <c r="E101" s="474">
        <f t="shared" si="3"/>
        <v>111.33903607019371</v>
      </c>
      <c r="F101" s="30"/>
      <c r="G101" s="30"/>
    </row>
    <row r="102" spans="2:7">
      <c r="B102" s="473"/>
      <c r="C102" s="473"/>
      <c r="D102" s="473"/>
      <c r="E102" s="474"/>
      <c r="F102" s="30"/>
      <c r="G102" s="30"/>
    </row>
    <row r="103" spans="2:7">
      <c r="B103" s="473" t="s">
        <v>324</v>
      </c>
      <c r="C103" s="474">
        <v>28.52</v>
      </c>
      <c r="D103" s="474">
        <f>D42</f>
        <v>-0.15936963241164914</v>
      </c>
      <c r="E103" s="474">
        <f t="shared" si="3"/>
        <v>28.36063036758835</v>
      </c>
      <c r="F103" s="30"/>
      <c r="G103" s="30"/>
    </row>
    <row r="104" spans="2:7">
      <c r="B104" s="473"/>
      <c r="C104" s="473"/>
      <c r="D104" s="473"/>
      <c r="E104" s="474"/>
      <c r="F104" s="30"/>
      <c r="G104" s="30"/>
    </row>
    <row r="105" spans="2:7">
      <c r="B105" s="473" t="s">
        <v>325</v>
      </c>
      <c r="C105" s="474">
        <v>6.96</v>
      </c>
      <c r="D105" s="474">
        <f>D90</f>
        <v>-3.6973754719502601E-2</v>
      </c>
      <c r="E105" s="474">
        <f t="shared" si="3"/>
        <v>6.9230262452804974</v>
      </c>
      <c r="F105" s="30"/>
      <c r="G105" s="30"/>
    </row>
    <row r="106" spans="2:7">
      <c r="B106" s="473"/>
      <c r="C106" s="473"/>
      <c r="D106" s="473"/>
      <c r="E106" s="474"/>
      <c r="F106" s="30"/>
      <c r="G106" s="30"/>
    </row>
    <row r="107" spans="2:7">
      <c r="B107" s="473" t="s">
        <v>670</v>
      </c>
      <c r="C107" s="474">
        <v>23.11</v>
      </c>
      <c r="D107" s="474">
        <f>D90*[55]References!B12</f>
        <v>-0.16021960378451125</v>
      </c>
      <c r="E107" s="474">
        <f t="shared" si="3"/>
        <v>22.949780396215488</v>
      </c>
      <c r="F107" s="30"/>
      <c r="G107" s="30"/>
    </row>
    <row r="108" spans="2:7">
      <c r="B108" s="473"/>
      <c r="C108" s="473"/>
      <c r="D108" s="473"/>
      <c r="E108" s="474"/>
      <c r="F108" s="30"/>
      <c r="G108" s="30"/>
    </row>
    <row r="109" spans="2:7">
      <c r="B109" s="475" t="s">
        <v>326</v>
      </c>
      <c r="C109" s="473"/>
      <c r="D109" s="473"/>
      <c r="E109" s="474"/>
      <c r="F109" s="30"/>
      <c r="G109" s="30"/>
    </row>
    <row r="110" spans="2:7">
      <c r="B110" s="473" t="s">
        <v>300</v>
      </c>
      <c r="C110" s="474">
        <v>161.72</v>
      </c>
      <c r="D110" s="474">
        <f>'[55]Company Calc'!$L$104</f>
        <v>-2.1495776019683235</v>
      </c>
      <c r="E110" s="474">
        <f t="shared" si="3"/>
        <v>159.57042239803167</v>
      </c>
      <c r="F110" s="30"/>
      <c r="G110" s="30"/>
    </row>
    <row r="111" spans="2:7">
      <c r="B111" s="473" t="s">
        <v>307</v>
      </c>
      <c r="C111" s="474">
        <v>166.72</v>
      </c>
      <c r="D111" s="474">
        <f>D110</f>
        <v>-2.1495776019683235</v>
      </c>
      <c r="E111" s="474">
        <f t="shared" si="3"/>
        <v>164.57042239803167</v>
      </c>
      <c r="F111" s="30"/>
      <c r="G111" s="30"/>
    </row>
    <row r="114" spans="4:4">
      <c r="D114" s="30"/>
    </row>
  </sheetData>
  <pageMargins left="0.7" right="0.7" top="0.75" bottom="0.75" header="0.3" footer="0.3"/>
  <pageSetup scale="71" fitToHeight="2" orientation="portrait" r:id="rId1"/>
  <headerFooter>
    <oddFooter>&amp;L&amp;F - &amp;A&amp;R&amp;P of &amp;N</oddFooter>
  </headerFooter>
  <rowBreaks count="2" manualBreakCount="2">
    <brk id="43" max="16383" man="1"/>
    <brk id="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263E1-D826-4D4B-A83B-DEC66FCA0C76}">
  <sheetPr>
    <tabColor theme="4" tint="0.59999389629810485"/>
  </sheetPr>
  <dimension ref="A1:BU697"/>
  <sheetViews>
    <sheetView tabSelected="1" topLeftCell="B91" workbookViewId="0">
      <selection activeCell="I16" sqref="I16"/>
    </sheetView>
  </sheetViews>
  <sheetFormatPr defaultColWidth="9.140625" defaultRowHeight="12.75" outlineLevelCol="1"/>
  <cols>
    <col min="1" max="1" width="22.140625" style="101" hidden="1" customWidth="1" outlineLevel="1"/>
    <col min="2" max="2" width="22.7109375" style="101" customWidth="1" collapsed="1"/>
    <col min="3" max="3" width="30.7109375" style="101" customWidth="1"/>
    <col min="4" max="4" width="11.5703125" style="215" bestFit="1" customWidth="1"/>
    <col min="5" max="5" width="11.28515625" style="215" customWidth="1"/>
    <col min="6" max="6" width="2" style="101" customWidth="1"/>
    <col min="7" max="18" width="12.140625" style="101" hidden="1" customWidth="1" outlineLevel="1"/>
    <col min="19" max="19" width="13.5703125" style="101" bestFit="1" customWidth="1" collapsed="1"/>
    <col min="20" max="20" width="8.7109375" style="101" customWidth="1"/>
    <col min="21" max="21" width="2.42578125" style="101" customWidth="1"/>
    <col min="22" max="28" width="10.85546875" style="101" hidden="1" customWidth="1" outlineLevel="1"/>
    <col min="29" max="29" width="10" style="101" hidden="1" customWidth="1" outlineLevel="1"/>
    <col min="30" max="33" width="10.140625" style="101" hidden="1" customWidth="1" outlineLevel="1"/>
    <col min="34" max="34" width="10.85546875" style="104" bestFit="1" customWidth="1" collapsed="1"/>
    <col min="35" max="35" width="9.42578125" style="103" bestFit="1" customWidth="1"/>
    <col min="36" max="36" width="11.42578125" style="101" customWidth="1"/>
    <col min="37" max="37" width="11" style="102" hidden="1" customWidth="1" outlineLevel="1"/>
    <col min="38" max="38" width="17.7109375" style="101" hidden="1" customWidth="1" outlineLevel="1"/>
    <col min="39" max="40" width="9.140625" style="101" hidden="1" customWidth="1" outlineLevel="1"/>
    <col min="41" max="41" width="9.85546875" style="101" hidden="1" customWidth="1" outlineLevel="1"/>
    <col min="42" max="43" width="9.140625" style="101" hidden="1" customWidth="1" outlineLevel="1"/>
    <col min="44" max="44" width="13.5703125" style="101" bestFit="1" customWidth="1" collapsed="1"/>
    <col min="45" max="45" width="11.42578125" style="101" customWidth="1"/>
    <col min="46" max="46" width="18.5703125" style="101" bestFit="1" customWidth="1"/>
    <col min="47" max="47" width="30" style="101" bestFit="1" customWidth="1"/>
    <col min="48" max="48" width="22" style="101" bestFit="1" customWidth="1"/>
    <col min="49" max="49" width="12.85546875" style="101" bestFit="1" customWidth="1"/>
    <col min="50" max="50" width="16" style="101" bestFit="1" customWidth="1"/>
    <col min="51" max="51" width="30.28515625" style="101" bestFit="1" customWidth="1"/>
    <col min="52" max="53" width="13.85546875" style="101" bestFit="1" customWidth="1"/>
    <col min="54" max="16384" width="9.140625" style="101"/>
  </cols>
  <sheetData>
    <row r="1" spans="1:61" ht="12" customHeight="1">
      <c r="B1" s="175" t="s">
        <v>538</v>
      </c>
      <c r="C1" s="107"/>
      <c r="D1" s="241"/>
      <c r="E1" s="241"/>
      <c r="F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1"/>
      <c r="AW1" s="256"/>
      <c r="AX1" s="255" t="s">
        <v>573</v>
      </c>
      <c r="AY1" s="255" t="s">
        <v>572</v>
      </c>
      <c r="AZ1" s="255" t="s">
        <v>571</v>
      </c>
      <c r="BA1" s="255" t="s">
        <v>570</v>
      </c>
    </row>
    <row r="2" spans="1:61" ht="12" customHeight="1">
      <c r="B2" s="175" t="s">
        <v>344</v>
      </c>
      <c r="C2" s="107"/>
      <c r="D2" s="241"/>
      <c r="E2" s="241"/>
      <c r="F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1"/>
      <c r="AW2" s="254" t="s">
        <v>569</v>
      </c>
      <c r="AX2" s="252">
        <f>+'[52]LG Public - Clallam Total'!K22</f>
        <v>0.10263591605601019</v>
      </c>
      <c r="AY2" s="253">
        <v>5.2729999999999999E-3</v>
      </c>
      <c r="AZ2" s="252">
        <f>AX2+AY2</f>
        <v>0.10790891605601019</v>
      </c>
      <c r="BA2" s="143">
        <f ca="1">+'[52]LG Public - Clallam Total'!J20-AV197</f>
        <v>-24673.743190518231</v>
      </c>
    </row>
    <row r="3" spans="1:61" ht="12" customHeight="1">
      <c r="B3" s="175" t="s">
        <v>537</v>
      </c>
      <c r="C3" s="107"/>
      <c r="D3" s="248"/>
      <c r="E3" s="248"/>
      <c r="F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1"/>
      <c r="AW3" s="254"/>
      <c r="AX3" s="252"/>
      <c r="AY3" s="253"/>
      <c r="AZ3" s="252"/>
      <c r="BA3" s="143"/>
    </row>
    <row r="4" spans="1:61" ht="12" customHeight="1">
      <c r="B4" s="174" t="s">
        <v>536</v>
      </c>
      <c r="C4" s="107"/>
      <c r="D4" s="248"/>
      <c r="E4" s="248"/>
      <c r="F4" s="107"/>
      <c r="G4" s="107"/>
      <c r="H4" s="107"/>
      <c r="I4" s="107"/>
      <c r="J4" s="173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1"/>
      <c r="AL4" s="172" t="s">
        <v>535</v>
      </c>
      <c r="AM4" s="171"/>
      <c r="AN4" s="172" t="s">
        <v>534</v>
      </c>
      <c r="AO4" s="171"/>
      <c r="AP4" s="172" t="s">
        <v>533</v>
      </c>
      <c r="AQ4" s="171"/>
    </row>
    <row r="5" spans="1:61" ht="12" customHeight="1">
      <c r="B5" s="107"/>
      <c r="C5" s="165"/>
      <c r="D5" s="214" t="s">
        <v>164</v>
      </c>
      <c r="E5" s="214" t="s">
        <v>532</v>
      </c>
      <c r="F5" s="107"/>
      <c r="G5" s="170">
        <v>44774</v>
      </c>
      <c r="H5" s="170">
        <f t="shared" ref="H5:R5" si="0">+G5+31</f>
        <v>44805</v>
      </c>
      <c r="I5" s="170">
        <f t="shared" si="0"/>
        <v>44836</v>
      </c>
      <c r="J5" s="170">
        <f t="shared" si="0"/>
        <v>44867</v>
      </c>
      <c r="K5" s="170">
        <f t="shared" si="0"/>
        <v>44898</v>
      </c>
      <c r="L5" s="170">
        <f t="shared" si="0"/>
        <v>44929</v>
      </c>
      <c r="M5" s="170">
        <f t="shared" si="0"/>
        <v>44960</v>
      </c>
      <c r="N5" s="170">
        <f t="shared" si="0"/>
        <v>44991</v>
      </c>
      <c r="O5" s="170">
        <f t="shared" si="0"/>
        <v>45022</v>
      </c>
      <c r="P5" s="170">
        <f t="shared" si="0"/>
        <v>45053</v>
      </c>
      <c r="Q5" s="170">
        <f t="shared" si="0"/>
        <v>45084</v>
      </c>
      <c r="R5" s="170">
        <f t="shared" si="0"/>
        <v>45115</v>
      </c>
      <c r="S5" s="170" t="s">
        <v>15</v>
      </c>
      <c r="T5" s="107"/>
      <c r="U5" s="107"/>
      <c r="V5" s="169">
        <f t="shared" ref="V5:AG5" si="1">+G5</f>
        <v>44774</v>
      </c>
      <c r="W5" s="169">
        <f t="shared" si="1"/>
        <v>44805</v>
      </c>
      <c r="X5" s="169">
        <f t="shared" si="1"/>
        <v>44836</v>
      </c>
      <c r="Y5" s="169">
        <f t="shared" si="1"/>
        <v>44867</v>
      </c>
      <c r="Z5" s="169">
        <f t="shared" si="1"/>
        <v>44898</v>
      </c>
      <c r="AA5" s="169">
        <f t="shared" si="1"/>
        <v>44929</v>
      </c>
      <c r="AB5" s="169">
        <f t="shared" si="1"/>
        <v>44960</v>
      </c>
      <c r="AC5" s="169">
        <f t="shared" si="1"/>
        <v>44991</v>
      </c>
      <c r="AD5" s="169">
        <f t="shared" si="1"/>
        <v>45022</v>
      </c>
      <c r="AE5" s="169">
        <f t="shared" si="1"/>
        <v>45053</v>
      </c>
      <c r="AF5" s="169">
        <f t="shared" si="1"/>
        <v>45084</v>
      </c>
      <c r="AG5" s="169">
        <f t="shared" si="1"/>
        <v>45115</v>
      </c>
      <c r="AH5" s="169" t="s">
        <v>531</v>
      </c>
      <c r="AL5" s="168" t="s">
        <v>530</v>
      </c>
      <c r="AM5" s="167" t="s">
        <v>529</v>
      </c>
      <c r="AN5" s="168" t="s">
        <v>530</v>
      </c>
      <c r="AO5" s="167" t="s">
        <v>529</v>
      </c>
      <c r="AP5" s="168" t="s">
        <v>530</v>
      </c>
      <c r="AQ5" s="167" t="s">
        <v>529</v>
      </c>
      <c r="AY5" s="101" t="s">
        <v>568</v>
      </c>
      <c r="BB5"/>
      <c r="BC5"/>
      <c r="BD5"/>
      <c r="BE5"/>
      <c r="BF5"/>
      <c r="BG5"/>
      <c r="BH5"/>
      <c r="BI5"/>
    </row>
    <row r="6" spans="1:61" ht="39">
      <c r="B6" s="166" t="s">
        <v>99</v>
      </c>
      <c r="C6" s="165" t="s">
        <v>100</v>
      </c>
      <c r="D6" s="213" t="s">
        <v>528</v>
      </c>
      <c r="E6" s="213" t="s">
        <v>527</v>
      </c>
      <c r="F6" s="165"/>
      <c r="G6" s="164" t="s">
        <v>87</v>
      </c>
      <c r="H6" s="164" t="s">
        <v>87</v>
      </c>
      <c r="I6" s="164" t="s">
        <v>87</v>
      </c>
      <c r="J6" s="164" t="s">
        <v>87</v>
      </c>
      <c r="K6" s="164" t="s">
        <v>87</v>
      </c>
      <c r="L6" s="164" t="s">
        <v>87</v>
      </c>
      <c r="M6" s="164" t="s">
        <v>87</v>
      </c>
      <c r="N6" s="164" t="s">
        <v>87</v>
      </c>
      <c r="O6" s="164" t="s">
        <v>87</v>
      </c>
      <c r="P6" s="164" t="s">
        <v>87</v>
      </c>
      <c r="Q6" s="164" t="s">
        <v>87</v>
      </c>
      <c r="R6" s="164" t="s">
        <v>87</v>
      </c>
      <c r="S6" s="164" t="s">
        <v>87</v>
      </c>
      <c r="T6" s="107"/>
      <c r="U6" s="107"/>
      <c r="V6" s="163" t="s">
        <v>88</v>
      </c>
      <c r="W6" s="163" t="s">
        <v>88</v>
      </c>
      <c r="X6" s="163" t="s">
        <v>88</v>
      </c>
      <c r="Y6" s="163" t="s">
        <v>88</v>
      </c>
      <c r="Z6" s="163" t="s">
        <v>88</v>
      </c>
      <c r="AA6" s="163" t="s">
        <v>88</v>
      </c>
      <c r="AB6" s="163" t="s">
        <v>88</v>
      </c>
      <c r="AC6" s="163" t="s">
        <v>88</v>
      </c>
      <c r="AD6" s="163" t="s">
        <v>88</v>
      </c>
      <c r="AE6" s="163" t="s">
        <v>88</v>
      </c>
      <c r="AF6" s="163" t="s">
        <v>88</v>
      </c>
      <c r="AG6" s="163" t="s">
        <v>88</v>
      </c>
      <c r="AH6" s="163" t="s">
        <v>526</v>
      </c>
      <c r="AS6" s="251" t="s">
        <v>567</v>
      </c>
      <c r="AT6" s="251" t="s">
        <v>566</v>
      </c>
      <c r="AU6" s="250" t="s">
        <v>557</v>
      </c>
      <c r="AV6" s="250" t="s">
        <v>565</v>
      </c>
      <c r="BB6"/>
      <c r="BC6"/>
      <c r="BD6"/>
      <c r="BE6"/>
      <c r="BF6"/>
      <c r="BG6"/>
      <c r="BH6"/>
      <c r="BI6"/>
    </row>
    <row r="7" spans="1:61" ht="12" customHeight="1" thickBot="1">
      <c r="D7" s="249"/>
      <c r="E7" s="249"/>
      <c r="AH7" s="160"/>
      <c r="AK7" s="119"/>
      <c r="AL7" s="107"/>
      <c r="AM7" s="107"/>
      <c r="AN7" s="107"/>
      <c r="AO7" s="107"/>
      <c r="AP7" s="107"/>
      <c r="AQ7" s="107"/>
      <c r="AR7" s="107"/>
      <c r="AY7" s="175" t="s">
        <v>564</v>
      </c>
      <c r="BB7"/>
      <c r="BC7"/>
      <c r="BD7"/>
      <c r="BE7"/>
      <c r="BF7"/>
      <c r="BG7"/>
      <c r="BH7"/>
      <c r="BI7"/>
    </row>
    <row r="8" spans="1:61" s="107" customFormat="1" ht="12" customHeight="1">
      <c r="D8" s="248"/>
      <c r="E8" s="248"/>
      <c r="AH8" s="160"/>
      <c r="AI8" s="118"/>
      <c r="AK8" s="119"/>
      <c r="AT8" s="101"/>
      <c r="AU8" s="101"/>
      <c r="AV8" s="101"/>
      <c r="AW8" s="101"/>
      <c r="AX8" s="101"/>
      <c r="AY8" s="247" t="s">
        <v>563</v>
      </c>
      <c r="AZ8" s="246">
        <f ca="1">+AU197</f>
        <v>7780554.959045101</v>
      </c>
      <c r="BA8" s="101"/>
      <c r="BB8"/>
      <c r="BC8"/>
      <c r="BD8"/>
      <c r="BE8"/>
      <c r="BF8"/>
      <c r="BG8"/>
      <c r="BH8"/>
      <c r="BI8"/>
    </row>
    <row r="9" spans="1:61" s="107" customFormat="1" ht="12" customHeight="1">
      <c r="D9" s="241"/>
      <c r="E9" s="241"/>
      <c r="F9" s="161"/>
      <c r="G9" s="161"/>
      <c r="AH9" s="160"/>
      <c r="AI9" s="118"/>
      <c r="AK9" s="119"/>
      <c r="AT9" s="101"/>
      <c r="AU9" s="101"/>
      <c r="AV9" s="101"/>
      <c r="AW9" s="101"/>
      <c r="AX9" s="101"/>
      <c r="AY9" s="245" t="s">
        <v>562</v>
      </c>
      <c r="AZ9" s="244">
        <f>+'[52]LG Public - Clallam Total'!J21</f>
        <v>7781597.7610626342</v>
      </c>
      <c r="BA9" s="101"/>
      <c r="BB9"/>
      <c r="BC9"/>
      <c r="BD9"/>
      <c r="BE9"/>
      <c r="BF9"/>
      <c r="BG9"/>
      <c r="BH9"/>
      <c r="BI9"/>
    </row>
    <row r="10" spans="1:61" s="107" customFormat="1" ht="12" customHeight="1" thickBot="1">
      <c r="B10" s="162" t="s">
        <v>355</v>
      </c>
      <c r="C10" s="162" t="s">
        <v>355</v>
      </c>
      <c r="D10" s="241"/>
      <c r="E10" s="241"/>
      <c r="F10" s="161"/>
      <c r="G10" s="161"/>
      <c r="AH10" s="160"/>
      <c r="AI10" s="118"/>
      <c r="AK10" s="119"/>
      <c r="AN10" s="156"/>
      <c r="AO10" s="156"/>
      <c r="AT10" s="101"/>
      <c r="AU10" s="101"/>
      <c r="AV10" s="101"/>
      <c r="AW10" s="101"/>
      <c r="AX10" s="101"/>
      <c r="AY10" s="243" t="s">
        <v>561</v>
      </c>
      <c r="AZ10" s="242">
        <f ca="1">+AZ8-AZ9</f>
        <v>-1042.8020175332204</v>
      </c>
      <c r="BA10" s="101"/>
      <c r="BB10"/>
      <c r="BC10"/>
      <c r="BD10"/>
      <c r="BE10"/>
      <c r="BF10"/>
      <c r="BG10"/>
      <c r="BH10"/>
      <c r="BI10"/>
    </row>
    <row r="11" spans="1:61" s="107" customFormat="1" ht="12" customHeight="1">
      <c r="B11" s="162"/>
      <c r="C11" s="162"/>
      <c r="D11" s="241"/>
      <c r="E11" s="241"/>
      <c r="F11" s="161"/>
      <c r="G11" s="161"/>
      <c r="AH11" s="160"/>
      <c r="AI11" s="118"/>
      <c r="AK11" s="119"/>
      <c r="AN11" s="15"/>
      <c r="AO11" s="136"/>
      <c r="AT11" s="101"/>
      <c r="AU11" s="101"/>
      <c r="AV11" s="101"/>
      <c r="AW11" s="101"/>
      <c r="AX11" s="101"/>
      <c r="AY11" s="101"/>
      <c r="AZ11" s="101"/>
      <c r="BA11" s="101"/>
      <c r="BB11"/>
      <c r="BC11"/>
      <c r="BD11"/>
      <c r="BE11"/>
      <c r="BF11"/>
      <c r="BG11"/>
      <c r="BH11"/>
      <c r="BI11"/>
    </row>
    <row r="12" spans="1:61" s="107" customFormat="1" ht="12" customHeight="1">
      <c r="B12" s="159" t="s">
        <v>525</v>
      </c>
      <c r="C12" s="159" t="s">
        <v>525</v>
      </c>
      <c r="D12" s="240"/>
      <c r="E12" s="240"/>
      <c r="F12" s="158"/>
      <c r="G12" s="157"/>
      <c r="H12" s="157"/>
      <c r="I12" s="157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23"/>
      <c r="AI12" s="118"/>
      <c r="AK12" s="119"/>
      <c r="AN12" s="15"/>
      <c r="AO12" s="136"/>
      <c r="AR12" s="239"/>
      <c r="AT12" s="101"/>
      <c r="AU12" s="101"/>
      <c r="AV12" s="101"/>
      <c r="AW12" s="101"/>
      <c r="AX12" s="101"/>
      <c r="AY12" s="101"/>
      <c r="AZ12" s="101"/>
      <c r="BA12" s="101"/>
      <c r="BB12"/>
      <c r="BC12"/>
      <c r="BD12"/>
      <c r="BE12"/>
      <c r="BF12"/>
      <c r="BG12"/>
      <c r="BH12"/>
      <c r="BI12"/>
    </row>
    <row r="13" spans="1:61" s="106" customFormat="1" ht="12" customHeight="1">
      <c r="A13" s="131" t="str">
        <f t="shared" ref="A13:A47" si="2">"PA-C"&amp;B13</f>
        <v>PA-C20RW1</v>
      </c>
      <c r="B13" s="99" t="s">
        <v>165</v>
      </c>
      <c r="C13" s="99" t="s">
        <v>356</v>
      </c>
      <c r="D13" s="149">
        <v>16.809999999999999</v>
      </c>
      <c r="E13" s="148">
        <v>22</v>
      </c>
      <c r="F13" s="122"/>
      <c r="G13" s="130">
        <v>151.29</v>
      </c>
      <c r="H13" s="130">
        <v>151.29</v>
      </c>
      <c r="I13" s="130">
        <v>128.17999999999998</v>
      </c>
      <c r="J13" s="130">
        <v>128.16999999999999</v>
      </c>
      <c r="K13" s="130">
        <v>117.67</v>
      </c>
      <c r="L13" s="130">
        <v>117.67</v>
      </c>
      <c r="M13" s="130">
        <v>117.67</v>
      </c>
      <c r="N13" s="130">
        <v>117.67</v>
      </c>
      <c r="O13" s="130">
        <v>111.37</v>
      </c>
      <c r="P13" s="130">
        <v>102.96</v>
      </c>
      <c r="Q13" s="130">
        <v>114.51</v>
      </c>
      <c r="R13" s="130">
        <v>114.51</v>
      </c>
      <c r="S13" s="120">
        <f t="shared" ref="S13:S47" si="3">SUM(G13:R13)</f>
        <v>1472.96</v>
      </c>
      <c r="T13" s="106">
        <v>32000</v>
      </c>
      <c r="V13" s="120">
        <f t="shared" ref="V13:V47" si="4">IFERROR(G13/$D13,0)</f>
        <v>9</v>
      </c>
      <c r="W13" s="120">
        <f t="shared" ref="W13:W47" si="5">IFERROR(H13/$D13,0)</f>
        <v>9</v>
      </c>
      <c r="X13" s="120">
        <f t="shared" ref="X13:X47" si="6">IFERROR(I13/$D13,0)</f>
        <v>7.6252230814991071</v>
      </c>
      <c r="Y13" s="120">
        <f t="shared" ref="Y13:Y47" si="7">IFERROR(J13/$D13,0)</f>
        <v>7.6246281975014867</v>
      </c>
      <c r="Z13" s="120">
        <f t="shared" ref="Z13:Z47" si="8">IFERROR(K13/$D13,0)</f>
        <v>7.0000000000000009</v>
      </c>
      <c r="AA13" s="120">
        <f t="shared" ref="AA13:AA47" si="9">IFERROR(L13/$D13,0)</f>
        <v>7.0000000000000009</v>
      </c>
      <c r="AB13" s="120">
        <f t="shared" ref="AB13:AB47" si="10">IFERROR(M13/$D13,0)</f>
        <v>7.0000000000000009</v>
      </c>
      <c r="AC13" s="120">
        <f t="shared" ref="AC13:AC47" si="11">IFERROR(N13/$D13,0)</f>
        <v>7.0000000000000009</v>
      </c>
      <c r="AD13" s="120">
        <f t="shared" ref="AD13:AD47" si="12">IFERROR(O13/$D13,0)</f>
        <v>6.6252230814991089</v>
      </c>
      <c r="AE13" s="120">
        <f t="shared" ref="AE13:AE47" si="13">IFERROR(P13/$D13,0)</f>
        <v>6.1249256395002973</v>
      </c>
      <c r="AF13" s="120">
        <f t="shared" ref="AF13:AF47" si="14">IFERROR(Q13/$D13,0)</f>
        <v>6.8120166567519345</v>
      </c>
      <c r="AG13" s="120">
        <f t="shared" ref="AG13:AG47" si="15">IFERROR(R13/$D13,0)</f>
        <v>6.8120166567519345</v>
      </c>
      <c r="AH13" s="120">
        <f t="shared" ref="AH13:AH47" si="16">IFERROR(AVERAGEIF(V13:AG13,"&gt;0"),0)</f>
        <v>7.302002776125323</v>
      </c>
      <c r="AI13" s="118"/>
      <c r="AJ13" s="89"/>
      <c r="AK13" s="119">
        <v>20</v>
      </c>
      <c r="AL13" s="107">
        <v>0</v>
      </c>
      <c r="AM13" s="118">
        <f>+AH13*AL13</f>
        <v>0</v>
      </c>
      <c r="AN13" s="15"/>
      <c r="AO13" s="136"/>
      <c r="AP13" s="107"/>
      <c r="AQ13" s="107"/>
      <c r="AR13" s="107"/>
      <c r="AS13" s="89">
        <f>+AH13-AH13</f>
        <v>0</v>
      </c>
      <c r="AT13" s="236">
        <f t="shared" ref="AT13:AT47" si="17">+D13*(1+$AZ$2)</f>
        <v>18.62394887890153</v>
      </c>
      <c r="AU13" s="229">
        <f t="shared" ref="AU13:AU47" si="18">+AT13*AH13*12</f>
        <v>1631.9055169938606</v>
      </c>
      <c r="AV13" s="229">
        <f t="shared" ref="AV13:AV47" si="19">+AU13-S13</f>
        <v>158.94551699386056</v>
      </c>
      <c r="AW13" s="101"/>
      <c r="AX13" s="101"/>
      <c r="AY13" s="101"/>
      <c r="AZ13" s="101"/>
      <c r="BA13" s="101"/>
      <c r="BB13"/>
      <c r="BC13"/>
      <c r="BD13"/>
      <c r="BE13"/>
      <c r="BF13"/>
      <c r="BG13"/>
      <c r="BH13"/>
      <c r="BI13"/>
    </row>
    <row r="14" spans="1:61" s="106" customFormat="1" ht="12" customHeight="1">
      <c r="A14" s="131" t="str">
        <f t="shared" si="2"/>
        <v>PA-C32RE1</v>
      </c>
      <c r="B14" s="99" t="s">
        <v>170</v>
      </c>
      <c r="C14" s="99" t="s">
        <v>110</v>
      </c>
      <c r="D14" s="149">
        <v>12.68</v>
      </c>
      <c r="E14" s="148">
        <v>22</v>
      </c>
      <c r="F14" s="122"/>
      <c r="G14" s="130">
        <v>12.68</v>
      </c>
      <c r="H14" s="130">
        <v>12.68</v>
      </c>
      <c r="I14" s="130">
        <v>12.68</v>
      </c>
      <c r="J14" s="130">
        <v>12.68</v>
      </c>
      <c r="K14" s="130">
        <v>12.68</v>
      </c>
      <c r="L14" s="130">
        <v>12.68</v>
      </c>
      <c r="M14" s="130">
        <v>12.68</v>
      </c>
      <c r="N14" s="130">
        <v>12.68</v>
      </c>
      <c r="O14" s="130">
        <v>12.68</v>
      </c>
      <c r="P14" s="130">
        <v>12.68</v>
      </c>
      <c r="Q14" s="130">
        <v>12.68</v>
      </c>
      <c r="R14" s="130">
        <v>12.68</v>
      </c>
      <c r="S14" s="120">
        <f t="shared" si="3"/>
        <v>152.16000000000003</v>
      </c>
      <c r="T14" s="106">
        <v>32000</v>
      </c>
      <c r="V14" s="120">
        <f t="shared" si="4"/>
        <v>1</v>
      </c>
      <c r="W14" s="120">
        <f t="shared" si="5"/>
        <v>1</v>
      </c>
      <c r="X14" s="120">
        <f t="shared" si="6"/>
        <v>1</v>
      </c>
      <c r="Y14" s="120">
        <f t="shared" si="7"/>
        <v>1</v>
      </c>
      <c r="Z14" s="120">
        <f t="shared" si="8"/>
        <v>1</v>
      </c>
      <c r="AA14" s="120">
        <f t="shared" si="9"/>
        <v>1</v>
      </c>
      <c r="AB14" s="120">
        <f t="shared" si="10"/>
        <v>1</v>
      </c>
      <c r="AC14" s="120">
        <f t="shared" si="11"/>
        <v>1</v>
      </c>
      <c r="AD14" s="120">
        <f t="shared" si="12"/>
        <v>1</v>
      </c>
      <c r="AE14" s="120">
        <f t="shared" si="13"/>
        <v>1</v>
      </c>
      <c r="AF14" s="120">
        <f t="shared" si="14"/>
        <v>1</v>
      </c>
      <c r="AG14" s="120">
        <f t="shared" si="15"/>
        <v>1</v>
      </c>
      <c r="AH14" s="120">
        <f t="shared" si="16"/>
        <v>1</v>
      </c>
      <c r="AI14" s="118"/>
      <c r="AJ14" s="89"/>
      <c r="AK14" s="119">
        <v>32</v>
      </c>
      <c r="AL14" s="107">
        <v>0</v>
      </c>
      <c r="AM14" s="118">
        <f>+AH14*AL14</f>
        <v>0</v>
      </c>
      <c r="AN14" s="15"/>
      <c r="AO14" s="156"/>
      <c r="AP14" s="107"/>
      <c r="AQ14" s="107"/>
      <c r="AR14" s="107"/>
      <c r="AS14" s="89">
        <f>+AH14-AH14</f>
        <v>0</v>
      </c>
      <c r="AT14" s="236">
        <f t="shared" si="17"/>
        <v>14.04828505559021</v>
      </c>
      <c r="AU14" s="229">
        <f t="shared" si="18"/>
        <v>168.5794206670825</v>
      </c>
      <c r="AV14" s="229">
        <f t="shared" si="19"/>
        <v>16.419420667082477</v>
      </c>
      <c r="AW14" s="101"/>
      <c r="AX14" s="101"/>
      <c r="AY14" s="101"/>
      <c r="AZ14" s="101"/>
      <c r="BA14" s="101"/>
      <c r="BB14"/>
      <c r="BC14"/>
      <c r="BD14"/>
      <c r="BE14"/>
      <c r="BF14"/>
      <c r="BG14"/>
      <c r="BH14"/>
      <c r="BI14"/>
    </row>
    <row r="15" spans="1:61" s="106" customFormat="1" ht="12" customHeight="1">
      <c r="A15" s="131" t="str">
        <f t="shared" si="2"/>
        <v>PA-C35RW1</v>
      </c>
      <c r="B15" s="264" t="s">
        <v>167</v>
      </c>
      <c r="C15" s="264" t="s">
        <v>107</v>
      </c>
      <c r="D15" s="149">
        <v>24.35</v>
      </c>
      <c r="E15" s="148">
        <v>22</v>
      </c>
      <c r="F15" s="122"/>
      <c r="G15" s="130">
        <v>37450.239999999998</v>
      </c>
      <c r="H15" s="130">
        <v>37584.159999999996</v>
      </c>
      <c r="I15" s="130">
        <v>36594.94</v>
      </c>
      <c r="J15" s="130">
        <v>36801.9</v>
      </c>
      <c r="K15" s="130">
        <v>36080.550000000003</v>
      </c>
      <c r="L15" s="130">
        <v>36378.74</v>
      </c>
      <c r="M15" s="130">
        <v>36485.14</v>
      </c>
      <c r="N15" s="130">
        <v>36935.5</v>
      </c>
      <c r="O15" s="130">
        <v>36028.79</v>
      </c>
      <c r="P15" s="130">
        <v>36326.93</v>
      </c>
      <c r="Q15" s="130">
        <v>36199.230000000003</v>
      </c>
      <c r="R15" s="130">
        <v>36424.450000000004</v>
      </c>
      <c r="S15" s="265">
        <f t="shared" si="3"/>
        <v>439290.56999999995</v>
      </c>
      <c r="T15" s="266">
        <v>32000</v>
      </c>
      <c r="U15" s="266"/>
      <c r="V15" s="265">
        <f t="shared" si="4"/>
        <v>1537.9975359342914</v>
      </c>
      <c r="W15" s="265">
        <f t="shared" si="5"/>
        <v>1543.4973305954823</v>
      </c>
      <c r="X15" s="265">
        <f t="shared" si="6"/>
        <v>1502.8722792607803</v>
      </c>
      <c r="Y15" s="265">
        <f t="shared" si="7"/>
        <v>1511.3716632443532</v>
      </c>
      <c r="Z15" s="265">
        <f t="shared" si="8"/>
        <v>1481.7474332648871</v>
      </c>
      <c r="AA15" s="265">
        <f t="shared" si="9"/>
        <v>1493.9934291581108</v>
      </c>
      <c r="AB15" s="265">
        <f t="shared" si="10"/>
        <v>1498.3630390143735</v>
      </c>
      <c r="AC15" s="265">
        <f t="shared" si="11"/>
        <v>1516.8583162217658</v>
      </c>
      <c r="AD15" s="265">
        <f t="shared" si="12"/>
        <v>1479.6217659137576</v>
      </c>
      <c r="AE15" s="265">
        <f t="shared" si="13"/>
        <v>1491.865708418891</v>
      </c>
      <c r="AF15" s="265">
        <f t="shared" si="14"/>
        <v>1486.6213552361396</v>
      </c>
      <c r="AG15" s="265">
        <f t="shared" si="15"/>
        <v>1495.8706365503081</v>
      </c>
      <c r="AH15" s="265">
        <f t="shared" si="16"/>
        <v>1503.3900410677618</v>
      </c>
      <c r="AI15" s="267"/>
      <c r="AJ15" s="268"/>
      <c r="AK15" s="269">
        <v>35</v>
      </c>
      <c r="AL15" s="270">
        <v>1</v>
      </c>
      <c r="AM15" s="267">
        <f>+AH15*AL15</f>
        <v>1503.3900410677618</v>
      </c>
      <c r="AN15" s="271"/>
      <c r="AO15" s="272"/>
      <c r="AP15" s="270"/>
      <c r="AQ15" s="270"/>
      <c r="AR15" s="270"/>
      <c r="AS15" s="268">
        <f t="shared" ref="AS15:AS47" si="20">+AH15</f>
        <v>1503.3900410677618</v>
      </c>
      <c r="AT15" s="236">
        <f t="shared" si="17"/>
        <v>26.977582105963851</v>
      </c>
      <c r="AU15" s="229">
        <f t="shared" si="18"/>
        <v>486693.93924232689</v>
      </c>
      <c r="AV15" s="229">
        <f t="shared" si="19"/>
        <v>47403.369242326939</v>
      </c>
      <c r="AW15" s="101"/>
      <c r="AX15" s="101"/>
      <c r="AY15" s="101"/>
      <c r="AZ15" s="101"/>
      <c r="BA15" s="101"/>
      <c r="BB15"/>
      <c r="BC15"/>
      <c r="BD15"/>
      <c r="BE15"/>
      <c r="BF15"/>
      <c r="BG15"/>
      <c r="BH15"/>
      <c r="BI15"/>
    </row>
    <row r="16" spans="1:61" s="106" customFormat="1" ht="12" customHeight="1">
      <c r="A16" s="131" t="str">
        <f t="shared" si="2"/>
        <v>PA-C96RW1</v>
      </c>
      <c r="B16" s="264" t="s">
        <v>357</v>
      </c>
      <c r="C16" s="264" t="s">
        <v>358</v>
      </c>
      <c r="D16" s="149">
        <v>41.3</v>
      </c>
      <c r="E16" s="148">
        <v>22</v>
      </c>
      <c r="F16" s="122"/>
      <c r="G16" s="130">
        <v>49048.840000000004</v>
      </c>
      <c r="H16" s="130">
        <v>50039.990000000005</v>
      </c>
      <c r="I16" s="130">
        <v>49952.3</v>
      </c>
      <c r="J16" s="130">
        <v>50788.56</v>
      </c>
      <c r="K16" s="130">
        <v>49673.49</v>
      </c>
      <c r="L16" s="130">
        <v>50416.799999999996</v>
      </c>
      <c r="M16" s="130">
        <v>50458.2</v>
      </c>
      <c r="N16" s="130">
        <v>51377.04</v>
      </c>
      <c r="O16" s="130">
        <v>52404.46</v>
      </c>
      <c r="P16" s="130">
        <v>53178.78</v>
      </c>
      <c r="Q16" s="130">
        <v>54231.97</v>
      </c>
      <c r="R16" s="130">
        <v>55594.659999999996</v>
      </c>
      <c r="S16" s="265">
        <f t="shared" si="3"/>
        <v>617165.09</v>
      </c>
      <c r="T16" s="266">
        <v>32000</v>
      </c>
      <c r="U16" s="266"/>
      <c r="V16" s="265">
        <f t="shared" si="4"/>
        <v>1187.6232445520584</v>
      </c>
      <c r="W16" s="265">
        <f t="shared" si="5"/>
        <v>1211.6220338983053</v>
      </c>
      <c r="X16" s="265">
        <f t="shared" si="6"/>
        <v>1209.4987893462471</v>
      </c>
      <c r="Y16" s="265">
        <f t="shared" si="7"/>
        <v>1229.747215496368</v>
      </c>
      <c r="Z16" s="265">
        <f t="shared" si="8"/>
        <v>1202.7479418886198</v>
      </c>
      <c r="AA16" s="265">
        <f t="shared" si="9"/>
        <v>1220.7457627118645</v>
      </c>
      <c r="AB16" s="265">
        <f t="shared" si="10"/>
        <v>1221.7481840193705</v>
      </c>
      <c r="AC16" s="265">
        <f t="shared" si="11"/>
        <v>1243.9961259079905</v>
      </c>
      <c r="AD16" s="265">
        <f t="shared" si="12"/>
        <v>1268.873123486683</v>
      </c>
      <c r="AE16" s="265">
        <f t="shared" si="13"/>
        <v>1287.6217917675544</v>
      </c>
      <c r="AF16" s="265">
        <f t="shared" si="14"/>
        <v>1313.1227602905569</v>
      </c>
      <c r="AG16" s="265">
        <f t="shared" si="15"/>
        <v>1346.1176755447941</v>
      </c>
      <c r="AH16" s="265">
        <f t="shared" si="16"/>
        <v>1245.2887207425345</v>
      </c>
      <c r="AI16" s="267"/>
      <c r="AJ16" s="268"/>
      <c r="AK16" s="269">
        <v>96</v>
      </c>
      <c r="AL16" s="270">
        <v>1</v>
      </c>
      <c r="AM16" s="267">
        <f>+AH16*AL16</f>
        <v>1245.2887207425345</v>
      </c>
      <c r="AN16" s="271"/>
      <c r="AO16" s="272"/>
      <c r="AP16" s="270"/>
      <c r="AQ16" s="270"/>
      <c r="AR16" s="270"/>
      <c r="AS16" s="268">
        <f t="shared" si="20"/>
        <v>1245.2887207425345</v>
      </c>
      <c r="AT16" s="236">
        <f t="shared" si="17"/>
        <v>45.756638233113222</v>
      </c>
      <c r="AU16" s="229">
        <f t="shared" si="18"/>
        <v>683762.70588951011</v>
      </c>
      <c r="AV16" s="229">
        <f t="shared" si="19"/>
        <v>66597.61588951014</v>
      </c>
      <c r="AW16" s="101"/>
      <c r="AX16" s="101"/>
      <c r="AY16" s="101"/>
      <c r="AZ16" s="101"/>
      <c r="BA16" s="101"/>
      <c r="BB16"/>
      <c r="BC16"/>
      <c r="BD16"/>
      <c r="BE16"/>
      <c r="BF16"/>
      <c r="BG16"/>
      <c r="BH16"/>
      <c r="BI16"/>
    </row>
    <row r="17" spans="1:61" s="107" customFormat="1" ht="12" customHeight="1">
      <c r="A17" s="107" t="str">
        <f t="shared" si="2"/>
        <v>PA-CCARRYRE</v>
      </c>
      <c r="B17" s="99" t="s">
        <v>178</v>
      </c>
      <c r="C17" s="99" t="s">
        <v>179</v>
      </c>
      <c r="D17" s="149">
        <v>0.82499999999999996</v>
      </c>
      <c r="E17" s="148">
        <v>19</v>
      </c>
      <c r="F17" s="122"/>
      <c r="G17" s="120">
        <v>1.65</v>
      </c>
      <c r="H17" s="120">
        <v>1.65</v>
      </c>
      <c r="I17" s="120">
        <v>1.65</v>
      </c>
      <c r="J17" s="120">
        <v>1.65</v>
      </c>
      <c r="K17" s="120">
        <v>1.65</v>
      </c>
      <c r="L17" s="120">
        <v>1.65</v>
      </c>
      <c r="M17" s="120">
        <v>1.65</v>
      </c>
      <c r="N17" s="120">
        <v>1.65</v>
      </c>
      <c r="O17" s="120">
        <v>1.65</v>
      </c>
      <c r="P17" s="120">
        <v>1.65</v>
      </c>
      <c r="Q17" s="120">
        <v>1.65</v>
      </c>
      <c r="R17" s="120">
        <v>1.65</v>
      </c>
      <c r="S17" s="120">
        <f t="shared" si="3"/>
        <v>19.799999999999997</v>
      </c>
      <c r="T17" s="107">
        <v>32001</v>
      </c>
      <c r="V17" s="120">
        <f t="shared" si="4"/>
        <v>2</v>
      </c>
      <c r="W17" s="120">
        <f t="shared" si="5"/>
        <v>2</v>
      </c>
      <c r="X17" s="120">
        <f t="shared" si="6"/>
        <v>2</v>
      </c>
      <c r="Y17" s="120">
        <f t="shared" si="7"/>
        <v>2</v>
      </c>
      <c r="Z17" s="120">
        <f t="shared" si="8"/>
        <v>2</v>
      </c>
      <c r="AA17" s="120">
        <f t="shared" si="9"/>
        <v>2</v>
      </c>
      <c r="AB17" s="120">
        <f t="shared" si="10"/>
        <v>2</v>
      </c>
      <c r="AC17" s="120">
        <f t="shared" si="11"/>
        <v>2</v>
      </c>
      <c r="AD17" s="120">
        <f t="shared" si="12"/>
        <v>2</v>
      </c>
      <c r="AE17" s="120">
        <f t="shared" si="13"/>
        <v>2</v>
      </c>
      <c r="AF17" s="120">
        <f t="shared" si="14"/>
        <v>2</v>
      </c>
      <c r="AG17" s="120">
        <f t="shared" si="15"/>
        <v>2</v>
      </c>
      <c r="AH17" s="120">
        <f t="shared" si="16"/>
        <v>2</v>
      </c>
      <c r="AI17" s="118"/>
      <c r="AJ17" s="89"/>
      <c r="AK17" s="119"/>
      <c r="AN17" s="15"/>
      <c r="AO17" s="136"/>
      <c r="AS17" s="89">
        <f t="shared" si="20"/>
        <v>2</v>
      </c>
      <c r="AT17" s="236">
        <f t="shared" si="17"/>
        <v>0.9140248557462084</v>
      </c>
      <c r="AU17" s="229">
        <f t="shared" si="18"/>
        <v>21.936596537909001</v>
      </c>
      <c r="AV17" s="229">
        <f t="shared" si="19"/>
        <v>2.1365965379090035</v>
      </c>
      <c r="AW17" s="101"/>
      <c r="AX17" s="101"/>
      <c r="AY17" s="101"/>
      <c r="AZ17" s="101"/>
      <c r="BA17" s="101"/>
      <c r="BB17"/>
      <c r="BC17"/>
      <c r="BD17"/>
      <c r="BE17"/>
      <c r="BF17"/>
      <c r="BG17"/>
      <c r="BH17"/>
      <c r="BI17"/>
    </row>
    <row r="18" spans="1:61" s="107" customFormat="1" ht="12" customHeight="1">
      <c r="A18" s="107" t="str">
        <f t="shared" si="2"/>
        <v>PA-CCARRYRW</v>
      </c>
      <c r="B18" s="99" t="s">
        <v>180</v>
      </c>
      <c r="C18" s="99" t="s">
        <v>181</v>
      </c>
      <c r="D18" s="149">
        <v>1.65</v>
      </c>
      <c r="E18" s="148">
        <v>19</v>
      </c>
      <c r="F18" s="122"/>
      <c r="G18" s="120">
        <v>8.15</v>
      </c>
      <c r="H18" s="120">
        <v>8.15</v>
      </c>
      <c r="I18" s="120">
        <v>8.25</v>
      </c>
      <c r="J18" s="120">
        <v>8.25</v>
      </c>
      <c r="K18" s="120">
        <v>7.43</v>
      </c>
      <c r="L18" s="120">
        <v>7.42</v>
      </c>
      <c r="M18" s="120">
        <v>7.43</v>
      </c>
      <c r="N18" s="120">
        <v>7.42</v>
      </c>
      <c r="O18" s="120">
        <v>7.43</v>
      </c>
      <c r="P18" s="120">
        <v>7.42</v>
      </c>
      <c r="Q18" s="120">
        <v>5.36</v>
      </c>
      <c r="R18" s="120">
        <v>5.36</v>
      </c>
      <c r="S18" s="120">
        <f t="shared" si="3"/>
        <v>88.070000000000007</v>
      </c>
      <c r="T18" s="107">
        <v>32001</v>
      </c>
      <c r="V18" s="120">
        <f t="shared" si="4"/>
        <v>4.9393939393939394</v>
      </c>
      <c r="W18" s="120">
        <f t="shared" si="5"/>
        <v>4.9393939393939394</v>
      </c>
      <c r="X18" s="120">
        <f t="shared" si="6"/>
        <v>5</v>
      </c>
      <c r="Y18" s="120">
        <f t="shared" si="7"/>
        <v>5</v>
      </c>
      <c r="Z18" s="120">
        <f t="shared" si="8"/>
        <v>4.5030303030303029</v>
      </c>
      <c r="AA18" s="120">
        <f t="shared" si="9"/>
        <v>4.4969696969696971</v>
      </c>
      <c r="AB18" s="120">
        <f t="shared" si="10"/>
        <v>4.5030303030303029</v>
      </c>
      <c r="AC18" s="120">
        <f t="shared" si="11"/>
        <v>4.4969696969696971</v>
      </c>
      <c r="AD18" s="120">
        <f t="shared" si="12"/>
        <v>4.5030303030303029</v>
      </c>
      <c r="AE18" s="120">
        <f t="shared" si="13"/>
        <v>4.4969696969696971</v>
      </c>
      <c r="AF18" s="120">
        <f t="shared" si="14"/>
        <v>3.248484848484849</v>
      </c>
      <c r="AG18" s="120">
        <f t="shared" si="15"/>
        <v>3.248484848484849</v>
      </c>
      <c r="AH18" s="120">
        <f t="shared" si="16"/>
        <v>4.4479797979797988</v>
      </c>
      <c r="AI18" s="118"/>
      <c r="AJ18" s="89"/>
      <c r="AK18" s="119"/>
      <c r="AM18" s="118"/>
      <c r="AN18" s="15"/>
      <c r="AO18" s="136"/>
      <c r="AS18" s="89">
        <f t="shared" si="20"/>
        <v>4.4479797979797988</v>
      </c>
      <c r="AT18" s="236">
        <f t="shared" si="17"/>
        <v>1.8280497114924168</v>
      </c>
      <c r="AU18" s="229">
        <f t="shared" si="18"/>
        <v>97.57353823705283</v>
      </c>
      <c r="AV18" s="229">
        <f t="shared" si="19"/>
        <v>9.5035382370528225</v>
      </c>
      <c r="AW18" s="101"/>
      <c r="AX18" s="101"/>
      <c r="AY18" s="101"/>
      <c r="AZ18" s="101"/>
      <c r="BA18" s="101"/>
      <c r="BB18"/>
      <c r="BC18"/>
      <c r="BD18"/>
      <c r="BE18"/>
      <c r="BF18"/>
      <c r="BG18"/>
      <c r="BH18"/>
      <c r="BI18"/>
    </row>
    <row r="19" spans="1:61" s="107" customFormat="1" ht="12" customHeight="1">
      <c r="A19" s="107" t="str">
        <f t="shared" si="2"/>
        <v>PA-CEXTRAR</v>
      </c>
      <c r="B19" s="264" t="s">
        <v>176</v>
      </c>
      <c r="C19" s="264" t="s">
        <v>115</v>
      </c>
      <c r="D19" s="149">
        <v>6.96</v>
      </c>
      <c r="E19" s="148" t="s">
        <v>117</v>
      </c>
      <c r="F19" s="122"/>
      <c r="G19" s="120">
        <v>574.20000000000005</v>
      </c>
      <c r="H19" s="120">
        <v>2007.96</v>
      </c>
      <c r="I19" s="120">
        <v>344.52</v>
      </c>
      <c r="J19" s="120">
        <v>1193.6399999999999</v>
      </c>
      <c r="K19" s="120">
        <v>226.2</v>
      </c>
      <c r="L19" s="120">
        <v>1875.72</v>
      </c>
      <c r="M19" s="120">
        <v>772.56</v>
      </c>
      <c r="N19" s="120">
        <v>2373.3599999999997</v>
      </c>
      <c r="O19" s="120">
        <v>953.52</v>
      </c>
      <c r="P19" s="120">
        <v>3118.08</v>
      </c>
      <c r="Q19" s="120">
        <v>1287.5999999999999</v>
      </c>
      <c r="R19" s="120">
        <v>3403.44</v>
      </c>
      <c r="S19" s="265">
        <f t="shared" si="3"/>
        <v>18130.8</v>
      </c>
      <c r="T19" s="270">
        <v>32001</v>
      </c>
      <c r="U19" s="270"/>
      <c r="V19" s="265">
        <f t="shared" si="4"/>
        <v>82.5</v>
      </c>
      <c r="W19" s="265">
        <f t="shared" si="5"/>
        <v>288.5</v>
      </c>
      <c r="X19" s="265">
        <f t="shared" si="6"/>
        <v>49.5</v>
      </c>
      <c r="Y19" s="265">
        <f t="shared" si="7"/>
        <v>171.49999999999997</v>
      </c>
      <c r="Z19" s="265">
        <f t="shared" si="8"/>
        <v>32.5</v>
      </c>
      <c r="AA19" s="265">
        <f t="shared" si="9"/>
        <v>269.5</v>
      </c>
      <c r="AB19" s="265">
        <f t="shared" si="10"/>
        <v>110.99999999999999</v>
      </c>
      <c r="AC19" s="265">
        <f t="shared" si="11"/>
        <v>340.99999999999994</v>
      </c>
      <c r="AD19" s="265">
        <f t="shared" si="12"/>
        <v>137</v>
      </c>
      <c r="AE19" s="265">
        <f t="shared" si="13"/>
        <v>448</v>
      </c>
      <c r="AF19" s="265">
        <f t="shared" si="14"/>
        <v>185</v>
      </c>
      <c r="AG19" s="265">
        <f t="shared" si="15"/>
        <v>489</v>
      </c>
      <c r="AH19" s="265">
        <f t="shared" si="16"/>
        <v>217.08333333333334</v>
      </c>
      <c r="AI19" s="267"/>
      <c r="AJ19" s="268"/>
      <c r="AK19" s="269"/>
      <c r="AL19" s="270"/>
      <c r="AM19" s="267"/>
      <c r="AN19" s="271"/>
      <c r="AO19" s="272"/>
      <c r="AP19" s="270"/>
      <c r="AQ19" s="270"/>
      <c r="AR19" s="270"/>
      <c r="AS19" s="268">
        <f t="shared" si="20"/>
        <v>217.08333333333334</v>
      </c>
      <c r="AT19" s="236">
        <f t="shared" si="17"/>
        <v>7.711046055749831</v>
      </c>
      <c r="AU19" s="229">
        <f t="shared" si="18"/>
        <v>20087.274975228313</v>
      </c>
      <c r="AV19" s="229">
        <f t="shared" si="19"/>
        <v>1956.4749752283133</v>
      </c>
      <c r="AW19" s="101"/>
      <c r="AX19" s="101"/>
      <c r="AY19" s="101"/>
      <c r="AZ19" s="101"/>
      <c r="BA19" s="101"/>
      <c r="BB19"/>
      <c r="BC19"/>
      <c r="BD19"/>
      <c r="BE19"/>
      <c r="BF19"/>
      <c r="BG19"/>
      <c r="BH19"/>
      <c r="BI19"/>
    </row>
    <row r="20" spans="1:61" s="107" customFormat="1" ht="12" customHeight="1">
      <c r="A20" s="107" t="str">
        <f t="shared" si="2"/>
        <v>PA-COFOWR</v>
      </c>
      <c r="B20" s="264" t="s">
        <v>177</v>
      </c>
      <c r="C20" s="264" t="s">
        <v>116</v>
      </c>
      <c r="D20" s="149">
        <v>6.53</v>
      </c>
      <c r="E20" s="148" t="s">
        <v>118</v>
      </c>
      <c r="F20" s="122"/>
      <c r="G20" s="120">
        <v>42.449999999999996</v>
      </c>
      <c r="H20" s="120">
        <v>140.38999999999999</v>
      </c>
      <c r="I20" s="120">
        <v>29.39</v>
      </c>
      <c r="J20" s="120">
        <v>133.86000000000001</v>
      </c>
      <c r="K20" s="120">
        <v>16.330000000000002</v>
      </c>
      <c r="L20" s="120">
        <v>388.53</v>
      </c>
      <c r="M20" s="120">
        <v>202.43</v>
      </c>
      <c r="N20" s="120">
        <v>1090.51</v>
      </c>
      <c r="O20" s="120">
        <v>653</v>
      </c>
      <c r="P20" s="120">
        <v>1736.98</v>
      </c>
      <c r="Q20" s="120">
        <v>538.7299999999999</v>
      </c>
      <c r="R20" s="120">
        <v>1439.8600000000001</v>
      </c>
      <c r="S20" s="265">
        <f t="shared" si="3"/>
        <v>6412.4599999999991</v>
      </c>
      <c r="T20" s="270">
        <v>32001</v>
      </c>
      <c r="U20" s="270"/>
      <c r="V20" s="265">
        <f t="shared" si="4"/>
        <v>6.5007656967840726</v>
      </c>
      <c r="W20" s="265">
        <f t="shared" si="5"/>
        <v>21.499234303215925</v>
      </c>
      <c r="X20" s="265">
        <f t="shared" si="6"/>
        <v>4.5007656967840735</v>
      </c>
      <c r="Y20" s="265">
        <f t="shared" si="7"/>
        <v>20.499234303215928</v>
      </c>
      <c r="Z20" s="265">
        <f t="shared" si="8"/>
        <v>2.5007656967840739</v>
      </c>
      <c r="AA20" s="265">
        <f t="shared" si="9"/>
        <v>59.499234303215921</v>
      </c>
      <c r="AB20" s="265">
        <f t="shared" si="10"/>
        <v>31</v>
      </c>
      <c r="AC20" s="265">
        <f t="shared" si="11"/>
        <v>167</v>
      </c>
      <c r="AD20" s="265">
        <f t="shared" si="12"/>
        <v>100</v>
      </c>
      <c r="AE20" s="265">
        <f t="shared" si="13"/>
        <v>266</v>
      </c>
      <c r="AF20" s="265">
        <f t="shared" si="14"/>
        <v>82.500765696784057</v>
      </c>
      <c r="AG20" s="265">
        <f t="shared" si="15"/>
        <v>220.49923430321593</v>
      </c>
      <c r="AH20" s="265">
        <f t="shared" si="16"/>
        <v>81.833333333333329</v>
      </c>
      <c r="AI20" s="267"/>
      <c r="AJ20" s="268"/>
      <c r="AK20" s="269"/>
      <c r="AL20" s="270"/>
      <c r="AM20" s="267"/>
      <c r="AN20" s="271"/>
      <c r="AO20" s="272"/>
      <c r="AP20" s="270"/>
      <c r="AQ20" s="270"/>
      <c r="AR20" s="270"/>
      <c r="AS20" s="268">
        <f t="shared" si="20"/>
        <v>81.833333333333329</v>
      </c>
      <c r="AT20" s="236">
        <f t="shared" si="17"/>
        <v>7.2346452218457475</v>
      </c>
      <c r="AU20" s="229">
        <f t="shared" si="18"/>
        <v>7104.4216078525242</v>
      </c>
      <c r="AV20" s="229">
        <f t="shared" si="19"/>
        <v>691.96160785252505</v>
      </c>
      <c r="AW20" s="101"/>
      <c r="AX20" s="101"/>
      <c r="AY20" s="101"/>
      <c r="AZ20" s="101"/>
      <c r="BA20" s="101"/>
      <c r="BB20"/>
      <c r="BC20"/>
      <c r="BD20"/>
      <c r="BE20"/>
      <c r="BF20"/>
      <c r="BG20"/>
      <c r="BH20"/>
      <c r="BI20"/>
    </row>
    <row r="21" spans="1:61" s="107" customFormat="1" ht="12" customHeight="1">
      <c r="A21" s="107" t="str">
        <f t="shared" si="2"/>
        <v>PA-CRDELCART</v>
      </c>
      <c r="B21" s="99" t="s">
        <v>186</v>
      </c>
      <c r="C21" s="99" t="s">
        <v>187</v>
      </c>
      <c r="D21" s="149">
        <v>20.51</v>
      </c>
      <c r="E21" s="148">
        <v>15</v>
      </c>
      <c r="F21" s="122"/>
      <c r="G21" s="120">
        <v>92.300000000000011</v>
      </c>
      <c r="H21" s="120">
        <v>728.09999999999991</v>
      </c>
      <c r="I21" s="120">
        <v>102.55</v>
      </c>
      <c r="J21" s="120">
        <v>635.80999999999995</v>
      </c>
      <c r="K21" s="120">
        <v>82.04</v>
      </c>
      <c r="L21" s="120">
        <v>922.94999999999993</v>
      </c>
      <c r="M21" s="120">
        <v>92.300000000000011</v>
      </c>
      <c r="N21" s="120">
        <v>1486.97</v>
      </c>
      <c r="O21" s="120">
        <v>492.24</v>
      </c>
      <c r="P21" s="120">
        <v>2009.98</v>
      </c>
      <c r="Q21" s="120">
        <v>235.87</v>
      </c>
      <c r="R21" s="120">
        <v>810.14</v>
      </c>
      <c r="S21" s="120">
        <f t="shared" si="3"/>
        <v>7691.25</v>
      </c>
      <c r="T21" s="107">
        <v>32000</v>
      </c>
      <c r="V21" s="120">
        <f t="shared" si="4"/>
        <v>4.5002437835202347</v>
      </c>
      <c r="W21" s="120">
        <f t="shared" si="5"/>
        <v>35.49975621647976</v>
      </c>
      <c r="X21" s="120">
        <f t="shared" si="6"/>
        <v>4.9999999999999991</v>
      </c>
      <c r="Y21" s="120">
        <f t="shared" si="7"/>
        <v>30.999999999999996</v>
      </c>
      <c r="Z21" s="120">
        <f t="shared" si="8"/>
        <v>4</v>
      </c>
      <c r="AA21" s="120">
        <f t="shared" si="9"/>
        <v>44.999999999999993</v>
      </c>
      <c r="AB21" s="120">
        <f t="shared" si="10"/>
        <v>4.5002437835202347</v>
      </c>
      <c r="AC21" s="120">
        <f t="shared" si="11"/>
        <v>72.499756216479767</v>
      </c>
      <c r="AD21" s="120">
        <f t="shared" si="12"/>
        <v>24</v>
      </c>
      <c r="AE21" s="120">
        <f t="shared" si="13"/>
        <v>98</v>
      </c>
      <c r="AF21" s="120">
        <f t="shared" si="14"/>
        <v>11.500243783520233</v>
      </c>
      <c r="AG21" s="120">
        <f t="shared" si="15"/>
        <v>39.49975621647976</v>
      </c>
      <c r="AH21" s="120">
        <f t="shared" si="16"/>
        <v>31.249999999999996</v>
      </c>
      <c r="AI21" s="118"/>
      <c r="AJ21" s="89"/>
      <c r="AK21" s="119"/>
      <c r="AN21" s="15"/>
      <c r="AO21" s="136"/>
      <c r="AS21" s="89">
        <f t="shared" si="20"/>
        <v>31.249999999999996</v>
      </c>
      <c r="AT21" s="236">
        <f t="shared" si="17"/>
        <v>22.723211868308773</v>
      </c>
      <c r="AU21" s="229">
        <f t="shared" si="18"/>
        <v>8521.204450615789</v>
      </c>
      <c r="AV21" s="229">
        <f t="shared" si="19"/>
        <v>829.95445061578903</v>
      </c>
      <c r="AW21" s="101"/>
      <c r="AX21" s="101"/>
      <c r="AY21" s="101"/>
      <c r="AZ21" s="101"/>
      <c r="BA21" s="101"/>
      <c r="BB21"/>
      <c r="BC21"/>
      <c r="BD21"/>
      <c r="BE21"/>
      <c r="BF21"/>
      <c r="BG21"/>
      <c r="BH21"/>
      <c r="BI21"/>
    </row>
    <row r="22" spans="1:61" s="107" customFormat="1" ht="12" customHeight="1">
      <c r="A22" s="107" t="str">
        <f t="shared" si="2"/>
        <v>PA-CRESTART</v>
      </c>
      <c r="B22" s="99" t="s">
        <v>194</v>
      </c>
      <c r="C22" s="99" t="s">
        <v>195</v>
      </c>
      <c r="D22" s="149">
        <v>10.25</v>
      </c>
      <c r="E22" s="148">
        <v>15</v>
      </c>
      <c r="F22" s="122"/>
      <c r="G22" s="120">
        <v>138.38</v>
      </c>
      <c r="H22" s="120">
        <v>527.87</v>
      </c>
      <c r="I22" s="120">
        <v>107.63000000000001</v>
      </c>
      <c r="J22" s="120">
        <v>363.87</v>
      </c>
      <c r="K22" s="120">
        <v>184.5</v>
      </c>
      <c r="L22" s="120">
        <v>666.25</v>
      </c>
      <c r="M22" s="120">
        <v>87.13</v>
      </c>
      <c r="N22" s="120">
        <v>640.62</v>
      </c>
      <c r="O22" s="120">
        <v>82</v>
      </c>
      <c r="P22" s="120">
        <v>348.5</v>
      </c>
      <c r="Q22" s="120">
        <v>143.5</v>
      </c>
      <c r="R22" s="120">
        <v>451</v>
      </c>
      <c r="S22" s="120">
        <f t="shared" si="3"/>
        <v>3741.25</v>
      </c>
      <c r="T22" s="107">
        <v>32000</v>
      </c>
      <c r="V22" s="120">
        <f t="shared" si="4"/>
        <v>13.500487804878048</v>
      </c>
      <c r="W22" s="120">
        <f t="shared" si="5"/>
        <v>51.499512195121952</v>
      </c>
      <c r="X22" s="120">
        <f t="shared" si="6"/>
        <v>10.50048780487805</v>
      </c>
      <c r="Y22" s="120">
        <f t="shared" si="7"/>
        <v>35.499512195121952</v>
      </c>
      <c r="Z22" s="120">
        <f t="shared" si="8"/>
        <v>18</v>
      </c>
      <c r="AA22" s="120">
        <f t="shared" si="9"/>
        <v>65</v>
      </c>
      <c r="AB22" s="120">
        <f t="shared" si="10"/>
        <v>8.5004878048780483</v>
      </c>
      <c r="AC22" s="120">
        <f t="shared" si="11"/>
        <v>62.499512195121952</v>
      </c>
      <c r="AD22" s="120">
        <f t="shared" si="12"/>
        <v>8</v>
      </c>
      <c r="AE22" s="120">
        <f t="shared" si="13"/>
        <v>34</v>
      </c>
      <c r="AF22" s="120">
        <f t="shared" si="14"/>
        <v>14</v>
      </c>
      <c r="AG22" s="120">
        <f t="shared" si="15"/>
        <v>44</v>
      </c>
      <c r="AH22" s="120">
        <f t="shared" si="16"/>
        <v>30.416666666666668</v>
      </c>
      <c r="AI22" s="118"/>
      <c r="AJ22" s="89"/>
      <c r="AK22" s="119"/>
      <c r="AN22" s="15"/>
      <c r="AO22" s="136"/>
      <c r="AS22" s="89">
        <f t="shared" si="20"/>
        <v>30.416666666666668</v>
      </c>
      <c r="AT22" s="236">
        <f t="shared" si="17"/>
        <v>11.356066389574105</v>
      </c>
      <c r="AU22" s="229">
        <f t="shared" si="18"/>
        <v>4144.9642321945485</v>
      </c>
      <c r="AV22" s="229">
        <f t="shared" si="19"/>
        <v>403.71423219454846</v>
      </c>
      <c r="AW22" s="101"/>
      <c r="AX22" s="101"/>
      <c r="AY22" s="101"/>
      <c r="AZ22" s="101"/>
      <c r="BA22" s="101"/>
      <c r="BB22"/>
      <c r="BC22"/>
      <c r="BD22"/>
      <c r="BE22"/>
      <c r="BF22"/>
      <c r="BG22"/>
      <c r="BH22"/>
      <c r="BI22"/>
    </row>
    <row r="23" spans="1:61" s="107" customFormat="1" ht="12" customHeight="1">
      <c r="A23" s="107" t="str">
        <f t="shared" si="2"/>
        <v>PA-CTRIPRCANS</v>
      </c>
      <c r="B23" s="99" t="s">
        <v>192</v>
      </c>
      <c r="C23" s="99" t="s">
        <v>193</v>
      </c>
      <c r="D23" s="149">
        <v>6.17</v>
      </c>
      <c r="E23" s="148">
        <v>17</v>
      </c>
      <c r="F23" s="122"/>
      <c r="G23" s="120">
        <v>9.26</v>
      </c>
      <c r="H23" s="120">
        <v>21.59</v>
      </c>
      <c r="I23" s="120">
        <v>6.17</v>
      </c>
      <c r="J23" s="120">
        <v>37.020000000000003</v>
      </c>
      <c r="K23" s="120">
        <v>18.510000000000002</v>
      </c>
      <c r="L23" s="120">
        <v>43.19</v>
      </c>
      <c r="M23" s="120">
        <v>18.510000000000002</v>
      </c>
      <c r="N23" s="120">
        <v>80.210000000000008</v>
      </c>
      <c r="O23" s="120">
        <v>12.34</v>
      </c>
      <c r="P23" s="120">
        <v>43.19</v>
      </c>
      <c r="Q23" s="120">
        <v>30.85</v>
      </c>
      <c r="R23" s="120">
        <v>67.87</v>
      </c>
      <c r="S23" s="120">
        <f t="shared" si="3"/>
        <v>388.71000000000004</v>
      </c>
      <c r="T23" s="107">
        <v>32001</v>
      </c>
      <c r="V23" s="120">
        <f t="shared" si="4"/>
        <v>1.5008103727714748</v>
      </c>
      <c r="W23" s="120">
        <f t="shared" si="5"/>
        <v>3.499189627228525</v>
      </c>
      <c r="X23" s="120">
        <f t="shared" si="6"/>
        <v>1</v>
      </c>
      <c r="Y23" s="120">
        <f t="shared" si="7"/>
        <v>6.0000000000000009</v>
      </c>
      <c r="Z23" s="120">
        <f t="shared" si="8"/>
        <v>3.0000000000000004</v>
      </c>
      <c r="AA23" s="120">
        <f t="shared" si="9"/>
        <v>7</v>
      </c>
      <c r="AB23" s="120">
        <f t="shared" si="10"/>
        <v>3.0000000000000004</v>
      </c>
      <c r="AC23" s="120">
        <f t="shared" si="11"/>
        <v>13.000000000000002</v>
      </c>
      <c r="AD23" s="120">
        <f t="shared" si="12"/>
        <v>2</v>
      </c>
      <c r="AE23" s="120">
        <f t="shared" si="13"/>
        <v>7</v>
      </c>
      <c r="AF23" s="120">
        <f t="shared" si="14"/>
        <v>5</v>
      </c>
      <c r="AG23" s="120">
        <f t="shared" si="15"/>
        <v>11</v>
      </c>
      <c r="AH23" s="120">
        <f t="shared" si="16"/>
        <v>5.25</v>
      </c>
      <c r="AI23" s="118"/>
      <c r="AJ23" s="89"/>
      <c r="AK23" s="119"/>
      <c r="AN23" s="15"/>
      <c r="AO23" s="136"/>
      <c r="AS23" s="89">
        <f t="shared" si="20"/>
        <v>5.25</v>
      </c>
      <c r="AT23" s="236">
        <f t="shared" si="17"/>
        <v>6.8357980120655837</v>
      </c>
      <c r="AU23" s="229">
        <f t="shared" si="18"/>
        <v>430.65527476013176</v>
      </c>
      <c r="AV23" s="229">
        <f t="shared" si="19"/>
        <v>41.945274760131724</v>
      </c>
      <c r="AW23" s="101"/>
      <c r="AX23" s="101"/>
      <c r="AY23" s="101"/>
      <c r="AZ23" s="101"/>
      <c r="BA23" s="101"/>
      <c r="BB23"/>
      <c r="BC23"/>
      <c r="BD23"/>
      <c r="BE23"/>
      <c r="BF23"/>
      <c r="BG23"/>
      <c r="BH23"/>
      <c r="BI23"/>
    </row>
    <row r="24" spans="1:61" s="106" customFormat="1" ht="12" customHeight="1">
      <c r="A24" s="131" t="str">
        <f t="shared" si="2"/>
        <v>PA-C60RW1</v>
      </c>
      <c r="B24" s="264" t="s">
        <v>168</v>
      </c>
      <c r="C24" s="264" t="s">
        <v>108</v>
      </c>
      <c r="D24" s="149">
        <v>31.75</v>
      </c>
      <c r="E24" s="148">
        <v>22</v>
      </c>
      <c r="F24" s="122"/>
      <c r="G24" s="130">
        <v>111303.39</v>
      </c>
      <c r="H24" s="130">
        <v>112483.23000000001</v>
      </c>
      <c r="I24" s="130">
        <v>111061.34</v>
      </c>
      <c r="J24" s="130">
        <v>111347.04000000001</v>
      </c>
      <c r="K24" s="130">
        <v>109476.88</v>
      </c>
      <c r="L24" s="130">
        <v>109929.24</v>
      </c>
      <c r="M24" s="130">
        <v>108845.81</v>
      </c>
      <c r="N24" s="130">
        <v>109561.79999999999</v>
      </c>
      <c r="O24" s="130">
        <v>110118.18</v>
      </c>
      <c r="P24" s="130">
        <v>111816.56</v>
      </c>
      <c r="Q24" s="130">
        <v>111966.72</v>
      </c>
      <c r="R24" s="130">
        <v>113371.39</v>
      </c>
      <c r="S24" s="265">
        <f t="shared" si="3"/>
        <v>1331281.5799999998</v>
      </c>
      <c r="T24" s="266">
        <v>32000</v>
      </c>
      <c r="U24" s="266"/>
      <c r="V24" s="265">
        <f t="shared" si="4"/>
        <v>3505.6185826771653</v>
      </c>
      <c r="W24" s="265">
        <f t="shared" si="5"/>
        <v>3542.7788976377956</v>
      </c>
      <c r="X24" s="265">
        <f t="shared" si="6"/>
        <v>3497.994960629921</v>
      </c>
      <c r="Y24" s="265">
        <f t="shared" si="7"/>
        <v>3506.9933858267718</v>
      </c>
      <c r="Z24" s="265">
        <f t="shared" si="8"/>
        <v>3448.0907086614175</v>
      </c>
      <c r="AA24" s="265">
        <f t="shared" si="9"/>
        <v>3462.3382677165355</v>
      </c>
      <c r="AB24" s="265">
        <f t="shared" si="10"/>
        <v>3428.2144881889762</v>
      </c>
      <c r="AC24" s="265">
        <f t="shared" si="11"/>
        <v>3450.7653543307083</v>
      </c>
      <c r="AD24" s="265">
        <f t="shared" si="12"/>
        <v>3468.2891338582676</v>
      </c>
      <c r="AE24" s="265">
        <f t="shared" si="13"/>
        <v>3521.7814173228344</v>
      </c>
      <c r="AF24" s="265">
        <f t="shared" si="14"/>
        <v>3526.5108661417321</v>
      </c>
      <c r="AG24" s="265">
        <f t="shared" si="15"/>
        <v>3570.752440944882</v>
      </c>
      <c r="AH24" s="265">
        <f t="shared" si="16"/>
        <v>3494.1773753280845</v>
      </c>
      <c r="AI24" s="267"/>
      <c r="AJ24" s="268"/>
      <c r="AK24" s="269">
        <v>60</v>
      </c>
      <c r="AL24" s="270">
        <v>1</v>
      </c>
      <c r="AM24" s="267">
        <f t="shared" ref="AM24:AM32" si="21">+AH24*AL24</f>
        <v>3494.1773753280845</v>
      </c>
      <c r="AN24" s="271"/>
      <c r="AO24" s="272"/>
      <c r="AP24" s="270"/>
      <c r="AQ24" s="270"/>
      <c r="AR24" s="270"/>
      <c r="AS24" s="268">
        <f t="shared" si="20"/>
        <v>3494.1773753280845</v>
      </c>
      <c r="AT24" s="236">
        <f t="shared" si="17"/>
        <v>35.176108084778328</v>
      </c>
      <c r="AU24" s="229">
        <f t="shared" si="18"/>
        <v>1474938.7322631329</v>
      </c>
      <c r="AV24" s="229">
        <f t="shared" si="19"/>
        <v>143657.15226313309</v>
      </c>
      <c r="AW24" s="101"/>
      <c r="AX24" s="101"/>
      <c r="AY24" s="101"/>
      <c r="AZ24" s="101"/>
      <c r="BA24" s="101"/>
      <c r="BB24"/>
      <c r="BC24"/>
      <c r="BD24"/>
      <c r="BE24"/>
      <c r="BF24"/>
      <c r="BG24"/>
      <c r="BH24"/>
      <c r="BI24"/>
    </row>
    <row r="25" spans="1:61" s="106" customFormat="1" ht="12" customHeight="1">
      <c r="A25" s="131" t="str">
        <f t="shared" si="2"/>
        <v>PA-C35RE1</v>
      </c>
      <c r="B25" s="264" t="s">
        <v>171</v>
      </c>
      <c r="C25" s="264" t="s">
        <v>111</v>
      </c>
      <c r="D25" s="149">
        <v>14.05</v>
      </c>
      <c r="E25" s="148">
        <v>22</v>
      </c>
      <c r="F25" s="122"/>
      <c r="G25" s="130">
        <v>14594.400000000001</v>
      </c>
      <c r="H25" s="130">
        <v>14854.27</v>
      </c>
      <c r="I25" s="130">
        <v>14562.75</v>
      </c>
      <c r="J25" s="130">
        <v>14977.900000000001</v>
      </c>
      <c r="K25" s="130">
        <v>14485.47</v>
      </c>
      <c r="L25" s="130">
        <v>14611.929999999998</v>
      </c>
      <c r="M25" s="130">
        <v>14411.71</v>
      </c>
      <c r="N25" s="130">
        <v>14692.699999999999</v>
      </c>
      <c r="O25" s="130">
        <v>14580.28</v>
      </c>
      <c r="P25" s="130">
        <v>14882.32</v>
      </c>
      <c r="Q25" s="130">
        <v>14734.86</v>
      </c>
      <c r="R25" s="130">
        <v>14847.210000000001</v>
      </c>
      <c r="S25" s="265">
        <f t="shared" si="3"/>
        <v>176235.80000000002</v>
      </c>
      <c r="T25" s="266">
        <v>32000</v>
      </c>
      <c r="U25" s="266"/>
      <c r="V25" s="265">
        <f t="shared" si="4"/>
        <v>1038.7473309608542</v>
      </c>
      <c r="W25" s="265">
        <f t="shared" si="5"/>
        <v>1057.2434163701068</v>
      </c>
      <c r="X25" s="265">
        <f t="shared" si="6"/>
        <v>1036.494661921708</v>
      </c>
      <c r="Y25" s="265">
        <f t="shared" si="7"/>
        <v>1066.0427046263346</v>
      </c>
      <c r="Z25" s="265">
        <f t="shared" si="8"/>
        <v>1030.9943060498219</v>
      </c>
      <c r="AA25" s="265">
        <f t="shared" si="9"/>
        <v>1039.9950177935941</v>
      </c>
      <c r="AB25" s="265">
        <f t="shared" si="10"/>
        <v>1025.7444839857651</v>
      </c>
      <c r="AC25" s="265">
        <f t="shared" si="11"/>
        <v>1045.7437722419927</v>
      </c>
      <c r="AD25" s="265">
        <f t="shared" si="12"/>
        <v>1037.7423487544484</v>
      </c>
      <c r="AE25" s="265">
        <f t="shared" si="13"/>
        <v>1059.2398576512455</v>
      </c>
      <c r="AF25" s="265">
        <f t="shared" si="14"/>
        <v>1048.7444839857651</v>
      </c>
      <c r="AG25" s="265">
        <f t="shared" si="15"/>
        <v>1056.740925266904</v>
      </c>
      <c r="AH25" s="265">
        <f t="shared" si="16"/>
        <v>1045.2894424673784</v>
      </c>
      <c r="AI25" s="267"/>
      <c r="AJ25" s="268"/>
      <c r="AK25" s="269">
        <v>35</v>
      </c>
      <c r="AL25" s="270">
        <v>1</v>
      </c>
      <c r="AM25" s="267">
        <f t="shared" si="21"/>
        <v>1045.2894424673784</v>
      </c>
      <c r="AN25" s="271"/>
      <c r="AO25" s="272"/>
      <c r="AP25" s="270"/>
      <c r="AQ25" s="270"/>
      <c r="AR25" s="270"/>
      <c r="AS25" s="268">
        <f t="shared" si="20"/>
        <v>1045.2894424673784</v>
      </c>
      <c r="AT25" s="236">
        <f t="shared" si="17"/>
        <v>15.566120270586945</v>
      </c>
      <c r="AU25" s="229">
        <f t="shared" si="18"/>
        <v>195253.21414826383</v>
      </c>
      <c r="AV25" s="229">
        <f t="shared" si="19"/>
        <v>19017.414148263808</v>
      </c>
      <c r="AW25" s="101"/>
      <c r="AX25" s="101"/>
      <c r="AY25" s="101"/>
      <c r="AZ25" s="101"/>
      <c r="BA25" s="101"/>
      <c r="BB25"/>
      <c r="BC25"/>
      <c r="BD25"/>
      <c r="BE25"/>
      <c r="BF25"/>
      <c r="BG25"/>
      <c r="BH25"/>
      <c r="BI25"/>
    </row>
    <row r="26" spans="1:61" s="106" customFormat="1" ht="12" customHeight="1">
      <c r="A26" s="131" t="str">
        <f t="shared" si="2"/>
        <v>PA-C35RM1</v>
      </c>
      <c r="B26" s="264" t="s">
        <v>174</v>
      </c>
      <c r="C26" s="264" t="s">
        <v>359</v>
      </c>
      <c r="D26" s="149">
        <v>8.6</v>
      </c>
      <c r="E26" s="148">
        <v>22</v>
      </c>
      <c r="F26" s="122"/>
      <c r="G26" s="130">
        <v>1195.4000000000001</v>
      </c>
      <c r="H26" s="130">
        <v>1212.6000000000001</v>
      </c>
      <c r="I26" s="130">
        <v>1221.2</v>
      </c>
      <c r="J26" s="130">
        <v>1238.4000000000001</v>
      </c>
      <c r="K26" s="130">
        <v>1182.5</v>
      </c>
      <c r="L26" s="130">
        <v>1225.5</v>
      </c>
      <c r="M26" s="130">
        <v>1156.7</v>
      </c>
      <c r="N26" s="130">
        <v>1173.9000000000001</v>
      </c>
      <c r="O26" s="130">
        <v>1208.3</v>
      </c>
      <c r="P26" s="130">
        <v>1242.7</v>
      </c>
      <c r="Q26" s="130">
        <v>1161</v>
      </c>
      <c r="R26" s="130">
        <v>1169.5999999999999</v>
      </c>
      <c r="S26" s="265">
        <f t="shared" si="3"/>
        <v>14387.800000000001</v>
      </c>
      <c r="T26" s="266">
        <v>32000</v>
      </c>
      <c r="U26" s="266"/>
      <c r="V26" s="265">
        <f t="shared" si="4"/>
        <v>139.00000000000003</v>
      </c>
      <c r="W26" s="265">
        <f t="shared" si="5"/>
        <v>141.00000000000003</v>
      </c>
      <c r="X26" s="265">
        <f t="shared" si="6"/>
        <v>142</v>
      </c>
      <c r="Y26" s="265">
        <f t="shared" si="7"/>
        <v>144.00000000000003</v>
      </c>
      <c r="Z26" s="265">
        <f t="shared" si="8"/>
        <v>137.5</v>
      </c>
      <c r="AA26" s="265">
        <f t="shared" si="9"/>
        <v>142.5</v>
      </c>
      <c r="AB26" s="265">
        <f t="shared" si="10"/>
        <v>134.5</v>
      </c>
      <c r="AC26" s="265">
        <f t="shared" si="11"/>
        <v>136.50000000000003</v>
      </c>
      <c r="AD26" s="265">
        <f t="shared" si="12"/>
        <v>140.5</v>
      </c>
      <c r="AE26" s="265">
        <f t="shared" si="13"/>
        <v>144.5</v>
      </c>
      <c r="AF26" s="265">
        <f t="shared" si="14"/>
        <v>135</v>
      </c>
      <c r="AG26" s="265">
        <f t="shared" si="15"/>
        <v>136</v>
      </c>
      <c r="AH26" s="265">
        <f t="shared" si="16"/>
        <v>139.41666666666669</v>
      </c>
      <c r="AI26" s="267"/>
      <c r="AJ26" s="268"/>
      <c r="AK26" s="269">
        <v>35</v>
      </c>
      <c r="AL26" s="270">
        <v>1</v>
      </c>
      <c r="AM26" s="267">
        <f t="shared" si="21"/>
        <v>139.41666666666669</v>
      </c>
      <c r="AN26" s="271"/>
      <c r="AO26" s="272"/>
      <c r="AP26" s="270"/>
      <c r="AQ26" s="270"/>
      <c r="AR26" s="270"/>
      <c r="AS26" s="268">
        <f t="shared" si="20"/>
        <v>139.41666666666669</v>
      </c>
      <c r="AT26" s="236">
        <f t="shared" si="17"/>
        <v>9.5280166780816877</v>
      </c>
      <c r="AU26" s="229">
        <f t="shared" si="18"/>
        <v>15940.371902430665</v>
      </c>
      <c r="AV26" s="229">
        <f t="shared" si="19"/>
        <v>1552.5719024306636</v>
      </c>
      <c r="AW26" s="101"/>
      <c r="AX26" s="101"/>
      <c r="AY26" s="101"/>
      <c r="AZ26" s="101"/>
      <c r="BA26" s="101"/>
      <c r="BB26"/>
      <c r="BC26"/>
      <c r="BD26"/>
      <c r="BE26"/>
      <c r="BF26"/>
      <c r="BG26"/>
      <c r="BH26"/>
      <c r="BI26"/>
    </row>
    <row r="27" spans="1:61" s="106" customFormat="1" ht="12" customHeight="1">
      <c r="A27" s="131" t="str">
        <f t="shared" si="2"/>
        <v>PA-C60RE1</v>
      </c>
      <c r="B27" s="264" t="s">
        <v>172</v>
      </c>
      <c r="C27" s="264" t="s">
        <v>112</v>
      </c>
      <c r="D27" s="149">
        <v>18.190000000000001</v>
      </c>
      <c r="E27" s="148">
        <v>22</v>
      </c>
      <c r="F27" s="122"/>
      <c r="G27" s="130">
        <v>47198.380000000005</v>
      </c>
      <c r="H27" s="130">
        <v>47925.82</v>
      </c>
      <c r="I27" s="130">
        <v>47039.21</v>
      </c>
      <c r="J27" s="130">
        <v>47175.6</v>
      </c>
      <c r="K27" s="130">
        <v>46643.6</v>
      </c>
      <c r="L27" s="130">
        <v>47098.250000000007</v>
      </c>
      <c r="M27" s="130">
        <v>46830.04</v>
      </c>
      <c r="N27" s="130">
        <v>47366.86</v>
      </c>
      <c r="O27" s="130">
        <v>47157.47</v>
      </c>
      <c r="P27" s="130">
        <v>48012.29</v>
      </c>
      <c r="Q27" s="130">
        <v>47549.670000000006</v>
      </c>
      <c r="R27" s="130">
        <v>48168.070000000007</v>
      </c>
      <c r="S27" s="265">
        <f t="shared" si="3"/>
        <v>568165.26</v>
      </c>
      <c r="T27" s="266">
        <v>32000</v>
      </c>
      <c r="U27" s="266"/>
      <c r="V27" s="265">
        <f t="shared" si="4"/>
        <v>2594.7432655305115</v>
      </c>
      <c r="W27" s="265">
        <f t="shared" si="5"/>
        <v>2634.7344694887297</v>
      </c>
      <c r="X27" s="265">
        <f t="shared" si="6"/>
        <v>2585.9928532160525</v>
      </c>
      <c r="Y27" s="265">
        <f t="shared" si="7"/>
        <v>2593.4909290819128</v>
      </c>
      <c r="Z27" s="265">
        <f t="shared" si="8"/>
        <v>2564.2440901594282</v>
      </c>
      <c r="AA27" s="265">
        <f t="shared" si="9"/>
        <v>2589.2385926333154</v>
      </c>
      <c r="AB27" s="265">
        <f t="shared" si="10"/>
        <v>2574.4936778449696</v>
      </c>
      <c r="AC27" s="265">
        <f t="shared" si="11"/>
        <v>2604.0054975261132</v>
      </c>
      <c r="AD27" s="265">
        <f t="shared" si="12"/>
        <v>2592.4942275975809</v>
      </c>
      <c r="AE27" s="265">
        <f t="shared" si="13"/>
        <v>2639.4881803188564</v>
      </c>
      <c r="AF27" s="265">
        <f t="shared" si="14"/>
        <v>2614.055525013744</v>
      </c>
      <c r="AG27" s="265">
        <f t="shared" si="15"/>
        <v>2648.0522264980759</v>
      </c>
      <c r="AH27" s="265">
        <f t="shared" si="16"/>
        <v>2602.9194612424408</v>
      </c>
      <c r="AI27" s="267"/>
      <c r="AJ27" s="268"/>
      <c r="AK27" s="269">
        <v>60</v>
      </c>
      <c r="AL27" s="270">
        <v>1</v>
      </c>
      <c r="AM27" s="267">
        <f t="shared" si="21"/>
        <v>2602.9194612424408</v>
      </c>
      <c r="AN27" s="271"/>
      <c r="AO27" s="272"/>
      <c r="AP27" s="270"/>
      <c r="AQ27" s="270"/>
      <c r="AR27" s="270"/>
      <c r="AS27" s="268">
        <f t="shared" si="20"/>
        <v>2602.9194612424408</v>
      </c>
      <c r="AT27" s="236">
        <f t="shared" si="17"/>
        <v>20.152863183058827</v>
      </c>
      <c r="AU27" s="229">
        <f t="shared" si="18"/>
        <v>629475.35734728118</v>
      </c>
      <c r="AV27" s="229">
        <f t="shared" si="19"/>
        <v>61310.097347281175</v>
      </c>
      <c r="AW27" s="101"/>
      <c r="AX27" s="101"/>
      <c r="AY27" s="101"/>
      <c r="AZ27" s="101"/>
      <c r="BA27" s="101"/>
      <c r="BB27"/>
      <c r="BC27"/>
      <c r="BD27"/>
      <c r="BE27"/>
      <c r="BF27"/>
      <c r="BG27"/>
      <c r="BH27"/>
      <c r="BI27"/>
    </row>
    <row r="28" spans="1:61" s="106" customFormat="1" ht="12" customHeight="1">
      <c r="A28" s="131" t="str">
        <f t="shared" si="2"/>
        <v>PA-C60RE2</v>
      </c>
      <c r="B28" s="264" t="s">
        <v>173</v>
      </c>
      <c r="C28" s="264" t="s">
        <v>113</v>
      </c>
      <c r="D28" s="149">
        <v>36.380000000000003</v>
      </c>
      <c r="E28" s="148">
        <v>22</v>
      </c>
      <c r="F28" s="122"/>
      <c r="G28" s="130">
        <v>109.14</v>
      </c>
      <c r="H28" s="130">
        <v>109.14</v>
      </c>
      <c r="I28" s="130">
        <v>109.14</v>
      </c>
      <c r="J28" s="130">
        <v>109.14</v>
      </c>
      <c r="K28" s="130">
        <v>109.14</v>
      </c>
      <c r="L28" s="130">
        <v>109.14</v>
      </c>
      <c r="M28" s="130">
        <v>109.14</v>
      </c>
      <c r="N28" s="130">
        <v>109.14</v>
      </c>
      <c r="O28" s="130">
        <v>109.14</v>
      </c>
      <c r="P28" s="130">
        <v>127.33</v>
      </c>
      <c r="Q28" s="130">
        <v>118.24000000000001</v>
      </c>
      <c r="R28" s="130">
        <v>118.23</v>
      </c>
      <c r="S28" s="265">
        <f t="shared" si="3"/>
        <v>1346.06</v>
      </c>
      <c r="T28" s="266">
        <v>32000</v>
      </c>
      <c r="U28" s="266"/>
      <c r="V28" s="265">
        <f t="shared" si="4"/>
        <v>3</v>
      </c>
      <c r="W28" s="265">
        <f t="shared" si="5"/>
        <v>3</v>
      </c>
      <c r="X28" s="265">
        <f t="shared" si="6"/>
        <v>3</v>
      </c>
      <c r="Y28" s="265">
        <f t="shared" si="7"/>
        <v>3</v>
      </c>
      <c r="Z28" s="265">
        <f t="shared" si="8"/>
        <v>3</v>
      </c>
      <c r="AA28" s="265">
        <f t="shared" si="9"/>
        <v>3</v>
      </c>
      <c r="AB28" s="265">
        <f t="shared" si="10"/>
        <v>3</v>
      </c>
      <c r="AC28" s="265">
        <f t="shared" si="11"/>
        <v>3</v>
      </c>
      <c r="AD28" s="265">
        <f t="shared" si="12"/>
        <v>3</v>
      </c>
      <c r="AE28" s="265">
        <f t="shared" si="13"/>
        <v>3.4999999999999996</v>
      </c>
      <c r="AF28" s="265">
        <f t="shared" si="14"/>
        <v>3.2501374381528314</v>
      </c>
      <c r="AG28" s="265">
        <f t="shared" si="15"/>
        <v>3.2498625618471686</v>
      </c>
      <c r="AH28" s="265">
        <f t="shared" si="16"/>
        <v>3.0833333333333335</v>
      </c>
      <c r="AI28" s="267"/>
      <c r="AJ28" s="268"/>
      <c r="AK28" s="269">
        <v>60</v>
      </c>
      <c r="AL28" s="270">
        <v>2</v>
      </c>
      <c r="AM28" s="267">
        <f t="shared" si="21"/>
        <v>6.166666666666667</v>
      </c>
      <c r="AN28" s="271"/>
      <c r="AO28" s="272"/>
      <c r="AP28" s="270"/>
      <c r="AQ28" s="270"/>
      <c r="AR28" s="270"/>
      <c r="AS28" s="268">
        <f t="shared" si="20"/>
        <v>3.0833333333333335</v>
      </c>
      <c r="AT28" s="236">
        <f t="shared" si="17"/>
        <v>40.305726366117653</v>
      </c>
      <c r="AU28" s="229">
        <f t="shared" si="18"/>
        <v>1491.3118755463533</v>
      </c>
      <c r="AV28" s="229">
        <f t="shared" si="19"/>
        <v>145.2518755463534</v>
      </c>
      <c r="AW28" s="101"/>
      <c r="AX28" s="101"/>
      <c r="AY28" s="101"/>
      <c r="AZ28" s="101"/>
      <c r="BA28" s="101"/>
      <c r="BB28"/>
      <c r="BC28"/>
      <c r="BD28"/>
      <c r="BE28"/>
      <c r="BF28"/>
      <c r="BG28"/>
      <c r="BH28"/>
      <c r="BI28"/>
    </row>
    <row r="29" spans="1:61" s="106" customFormat="1" ht="12" customHeight="1">
      <c r="A29" s="131" t="str">
        <f t="shared" si="2"/>
        <v>PA-C60RM1</v>
      </c>
      <c r="B29" s="264" t="s">
        <v>175</v>
      </c>
      <c r="C29" s="264" t="s">
        <v>114</v>
      </c>
      <c r="D29" s="149">
        <v>12.33</v>
      </c>
      <c r="E29" s="148">
        <v>22</v>
      </c>
      <c r="F29" s="122"/>
      <c r="G29" s="130">
        <v>2009.79</v>
      </c>
      <c r="H29" s="130">
        <v>2009.79</v>
      </c>
      <c r="I29" s="130">
        <v>2009.79</v>
      </c>
      <c r="J29" s="130">
        <v>2034.45</v>
      </c>
      <c r="K29" s="130">
        <v>1985.13</v>
      </c>
      <c r="L29" s="130">
        <v>2022.1200000000001</v>
      </c>
      <c r="M29" s="130">
        <v>2028.29</v>
      </c>
      <c r="N29" s="130">
        <v>2114.59</v>
      </c>
      <c r="O29" s="130">
        <v>2065.2800000000002</v>
      </c>
      <c r="P29" s="130">
        <v>2077.6</v>
      </c>
      <c r="Q29" s="130">
        <v>1991.3</v>
      </c>
      <c r="R29" s="130">
        <v>1991.29</v>
      </c>
      <c r="S29" s="265">
        <f t="shared" si="3"/>
        <v>24339.42</v>
      </c>
      <c r="T29" s="266">
        <v>32000</v>
      </c>
      <c r="U29" s="266"/>
      <c r="V29" s="265">
        <f t="shared" si="4"/>
        <v>163</v>
      </c>
      <c r="W29" s="265">
        <f t="shared" si="5"/>
        <v>163</v>
      </c>
      <c r="X29" s="265">
        <f t="shared" si="6"/>
        <v>163</v>
      </c>
      <c r="Y29" s="265">
        <f t="shared" si="7"/>
        <v>165</v>
      </c>
      <c r="Z29" s="265">
        <f t="shared" si="8"/>
        <v>161</v>
      </c>
      <c r="AA29" s="265">
        <f t="shared" si="9"/>
        <v>164</v>
      </c>
      <c r="AB29" s="265">
        <f t="shared" si="10"/>
        <v>164.50040551500405</v>
      </c>
      <c r="AC29" s="265">
        <f t="shared" si="11"/>
        <v>171.49959448499595</v>
      </c>
      <c r="AD29" s="265">
        <f t="shared" si="12"/>
        <v>167.50040551500408</v>
      </c>
      <c r="AE29" s="265">
        <f t="shared" si="13"/>
        <v>168.49959448499592</v>
      </c>
      <c r="AF29" s="265">
        <f t="shared" si="14"/>
        <v>161.50040551500405</v>
      </c>
      <c r="AG29" s="265">
        <f t="shared" si="15"/>
        <v>161.49959448499595</v>
      </c>
      <c r="AH29" s="265">
        <f t="shared" si="16"/>
        <v>164.5</v>
      </c>
      <c r="AI29" s="267"/>
      <c r="AJ29" s="268"/>
      <c r="AK29" s="269">
        <v>60</v>
      </c>
      <c r="AL29" s="270">
        <v>1</v>
      </c>
      <c r="AM29" s="267">
        <f t="shared" si="21"/>
        <v>164.5</v>
      </c>
      <c r="AN29" s="271"/>
      <c r="AO29" s="272"/>
      <c r="AP29" s="270"/>
      <c r="AQ29" s="270"/>
      <c r="AR29" s="270"/>
      <c r="AS29" s="268">
        <f t="shared" si="20"/>
        <v>164.5</v>
      </c>
      <c r="AT29" s="236">
        <f t="shared" si="17"/>
        <v>13.660516934970607</v>
      </c>
      <c r="AU29" s="229">
        <f t="shared" si="18"/>
        <v>26965.860429631975</v>
      </c>
      <c r="AV29" s="229">
        <f t="shared" si="19"/>
        <v>2626.4404296319772</v>
      </c>
      <c r="AW29" s="101"/>
      <c r="AX29" s="101"/>
      <c r="AY29" s="101"/>
      <c r="AZ29" s="101"/>
      <c r="BA29" s="101"/>
    </row>
    <row r="30" spans="1:61" s="106" customFormat="1" ht="12" customHeight="1">
      <c r="A30" s="131" t="str">
        <f t="shared" si="2"/>
        <v>PA-C60RW2</v>
      </c>
      <c r="B30" s="264" t="s">
        <v>169</v>
      </c>
      <c r="C30" s="264" t="s">
        <v>109</v>
      </c>
      <c r="D30" s="149">
        <v>63.5</v>
      </c>
      <c r="E30" s="148">
        <v>22</v>
      </c>
      <c r="F30" s="122"/>
      <c r="G30" s="130">
        <v>952.5</v>
      </c>
      <c r="H30" s="130">
        <v>936.63</v>
      </c>
      <c r="I30" s="130">
        <v>936.63</v>
      </c>
      <c r="J30" s="130">
        <v>936.62</v>
      </c>
      <c r="K30" s="130">
        <v>912.81</v>
      </c>
      <c r="L30" s="130">
        <v>928.68</v>
      </c>
      <c r="M30" s="130">
        <v>952.5</v>
      </c>
      <c r="N30" s="130">
        <v>952.5</v>
      </c>
      <c r="O30" s="130">
        <v>952.5</v>
      </c>
      <c r="P30" s="130">
        <v>1016</v>
      </c>
      <c r="Q30" s="130">
        <v>1111.25</v>
      </c>
      <c r="R30" s="130">
        <v>1143</v>
      </c>
      <c r="S30" s="265">
        <f t="shared" si="3"/>
        <v>11731.62</v>
      </c>
      <c r="T30" s="266">
        <v>32000</v>
      </c>
      <c r="U30" s="266"/>
      <c r="V30" s="265">
        <f t="shared" si="4"/>
        <v>15</v>
      </c>
      <c r="W30" s="265">
        <f t="shared" si="5"/>
        <v>14.75007874015748</v>
      </c>
      <c r="X30" s="265">
        <f t="shared" si="6"/>
        <v>14.75007874015748</v>
      </c>
      <c r="Y30" s="265">
        <f t="shared" si="7"/>
        <v>14.74992125984252</v>
      </c>
      <c r="Z30" s="265">
        <f t="shared" si="8"/>
        <v>14.37496062992126</v>
      </c>
      <c r="AA30" s="265">
        <f t="shared" si="9"/>
        <v>14.624881889763779</v>
      </c>
      <c r="AB30" s="265">
        <f t="shared" si="10"/>
        <v>15</v>
      </c>
      <c r="AC30" s="265">
        <f t="shared" si="11"/>
        <v>15</v>
      </c>
      <c r="AD30" s="265">
        <f t="shared" si="12"/>
        <v>15</v>
      </c>
      <c r="AE30" s="265">
        <f t="shared" si="13"/>
        <v>16</v>
      </c>
      <c r="AF30" s="265">
        <f t="shared" si="14"/>
        <v>17.5</v>
      </c>
      <c r="AG30" s="265">
        <f t="shared" si="15"/>
        <v>18</v>
      </c>
      <c r="AH30" s="265">
        <f t="shared" si="16"/>
        <v>15.395826771653544</v>
      </c>
      <c r="AI30" s="267"/>
      <c r="AJ30" s="268"/>
      <c r="AK30" s="269">
        <v>60</v>
      </c>
      <c r="AL30" s="270">
        <v>2</v>
      </c>
      <c r="AM30" s="267">
        <f t="shared" si="21"/>
        <v>30.791653543307088</v>
      </c>
      <c r="AN30" s="271"/>
      <c r="AO30" s="272"/>
      <c r="AP30" s="270"/>
      <c r="AQ30" s="270"/>
      <c r="AR30" s="270"/>
      <c r="AS30" s="268">
        <f t="shared" si="20"/>
        <v>15.395826771653544</v>
      </c>
      <c r="AT30" s="236">
        <f t="shared" si="17"/>
        <v>70.352216169556655</v>
      </c>
      <c r="AU30" s="229">
        <f t="shared" si="18"/>
        <v>12997.566397781013</v>
      </c>
      <c r="AV30" s="229">
        <f t="shared" si="19"/>
        <v>1265.9463977810119</v>
      </c>
      <c r="AW30" s="101"/>
      <c r="AX30" s="101"/>
      <c r="AY30" s="101"/>
      <c r="AZ30" s="101"/>
      <c r="BA30" s="101"/>
    </row>
    <row r="31" spans="1:61" s="106" customFormat="1" ht="12" customHeight="1">
      <c r="A31" s="131" t="str">
        <f t="shared" si="2"/>
        <v>PA-C96RE1</v>
      </c>
      <c r="B31" s="264" t="s">
        <v>360</v>
      </c>
      <c r="C31" s="264" t="s">
        <v>361</v>
      </c>
      <c r="D31" s="149">
        <v>23.64</v>
      </c>
      <c r="E31" s="148">
        <v>22</v>
      </c>
      <c r="F31" s="122"/>
      <c r="G31" s="130">
        <v>16536.27</v>
      </c>
      <c r="H31" s="130">
        <v>16890.919999999998</v>
      </c>
      <c r="I31" s="130">
        <v>16902.599999999999</v>
      </c>
      <c r="J31" s="130">
        <v>17198.099999999999</v>
      </c>
      <c r="K31" s="130">
        <v>17286.75</v>
      </c>
      <c r="L31" s="130">
        <v>17738.489999999998</v>
      </c>
      <c r="M31" s="130">
        <v>17487.689999999999</v>
      </c>
      <c r="N31" s="130">
        <v>17735.91</v>
      </c>
      <c r="O31" s="130">
        <v>17919.12</v>
      </c>
      <c r="P31" s="130">
        <v>18415.559999999998</v>
      </c>
      <c r="Q31" s="130">
        <v>18758.34</v>
      </c>
      <c r="R31" s="130">
        <v>19172.04</v>
      </c>
      <c r="S31" s="265">
        <f t="shared" si="3"/>
        <v>212041.79</v>
      </c>
      <c r="T31" s="266">
        <v>32000</v>
      </c>
      <c r="U31" s="266"/>
      <c r="V31" s="265">
        <f t="shared" si="4"/>
        <v>699.50380710659897</v>
      </c>
      <c r="W31" s="265">
        <f t="shared" si="5"/>
        <v>714.50592216582061</v>
      </c>
      <c r="X31" s="265">
        <f t="shared" si="6"/>
        <v>714.99999999999989</v>
      </c>
      <c r="Y31" s="265">
        <f t="shared" si="7"/>
        <v>727.49999999999989</v>
      </c>
      <c r="Z31" s="265">
        <f t="shared" si="8"/>
        <v>731.25</v>
      </c>
      <c r="AA31" s="265">
        <f t="shared" si="9"/>
        <v>750.35913705583744</v>
      </c>
      <c r="AB31" s="265">
        <f t="shared" si="10"/>
        <v>739.74999999999989</v>
      </c>
      <c r="AC31" s="265">
        <f t="shared" si="11"/>
        <v>750.25</v>
      </c>
      <c r="AD31" s="265">
        <f t="shared" si="12"/>
        <v>757.99999999999989</v>
      </c>
      <c r="AE31" s="265">
        <f t="shared" si="13"/>
        <v>778.99999999999989</v>
      </c>
      <c r="AF31" s="265">
        <f t="shared" si="14"/>
        <v>793.5</v>
      </c>
      <c r="AG31" s="265">
        <f t="shared" si="15"/>
        <v>811</v>
      </c>
      <c r="AH31" s="265">
        <f t="shared" si="16"/>
        <v>747.46823886068807</v>
      </c>
      <c r="AI31" s="267"/>
      <c r="AJ31" s="268"/>
      <c r="AK31" s="269">
        <v>96</v>
      </c>
      <c r="AL31" s="270">
        <v>1</v>
      </c>
      <c r="AM31" s="267">
        <f t="shared" si="21"/>
        <v>747.46823886068807</v>
      </c>
      <c r="AN31" s="271"/>
      <c r="AO31" s="272"/>
      <c r="AP31" s="270"/>
      <c r="AQ31" s="270"/>
      <c r="AR31" s="270"/>
      <c r="AS31" s="268">
        <f t="shared" si="20"/>
        <v>747.46823886068807</v>
      </c>
      <c r="AT31" s="236">
        <f t="shared" si="17"/>
        <v>26.190966775564082</v>
      </c>
      <c r="AU31" s="229">
        <f t="shared" si="18"/>
        <v>234922.98971747616</v>
      </c>
      <c r="AV31" s="229">
        <f t="shared" si="19"/>
        <v>22881.199717476149</v>
      </c>
    </row>
    <row r="32" spans="1:61" s="106" customFormat="1" ht="12" customHeight="1">
      <c r="A32" s="131" t="str">
        <f t="shared" si="2"/>
        <v>PA-C96RM1</v>
      </c>
      <c r="B32" s="264" t="s">
        <v>362</v>
      </c>
      <c r="C32" s="264" t="s">
        <v>363</v>
      </c>
      <c r="D32" s="149">
        <v>15.94</v>
      </c>
      <c r="E32" s="148">
        <v>22</v>
      </c>
      <c r="F32" s="122"/>
      <c r="G32" s="130">
        <v>549.92999999999995</v>
      </c>
      <c r="H32" s="130">
        <v>549.92999999999995</v>
      </c>
      <c r="I32" s="130">
        <v>541.96</v>
      </c>
      <c r="J32" s="130">
        <v>557.90000000000009</v>
      </c>
      <c r="K32" s="130">
        <v>581.80999999999995</v>
      </c>
      <c r="L32" s="130">
        <v>613.68999999999994</v>
      </c>
      <c r="M32" s="130">
        <v>557.9</v>
      </c>
      <c r="N32" s="130">
        <v>557.9</v>
      </c>
      <c r="O32" s="130">
        <v>581.80999999999995</v>
      </c>
      <c r="P32" s="130">
        <v>581.80999999999995</v>
      </c>
      <c r="Q32" s="130">
        <v>581.80999999999995</v>
      </c>
      <c r="R32" s="130">
        <v>597.75</v>
      </c>
      <c r="S32" s="265">
        <f t="shared" si="3"/>
        <v>6854.1999999999989</v>
      </c>
      <c r="T32" s="266">
        <v>32000</v>
      </c>
      <c r="U32" s="266"/>
      <c r="V32" s="265">
        <f t="shared" si="4"/>
        <v>34.5</v>
      </c>
      <c r="W32" s="265">
        <f t="shared" si="5"/>
        <v>34.5</v>
      </c>
      <c r="X32" s="265">
        <f t="shared" si="6"/>
        <v>34</v>
      </c>
      <c r="Y32" s="265">
        <f t="shared" si="7"/>
        <v>35.000000000000007</v>
      </c>
      <c r="Z32" s="265">
        <f t="shared" si="8"/>
        <v>36.5</v>
      </c>
      <c r="AA32" s="265">
        <f t="shared" si="9"/>
        <v>38.5</v>
      </c>
      <c r="AB32" s="265">
        <f t="shared" si="10"/>
        <v>35</v>
      </c>
      <c r="AC32" s="265">
        <f t="shared" si="11"/>
        <v>35</v>
      </c>
      <c r="AD32" s="265">
        <f t="shared" si="12"/>
        <v>36.5</v>
      </c>
      <c r="AE32" s="265">
        <f t="shared" si="13"/>
        <v>36.5</v>
      </c>
      <c r="AF32" s="265">
        <f t="shared" si="14"/>
        <v>36.5</v>
      </c>
      <c r="AG32" s="265">
        <f t="shared" si="15"/>
        <v>37.5</v>
      </c>
      <c r="AH32" s="265">
        <f t="shared" si="16"/>
        <v>35.833333333333336</v>
      </c>
      <c r="AI32" s="267"/>
      <c r="AJ32" s="268"/>
      <c r="AK32" s="269">
        <v>96</v>
      </c>
      <c r="AL32" s="270">
        <v>1</v>
      </c>
      <c r="AM32" s="267">
        <f t="shared" si="21"/>
        <v>35.833333333333336</v>
      </c>
      <c r="AN32" s="271"/>
      <c r="AO32" s="272"/>
      <c r="AP32" s="270"/>
      <c r="AQ32" s="270"/>
      <c r="AR32" s="270"/>
      <c r="AS32" s="268">
        <f t="shared" si="20"/>
        <v>35.833333333333336</v>
      </c>
      <c r="AT32" s="236">
        <f t="shared" si="17"/>
        <v>17.660068121932802</v>
      </c>
      <c r="AU32" s="229">
        <f t="shared" si="18"/>
        <v>7593.8292924311045</v>
      </c>
      <c r="AV32" s="229">
        <f t="shared" si="19"/>
        <v>739.62929243110557</v>
      </c>
    </row>
    <row r="33" spans="1:48" s="107" customFormat="1" ht="12" customHeight="1">
      <c r="A33" s="107" t="str">
        <f t="shared" si="2"/>
        <v>PA-CDRVNRE1</v>
      </c>
      <c r="B33" s="99" t="s">
        <v>185</v>
      </c>
      <c r="C33" s="99" t="s">
        <v>524</v>
      </c>
      <c r="D33" s="149">
        <v>5.39</v>
      </c>
      <c r="E33" s="148">
        <v>19</v>
      </c>
      <c r="F33" s="122"/>
      <c r="G33" s="120">
        <v>97.02</v>
      </c>
      <c r="H33" s="120">
        <v>97.02</v>
      </c>
      <c r="I33" s="120">
        <v>94.33</v>
      </c>
      <c r="J33" s="120">
        <v>91.61999999999999</v>
      </c>
      <c r="K33" s="120">
        <v>84.87</v>
      </c>
      <c r="L33" s="120">
        <v>90.25</v>
      </c>
      <c r="M33" s="120">
        <v>91.63</v>
      </c>
      <c r="N33" s="120">
        <v>91.63</v>
      </c>
      <c r="O33" s="120">
        <v>88.93</v>
      </c>
      <c r="P33" s="120">
        <v>88.93</v>
      </c>
      <c r="Q33" s="120">
        <v>86.24</v>
      </c>
      <c r="R33" s="120">
        <v>86.24</v>
      </c>
      <c r="S33" s="120">
        <f t="shared" si="3"/>
        <v>1088.71</v>
      </c>
      <c r="T33" s="107">
        <v>32000</v>
      </c>
      <c r="V33" s="120">
        <f t="shared" si="4"/>
        <v>18</v>
      </c>
      <c r="W33" s="120">
        <f t="shared" si="5"/>
        <v>18</v>
      </c>
      <c r="X33" s="120">
        <f t="shared" si="6"/>
        <v>17.500927643784788</v>
      </c>
      <c r="Y33" s="120">
        <f t="shared" si="7"/>
        <v>16.998144712430427</v>
      </c>
      <c r="Z33" s="120">
        <f t="shared" si="8"/>
        <v>15.745825602968463</v>
      </c>
      <c r="AA33" s="120">
        <f t="shared" si="9"/>
        <v>16.743970315398887</v>
      </c>
      <c r="AB33" s="120">
        <f t="shared" si="10"/>
        <v>17</v>
      </c>
      <c r="AC33" s="120">
        <f t="shared" si="11"/>
        <v>17</v>
      </c>
      <c r="AD33" s="120">
        <f t="shared" si="12"/>
        <v>16.499072356215216</v>
      </c>
      <c r="AE33" s="120">
        <f t="shared" si="13"/>
        <v>16.499072356215216</v>
      </c>
      <c r="AF33" s="120">
        <f t="shared" si="14"/>
        <v>16</v>
      </c>
      <c r="AG33" s="120">
        <f t="shared" si="15"/>
        <v>16</v>
      </c>
      <c r="AH33" s="120">
        <f t="shared" si="16"/>
        <v>16.83225108225108</v>
      </c>
      <c r="AI33" s="118"/>
      <c r="AJ33" s="89"/>
      <c r="AK33" s="119"/>
      <c r="AN33" s="15"/>
      <c r="AO33" s="136"/>
      <c r="AS33" s="89">
        <f t="shared" si="20"/>
        <v>16.83225108225108</v>
      </c>
      <c r="AT33" s="236">
        <f t="shared" si="17"/>
        <v>5.9716290575418949</v>
      </c>
      <c r="AU33" s="229">
        <f t="shared" si="18"/>
        <v>1206.1915159993387</v>
      </c>
      <c r="AV33" s="229">
        <f t="shared" si="19"/>
        <v>117.48151599933863</v>
      </c>
    </row>
    <row r="34" spans="1:48" s="107" customFormat="1" ht="12" customHeight="1">
      <c r="A34" s="107" t="str">
        <f t="shared" si="2"/>
        <v>PA-CDRVNRE2</v>
      </c>
      <c r="B34" s="99" t="s">
        <v>183</v>
      </c>
      <c r="C34" s="99" t="s">
        <v>523</v>
      </c>
      <c r="D34" s="149">
        <v>5.39</v>
      </c>
      <c r="E34" s="148">
        <v>19</v>
      </c>
      <c r="F34" s="122"/>
      <c r="G34" s="120">
        <v>140.13999999999999</v>
      </c>
      <c r="H34" s="120">
        <v>140.13999999999999</v>
      </c>
      <c r="I34" s="120">
        <v>122.62</v>
      </c>
      <c r="J34" s="120">
        <v>122.62</v>
      </c>
      <c r="K34" s="120">
        <v>123.97</v>
      </c>
      <c r="L34" s="120">
        <v>123.97</v>
      </c>
      <c r="M34" s="120">
        <v>123.97</v>
      </c>
      <c r="N34" s="120">
        <v>123.97</v>
      </c>
      <c r="O34" s="120">
        <v>123.97</v>
      </c>
      <c r="P34" s="120">
        <v>123.97</v>
      </c>
      <c r="Q34" s="120">
        <v>123.97</v>
      </c>
      <c r="R34" s="120">
        <v>129.35999999999999</v>
      </c>
      <c r="S34" s="120">
        <f t="shared" si="3"/>
        <v>1522.67</v>
      </c>
      <c r="T34" s="107">
        <v>32000</v>
      </c>
      <c r="V34" s="120">
        <f t="shared" si="4"/>
        <v>26</v>
      </c>
      <c r="W34" s="120">
        <f t="shared" si="5"/>
        <v>26</v>
      </c>
      <c r="X34" s="120">
        <f t="shared" si="6"/>
        <v>22.749536178107608</v>
      </c>
      <c r="Y34" s="120">
        <f t="shared" si="7"/>
        <v>22.749536178107608</v>
      </c>
      <c r="Z34" s="120">
        <f t="shared" si="8"/>
        <v>23</v>
      </c>
      <c r="AA34" s="120">
        <f t="shared" si="9"/>
        <v>23</v>
      </c>
      <c r="AB34" s="120">
        <f t="shared" si="10"/>
        <v>23</v>
      </c>
      <c r="AC34" s="120">
        <f t="shared" si="11"/>
        <v>23</v>
      </c>
      <c r="AD34" s="120">
        <f t="shared" si="12"/>
        <v>23</v>
      </c>
      <c r="AE34" s="120">
        <f t="shared" si="13"/>
        <v>23</v>
      </c>
      <c r="AF34" s="120">
        <f t="shared" si="14"/>
        <v>23</v>
      </c>
      <c r="AG34" s="120">
        <f t="shared" si="15"/>
        <v>24</v>
      </c>
      <c r="AH34" s="120">
        <f t="shared" si="16"/>
        <v>23.541589363017934</v>
      </c>
      <c r="AI34" s="118"/>
      <c r="AJ34" s="89"/>
      <c r="AK34" s="119"/>
      <c r="AN34" s="15"/>
      <c r="AO34" s="136"/>
      <c r="AS34" s="89">
        <f t="shared" si="20"/>
        <v>23.541589363017934</v>
      </c>
      <c r="AT34" s="236">
        <f t="shared" si="17"/>
        <v>5.9716290575418949</v>
      </c>
      <c r="AU34" s="229">
        <f t="shared" si="18"/>
        <v>1686.9796692110049</v>
      </c>
      <c r="AV34" s="229">
        <f t="shared" si="19"/>
        <v>164.3096692110048</v>
      </c>
    </row>
    <row r="35" spans="1:48" s="107" customFormat="1" ht="12" customHeight="1">
      <c r="A35" s="107" t="str">
        <f t="shared" si="2"/>
        <v>PA-CDRVNRM1</v>
      </c>
      <c r="B35" s="99" t="s">
        <v>522</v>
      </c>
      <c r="C35" s="99" t="s">
        <v>521</v>
      </c>
      <c r="D35" s="149">
        <v>5.39</v>
      </c>
      <c r="E35" s="148">
        <v>19</v>
      </c>
      <c r="F35" s="122"/>
      <c r="G35" s="120">
        <v>10.78</v>
      </c>
      <c r="H35" s="120">
        <v>10.78</v>
      </c>
      <c r="I35" s="120">
        <v>10.78</v>
      </c>
      <c r="J35" s="120">
        <v>10.78</v>
      </c>
      <c r="K35" s="120">
        <v>10.78</v>
      </c>
      <c r="L35" s="120">
        <v>10.78</v>
      </c>
      <c r="M35" s="120">
        <v>10.78</v>
      </c>
      <c r="N35" s="120">
        <v>10.78</v>
      </c>
      <c r="O35" s="120">
        <v>10.78</v>
      </c>
      <c r="P35" s="120">
        <v>10.78</v>
      </c>
      <c r="Q35" s="120">
        <v>10.78</v>
      </c>
      <c r="R35" s="120">
        <v>10.78</v>
      </c>
      <c r="S35" s="120">
        <f t="shared" si="3"/>
        <v>129.35999999999999</v>
      </c>
      <c r="T35" s="107">
        <v>32000</v>
      </c>
      <c r="V35" s="120">
        <f t="shared" si="4"/>
        <v>2</v>
      </c>
      <c r="W35" s="120">
        <f t="shared" si="5"/>
        <v>2</v>
      </c>
      <c r="X35" s="120">
        <f t="shared" si="6"/>
        <v>2</v>
      </c>
      <c r="Y35" s="120">
        <f t="shared" si="7"/>
        <v>2</v>
      </c>
      <c r="Z35" s="120">
        <f t="shared" si="8"/>
        <v>2</v>
      </c>
      <c r="AA35" s="120">
        <f t="shared" si="9"/>
        <v>2</v>
      </c>
      <c r="AB35" s="120">
        <f t="shared" si="10"/>
        <v>2</v>
      </c>
      <c r="AC35" s="120">
        <f t="shared" si="11"/>
        <v>2</v>
      </c>
      <c r="AD35" s="120">
        <f t="shared" si="12"/>
        <v>2</v>
      </c>
      <c r="AE35" s="120">
        <f t="shared" si="13"/>
        <v>2</v>
      </c>
      <c r="AF35" s="120">
        <f t="shared" si="14"/>
        <v>2</v>
      </c>
      <c r="AG35" s="120">
        <f t="shared" si="15"/>
        <v>2</v>
      </c>
      <c r="AH35" s="120">
        <f t="shared" si="16"/>
        <v>2</v>
      </c>
      <c r="AI35" s="118"/>
      <c r="AJ35" s="89"/>
      <c r="AK35" s="119"/>
      <c r="AN35" s="15"/>
      <c r="AO35" s="136"/>
      <c r="AS35" s="89">
        <f t="shared" si="20"/>
        <v>2</v>
      </c>
      <c r="AT35" s="236">
        <f t="shared" si="17"/>
        <v>5.9716290575418949</v>
      </c>
      <c r="AU35" s="229">
        <f t="shared" si="18"/>
        <v>143.31909738100546</v>
      </c>
      <c r="AV35" s="229">
        <f t="shared" si="19"/>
        <v>13.959097381005478</v>
      </c>
    </row>
    <row r="36" spans="1:48" s="107" customFormat="1" ht="12" customHeight="1">
      <c r="A36" s="107" t="str">
        <f t="shared" si="2"/>
        <v>PA-CDRVNRW1</v>
      </c>
      <c r="B36" s="99" t="s">
        <v>184</v>
      </c>
      <c r="C36" s="99" t="s">
        <v>520</v>
      </c>
      <c r="D36" s="149">
        <v>5.39</v>
      </c>
      <c r="E36" s="148">
        <v>19</v>
      </c>
      <c r="F36" s="122"/>
      <c r="G36" s="120">
        <v>150.91999999999999</v>
      </c>
      <c r="H36" s="120">
        <v>150.91999999999999</v>
      </c>
      <c r="I36" s="120">
        <v>150.91999999999999</v>
      </c>
      <c r="J36" s="120">
        <v>150.91999999999999</v>
      </c>
      <c r="K36" s="120">
        <v>146.88</v>
      </c>
      <c r="L36" s="120">
        <v>152.26</v>
      </c>
      <c r="M36" s="120">
        <v>140.13999999999999</v>
      </c>
      <c r="N36" s="120">
        <v>145.52999999999997</v>
      </c>
      <c r="O36" s="120">
        <v>146.19999999999999</v>
      </c>
      <c r="P36" s="120">
        <v>146.19</v>
      </c>
      <c r="Q36" s="120">
        <v>145.53</v>
      </c>
      <c r="R36" s="120">
        <v>146.87</v>
      </c>
      <c r="S36" s="120">
        <f t="shared" si="3"/>
        <v>1773.2800000000002</v>
      </c>
      <c r="T36" s="107">
        <v>32000</v>
      </c>
      <c r="V36" s="120">
        <f t="shared" si="4"/>
        <v>28</v>
      </c>
      <c r="W36" s="120">
        <f t="shared" si="5"/>
        <v>28</v>
      </c>
      <c r="X36" s="120">
        <f t="shared" si="6"/>
        <v>28</v>
      </c>
      <c r="Y36" s="120">
        <f t="shared" si="7"/>
        <v>28</v>
      </c>
      <c r="Z36" s="120">
        <f t="shared" si="8"/>
        <v>27.250463821892396</v>
      </c>
      <c r="AA36" s="120">
        <f t="shared" si="9"/>
        <v>28.24860853432282</v>
      </c>
      <c r="AB36" s="120">
        <f t="shared" si="10"/>
        <v>26</v>
      </c>
      <c r="AC36" s="120">
        <f t="shared" si="11"/>
        <v>26.999999999999996</v>
      </c>
      <c r="AD36" s="120">
        <f t="shared" si="12"/>
        <v>27.12430426716141</v>
      </c>
      <c r="AE36" s="120">
        <f t="shared" si="13"/>
        <v>27.122448979591837</v>
      </c>
      <c r="AF36" s="120">
        <f t="shared" si="14"/>
        <v>27.000000000000004</v>
      </c>
      <c r="AG36" s="120">
        <f t="shared" si="15"/>
        <v>27.248608534322823</v>
      </c>
      <c r="AH36" s="120">
        <f t="shared" si="16"/>
        <v>27.416202844774276</v>
      </c>
      <c r="AI36" s="118"/>
      <c r="AJ36" s="89"/>
      <c r="AK36" s="119"/>
      <c r="AN36" s="15"/>
      <c r="AO36" s="136"/>
      <c r="AS36" s="89">
        <f t="shared" si="20"/>
        <v>27.416202844774276</v>
      </c>
      <c r="AT36" s="236">
        <f t="shared" si="17"/>
        <v>5.9716290575418949</v>
      </c>
      <c r="AU36" s="229">
        <f t="shared" si="18"/>
        <v>1964.6327226638018</v>
      </c>
      <c r="AV36" s="229">
        <f t="shared" si="19"/>
        <v>191.35272266380161</v>
      </c>
    </row>
    <row r="37" spans="1:48" s="107" customFormat="1" ht="12" customHeight="1">
      <c r="A37" s="107" t="str">
        <f t="shared" si="2"/>
        <v>PA-CDRVNRW2</v>
      </c>
      <c r="B37" s="99" t="s">
        <v>182</v>
      </c>
      <c r="C37" s="99" t="s">
        <v>519</v>
      </c>
      <c r="D37" s="149">
        <v>5.39</v>
      </c>
      <c r="E37" s="148">
        <v>19</v>
      </c>
      <c r="F37" s="122"/>
      <c r="G37" s="120">
        <v>156.31</v>
      </c>
      <c r="H37" s="120">
        <v>156.31</v>
      </c>
      <c r="I37" s="120">
        <v>149.57</v>
      </c>
      <c r="J37" s="120">
        <v>149.57</v>
      </c>
      <c r="K37" s="120">
        <v>145.53</v>
      </c>
      <c r="L37" s="120">
        <v>144.19</v>
      </c>
      <c r="M37" s="120">
        <v>140.13999999999999</v>
      </c>
      <c r="N37" s="120">
        <v>142.82999999999998</v>
      </c>
      <c r="O37" s="120">
        <v>140.13999999999999</v>
      </c>
      <c r="P37" s="120">
        <v>140.13999999999999</v>
      </c>
      <c r="Q37" s="120">
        <v>137.44999999999999</v>
      </c>
      <c r="R37" s="120">
        <v>145.52000000000001</v>
      </c>
      <c r="S37" s="120">
        <f t="shared" si="3"/>
        <v>1747.6999999999996</v>
      </c>
      <c r="T37" s="107">
        <v>32000</v>
      </c>
      <c r="V37" s="120">
        <f t="shared" si="4"/>
        <v>29.000000000000004</v>
      </c>
      <c r="W37" s="120">
        <f t="shared" si="5"/>
        <v>29.000000000000004</v>
      </c>
      <c r="X37" s="120">
        <f t="shared" si="6"/>
        <v>27.749536178107608</v>
      </c>
      <c r="Y37" s="120">
        <f t="shared" si="7"/>
        <v>27.749536178107608</v>
      </c>
      <c r="Z37" s="120">
        <f t="shared" si="8"/>
        <v>27.000000000000004</v>
      </c>
      <c r="AA37" s="120">
        <f t="shared" si="9"/>
        <v>26.75139146567718</v>
      </c>
      <c r="AB37" s="120">
        <f t="shared" si="10"/>
        <v>26</v>
      </c>
      <c r="AC37" s="120">
        <f t="shared" si="11"/>
        <v>26.499072356215212</v>
      </c>
      <c r="AD37" s="120">
        <f t="shared" si="12"/>
        <v>26</v>
      </c>
      <c r="AE37" s="120">
        <f t="shared" si="13"/>
        <v>26</v>
      </c>
      <c r="AF37" s="120">
        <f t="shared" si="14"/>
        <v>25.500927643784784</v>
      </c>
      <c r="AG37" s="120">
        <f t="shared" si="15"/>
        <v>26.998144712430431</v>
      </c>
      <c r="AH37" s="120">
        <f t="shared" si="16"/>
        <v>27.020717377860237</v>
      </c>
      <c r="AI37" s="118"/>
      <c r="AJ37" s="89"/>
      <c r="AK37" s="119"/>
      <c r="AN37" s="15"/>
      <c r="AO37" s="136"/>
      <c r="AS37" s="89">
        <f t="shared" si="20"/>
        <v>27.020717377860237</v>
      </c>
      <c r="AT37" s="236">
        <f t="shared" si="17"/>
        <v>5.9716290575418949</v>
      </c>
      <c r="AU37" s="229">
        <f t="shared" si="18"/>
        <v>1936.292412591089</v>
      </c>
      <c r="AV37" s="229">
        <f t="shared" si="19"/>
        <v>188.59241259108944</v>
      </c>
    </row>
    <row r="38" spans="1:48" s="107" customFormat="1" ht="12" customHeight="1">
      <c r="A38" s="107" t="str">
        <f t="shared" si="2"/>
        <v>PA-CRCARRYOUT 5-25</v>
      </c>
      <c r="B38" s="99" t="s">
        <v>190</v>
      </c>
      <c r="C38" s="99" t="s">
        <v>191</v>
      </c>
      <c r="D38" s="149">
        <v>1.65</v>
      </c>
      <c r="E38" s="148">
        <v>19</v>
      </c>
      <c r="F38" s="122"/>
      <c r="G38" s="120">
        <v>16.100000000000001</v>
      </c>
      <c r="H38" s="120">
        <v>16.100000000000001</v>
      </c>
      <c r="I38" s="120">
        <v>15.299999999999999</v>
      </c>
      <c r="J38" s="120">
        <v>15.29</v>
      </c>
      <c r="K38" s="120">
        <v>14.49</v>
      </c>
      <c r="L38" s="120">
        <v>14.49</v>
      </c>
      <c r="M38" s="120">
        <v>12.08</v>
      </c>
      <c r="N38" s="120">
        <v>12.07</v>
      </c>
      <c r="O38" s="120">
        <v>9.66</v>
      </c>
      <c r="P38" s="120">
        <v>9.66</v>
      </c>
      <c r="Q38" s="120">
        <v>6.44</v>
      </c>
      <c r="R38" s="120">
        <v>6.44</v>
      </c>
      <c r="S38" s="120">
        <f t="shared" si="3"/>
        <v>148.11999999999998</v>
      </c>
      <c r="T38" s="107">
        <v>32000</v>
      </c>
      <c r="V38" s="120">
        <f t="shared" si="4"/>
        <v>9.7575757575757596</v>
      </c>
      <c r="W38" s="120">
        <f t="shared" si="5"/>
        <v>9.7575757575757596</v>
      </c>
      <c r="X38" s="120">
        <f t="shared" si="6"/>
        <v>9.2727272727272734</v>
      </c>
      <c r="Y38" s="120">
        <f t="shared" si="7"/>
        <v>9.2666666666666675</v>
      </c>
      <c r="Z38" s="120">
        <f t="shared" si="8"/>
        <v>8.7818181818181831</v>
      </c>
      <c r="AA38" s="120">
        <f t="shared" si="9"/>
        <v>8.7818181818181831</v>
      </c>
      <c r="AB38" s="120">
        <f t="shared" si="10"/>
        <v>7.3212121212121213</v>
      </c>
      <c r="AC38" s="120">
        <f t="shared" si="11"/>
        <v>7.3151515151515154</v>
      </c>
      <c r="AD38" s="120">
        <f t="shared" si="12"/>
        <v>5.8545454545454554</v>
      </c>
      <c r="AE38" s="120">
        <f t="shared" si="13"/>
        <v>5.8545454545454554</v>
      </c>
      <c r="AF38" s="120">
        <f t="shared" si="14"/>
        <v>3.9030303030303033</v>
      </c>
      <c r="AG38" s="120">
        <f t="shared" si="15"/>
        <v>3.9030303030303033</v>
      </c>
      <c r="AH38" s="120">
        <f t="shared" si="16"/>
        <v>7.4808080808080826</v>
      </c>
      <c r="AI38" s="118"/>
      <c r="AJ38" s="89"/>
      <c r="AK38" s="119"/>
      <c r="AN38" s="15"/>
      <c r="AO38" s="136"/>
      <c r="AS38" s="89">
        <f t="shared" si="20"/>
        <v>7.4808080808080826</v>
      </c>
      <c r="AT38" s="236">
        <f t="shared" si="17"/>
        <v>1.8280497114924168</v>
      </c>
      <c r="AU38" s="229">
        <f t="shared" si="18"/>
        <v>164.10346864621624</v>
      </c>
      <c r="AV38" s="229">
        <f t="shared" si="19"/>
        <v>15.983468646216267</v>
      </c>
    </row>
    <row r="39" spans="1:48" s="107" customFormat="1" ht="12" customHeight="1">
      <c r="A39" s="107" t="str">
        <f t="shared" si="2"/>
        <v>PA-CRCARRYOUT OVER 25</v>
      </c>
      <c r="B39" s="99" t="s">
        <v>188</v>
      </c>
      <c r="C39" s="99" t="s">
        <v>189</v>
      </c>
      <c r="D39" s="149">
        <v>0.83</v>
      </c>
      <c r="E39" s="148">
        <v>19</v>
      </c>
      <c r="F39" s="122"/>
      <c r="G39" s="120">
        <v>6.48</v>
      </c>
      <c r="H39" s="120">
        <v>6.48</v>
      </c>
      <c r="I39" s="120">
        <v>6.08</v>
      </c>
      <c r="J39" s="120">
        <v>6.07</v>
      </c>
      <c r="K39" s="120">
        <v>5.67</v>
      </c>
      <c r="L39" s="120">
        <v>5.67</v>
      </c>
      <c r="M39" s="120">
        <v>4.8600000000000003</v>
      </c>
      <c r="N39" s="120">
        <v>4.8600000000000003</v>
      </c>
      <c r="O39" s="120">
        <v>4.8600000000000003</v>
      </c>
      <c r="P39" s="120">
        <v>4.8600000000000003</v>
      </c>
      <c r="Q39" s="120">
        <v>4.8600000000000003</v>
      </c>
      <c r="R39" s="120">
        <v>4.8600000000000003</v>
      </c>
      <c r="S39" s="120">
        <f t="shared" si="3"/>
        <v>65.61</v>
      </c>
      <c r="T39" s="107">
        <v>32000</v>
      </c>
      <c r="V39" s="120">
        <f t="shared" si="4"/>
        <v>7.8072289156626518</v>
      </c>
      <c r="W39" s="120">
        <f t="shared" si="5"/>
        <v>7.8072289156626518</v>
      </c>
      <c r="X39" s="120">
        <f t="shared" si="6"/>
        <v>7.3253012048192776</v>
      </c>
      <c r="Y39" s="120">
        <f t="shared" si="7"/>
        <v>7.3132530120481931</v>
      </c>
      <c r="Z39" s="120">
        <f t="shared" si="8"/>
        <v>6.8313253012048198</v>
      </c>
      <c r="AA39" s="120">
        <f t="shared" si="9"/>
        <v>6.8313253012048198</v>
      </c>
      <c r="AB39" s="120">
        <f t="shared" si="10"/>
        <v>5.8554216867469888</v>
      </c>
      <c r="AC39" s="120">
        <f t="shared" si="11"/>
        <v>5.8554216867469888</v>
      </c>
      <c r="AD39" s="120">
        <f t="shared" si="12"/>
        <v>5.8554216867469888</v>
      </c>
      <c r="AE39" s="120">
        <f t="shared" si="13"/>
        <v>5.8554216867469888</v>
      </c>
      <c r="AF39" s="120">
        <f t="shared" si="14"/>
        <v>5.8554216867469888</v>
      </c>
      <c r="AG39" s="120">
        <f t="shared" si="15"/>
        <v>5.8554216867469888</v>
      </c>
      <c r="AH39" s="120">
        <f t="shared" si="16"/>
        <v>6.5873493975903621</v>
      </c>
      <c r="AI39" s="118"/>
      <c r="AJ39" s="89"/>
      <c r="AK39" s="119"/>
      <c r="AN39" s="15"/>
      <c r="AO39" s="136"/>
      <c r="AS39" s="89">
        <f t="shared" si="20"/>
        <v>6.5873493975903621</v>
      </c>
      <c r="AT39" s="236">
        <f t="shared" si="17"/>
        <v>0.91956440032648845</v>
      </c>
      <c r="AU39" s="229">
        <f t="shared" si="18"/>
        <v>72.689903982434842</v>
      </c>
      <c r="AV39" s="229">
        <f t="shared" si="19"/>
        <v>7.0799039824348426</v>
      </c>
    </row>
    <row r="40" spans="1:48" s="107" customFormat="1" ht="12" customHeight="1">
      <c r="A40" s="107" t="str">
        <f t="shared" si="2"/>
        <v>PA-CSP35-RES</v>
      </c>
      <c r="B40" s="264" t="s">
        <v>364</v>
      </c>
      <c r="C40" s="264" t="s">
        <v>365</v>
      </c>
      <c r="D40" s="149">
        <v>8.5</v>
      </c>
      <c r="E40" s="148" t="s">
        <v>117</v>
      </c>
      <c r="F40" s="122"/>
      <c r="G40" s="120">
        <v>46.75</v>
      </c>
      <c r="H40" s="120">
        <v>114.75</v>
      </c>
      <c r="I40" s="120">
        <v>59.5</v>
      </c>
      <c r="J40" s="120">
        <v>119</v>
      </c>
      <c r="K40" s="120">
        <v>25.5</v>
      </c>
      <c r="L40" s="120">
        <v>42.5</v>
      </c>
      <c r="M40" s="120">
        <v>21.25</v>
      </c>
      <c r="N40" s="120">
        <v>89.25</v>
      </c>
      <c r="O40" s="120">
        <v>29.75</v>
      </c>
      <c r="P40" s="120">
        <v>63.75</v>
      </c>
      <c r="Q40" s="120">
        <v>38.25</v>
      </c>
      <c r="R40" s="120">
        <v>114.75</v>
      </c>
      <c r="S40" s="265">
        <f t="shared" si="3"/>
        <v>765</v>
      </c>
      <c r="T40" s="270">
        <v>32001</v>
      </c>
      <c r="U40" s="270"/>
      <c r="V40" s="265">
        <f t="shared" si="4"/>
        <v>5.5</v>
      </c>
      <c r="W40" s="265">
        <f t="shared" si="5"/>
        <v>13.5</v>
      </c>
      <c r="X40" s="265">
        <f t="shared" si="6"/>
        <v>7</v>
      </c>
      <c r="Y40" s="265">
        <f t="shared" si="7"/>
        <v>14</v>
      </c>
      <c r="Z40" s="265">
        <f t="shared" si="8"/>
        <v>3</v>
      </c>
      <c r="AA40" s="265">
        <f t="shared" si="9"/>
        <v>5</v>
      </c>
      <c r="AB40" s="265">
        <f t="shared" si="10"/>
        <v>2.5</v>
      </c>
      <c r="AC40" s="265">
        <f t="shared" si="11"/>
        <v>10.5</v>
      </c>
      <c r="AD40" s="265">
        <f t="shared" si="12"/>
        <v>3.5</v>
      </c>
      <c r="AE40" s="265">
        <f t="shared" si="13"/>
        <v>7.5</v>
      </c>
      <c r="AF40" s="265">
        <f t="shared" si="14"/>
        <v>4.5</v>
      </c>
      <c r="AG40" s="265">
        <f t="shared" si="15"/>
        <v>13.5</v>
      </c>
      <c r="AH40" s="265">
        <f t="shared" si="16"/>
        <v>7.5</v>
      </c>
      <c r="AI40" s="267"/>
      <c r="AJ40" s="268"/>
      <c r="AK40" s="269"/>
      <c r="AL40" s="270"/>
      <c r="AM40" s="270"/>
      <c r="AN40" s="271"/>
      <c r="AO40" s="272"/>
      <c r="AP40" s="270"/>
      <c r="AQ40" s="270"/>
      <c r="AR40" s="270"/>
      <c r="AS40" s="268">
        <f t="shared" si="20"/>
        <v>7.5</v>
      </c>
      <c r="AT40" s="236">
        <f t="shared" si="17"/>
        <v>9.417225786476088</v>
      </c>
      <c r="AU40" s="229">
        <f t="shared" si="18"/>
        <v>847.55032078284796</v>
      </c>
      <c r="AV40" s="229">
        <f t="shared" si="19"/>
        <v>82.550320782847962</v>
      </c>
    </row>
    <row r="41" spans="1:48" s="107" customFormat="1" ht="12" customHeight="1">
      <c r="A41" s="107" t="str">
        <f t="shared" si="2"/>
        <v>PA-CSP60-RES</v>
      </c>
      <c r="B41" s="264" t="s">
        <v>366</v>
      </c>
      <c r="C41" s="264" t="s">
        <v>367</v>
      </c>
      <c r="D41" s="149">
        <v>8.5</v>
      </c>
      <c r="E41" s="148" t="s">
        <v>117</v>
      </c>
      <c r="F41" s="122"/>
      <c r="G41" s="120">
        <v>114.75</v>
      </c>
      <c r="H41" s="120">
        <v>242.25</v>
      </c>
      <c r="I41" s="120">
        <v>72.25</v>
      </c>
      <c r="J41" s="120">
        <v>352.75</v>
      </c>
      <c r="K41" s="120">
        <v>68</v>
      </c>
      <c r="L41" s="120">
        <v>263.5</v>
      </c>
      <c r="M41" s="120">
        <v>59.5</v>
      </c>
      <c r="N41" s="120">
        <v>263.5</v>
      </c>
      <c r="O41" s="120">
        <v>76.5</v>
      </c>
      <c r="P41" s="120">
        <v>382.5</v>
      </c>
      <c r="Q41" s="120">
        <v>182.75</v>
      </c>
      <c r="R41" s="120">
        <v>463.25</v>
      </c>
      <c r="S41" s="265">
        <f t="shared" si="3"/>
        <v>2541.5</v>
      </c>
      <c r="T41" s="270">
        <v>32001</v>
      </c>
      <c r="U41" s="270"/>
      <c r="V41" s="265">
        <f t="shared" si="4"/>
        <v>13.5</v>
      </c>
      <c r="W41" s="265">
        <f t="shared" si="5"/>
        <v>28.5</v>
      </c>
      <c r="X41" s="265">
        <f t="shared" si="6"/>
        <v>8.5</v>
      </c>
      <c r="Y41" s="265">
        <f t="shared" si="7"/>
        <v>41.5</v>
      </c>
      <c r="Z41" s="265">
        <f t="shared" si="8"/>
        <v>8</v>
      </c>
      <c r="AA41" s="265">
        <f t="shared" si="9"/>
        <v>31</v>
      </c>
      <c r="AB41" s="265">
        <f t="shared" si="10"/>
        <v>7</v>
      </c>
      <c r="AC41" s="265">
        <f t="shared" si="11"/>
        <v>31</v>
      </c>
      <c r="AD41" s="265">
        <f t="shared" si="12"/>
        <v>9</v>
      </c>
      <c r="AE41" s="265">
        <f t="shared" si="13"/>
        <v>45</v>
      </c>
      <c r="AF41" s="265">
        <f t="shared" si="14"/>
        <v>21.5</v>
      </c>
      <c r="AG41" s="265">
        <f t="shared" si="15"/>
        <v>54.5</v>
      </c>
      <c r="AH41" s="265">
        <f t="shared" si="16"/>
        <v>24.916666666666668</v>
      </c>
      <c r="AI41" s="267"/>
      <c r="AJ41" s="268"/>
      <c r="AK41" s="269"/>
      <c r="AL41" s="270"/>
      <c r="AM41" s="270"/>
      <c r="AN41" s="271"/>
      <c r="AO41" s="272"/>
      <c r="AP41" s="270"/>
      <c r="AQ41" s="270"/>
      <c r="AR41" s="270"/>
      <c r="AS41" s="268">
        <f t="shared" si="20"/>
        <v>24.916666666666668</v>
      </c>
      <c r="AT41" s="236">
        <f t="shared" si="17"/>
        <v>9.417225786476088</v>
      </c>
      <c r="AU41" s="229">
        <f t="shared" si="18"/>
        <v>2815.7505101563506</v>
      </c>
      <c r="AV41" s="229">
        <f t="shared" si="19"/>
        <v>274.25051015635063</v>
      </c>
    </row>
    <row r="42" spans="1:48" s="107" customFormat="1" ht="12" customHeight="1">
      <c r="A42" s="107" t="str">
        <f t="shared" si="2"/>
        <v>PA-CSP96-RES</v>
      </c>
      <c r="B42" s="264" t="s">
        <v>368</v>
      </c>
      <c r="C42" s="264" t="s">
        <v>369</v>
      </c>
      <c r="D42" s="149">
        <v>8.5</v>
      </c>
      <c r="E42" s="148" t="s">
        <v>117</v>
      </c>
      <c r="F42" s="122"/>
      <c r="G42" s="120">
        <v>51</v>
      </c>
      <c r="H42" s="120">
        <v>127.5</v>
      </c>
      <c r="I42" s="120">
        <v>29.75</v>
      </c>
      <c r="J42" s="120">
        <v>106.25</v>
      </c>
      <c r="K42" s="120">
        <v>8.5</v>
      </c>
      <c r="L42" s="120">
        <v>85</v>
      </c>
      <c r="M42" s="120">
        <v>34</v>
      </c>
      <c r="N42" s="120">
        <v>136</v>
      </c>
      <c r="O42" s="120">
        <v>55.25</v>
      </c>
      <c r="P42" s="120">
        <v>140.25</v>
      </c>
      <c r="Q42" s="120">
        <v>59.5</v>
      </c>
      <c r="R42" s="120">
        <v>280.5</v>
      </c>
      <c r="S42" s="265">
        <f t="shared" si="3"/>
        <v>1113.5</v>
      </c>
      <c r="T42" s="270">
        <v>32001</v>
      </c>
      <c r="U42" s="270"/>
      <c r="V42" s="265">
        <f t="shared" si="4"/>
        <v>6</v>
      </c>
      <c r="W42" s="265">
        <f t="shared" si="5"/>
        <v>15</v>
      </c>
      <c r="X42" s="265">
        <f t="shared" si="6"/>
        <v>3.5</v>
      </c>
      <c r="Y42" s="265">
        <f t="shared" si="7"/>
        <v>12.5</v>
      </c>
      <c r="Z42" s="265">
        <f t="shared" si="8"/>
        <v>1</v>
      </c>
      <c r="AA42" s="265">
        <f t="shared" si="9"/>
        <v>10</v>
      </c>
      <c r="AB42" s="265">
        <f t="shared" si="10"/>
        <v>4</v>
      </c>
      <c r="AC42" s="265">
        <f t="shared" si="11"/>
        <v>16</v>
      </c>
      <c r="AD42" s="265">
        <f t="shared" si="12"/>
        <v>6.5</v>
      </c>
      <c r="AE42" s="265">
        <f t="shared" si="13"/>
        <v>16.5</v>
      </c>
      <c r="AF42" s="265">
        <f t="shared" si="14"/>
        <v>7</v>
      </c>
      <c r="AG42" s="265">
        <f t="shared" si="15"/>
        <v>33</v>
      </c>
      <c r="AH42" s="265">
        <f t="shared" si="16"/>
        <v>10.916666666666666</v>
      </c>
      <c r="AI42" s="267"/>
      <c r="AJ42" s="268"/>
      <c r="AK42" s="269"/>
      <c r="AL42" s="270"/>
      <c r="AM42" s="270"/>
      <c r="AN42" s="271"/>
      <c r="AO42" s="272"/>
      <c r="AP42" s="270"/>
      <c r="AQ42" s="270"/>
      <c r="AR42" s="270"/>
      <c r="AS42" s="268">
        <f t="shared" si="20"/>
        <v>10.916666666666666</v>
      </c>
      <c r="AT42" s="236">
        <f t="shared" si="17"/>
        <v>9.417225786476088</v>
      </c>
      <c r="AU42" s="229">
        <f t="shared" si="18"/>
        <v>1233.6565780283674</v>
      </c>
      <c r="AV42" s="229">
        <f t="shared" si="19"/>
        <v>120.15657802836745</v>
      </c>
    </row>
    <row r="43" spans="1:48" s="107" customFormat="1" ht="12" customHeight="1">
      <c r="A43" s="107" t="str">
        <f t="shared" si="2"/>
        <v>PA-CRGATE</v>
      </c>
      <c r="B43" s="99" t="s">
        <v>518</v>
      </c>
      <c r="C43" s="99" t="s">
        <v>560</v>
      </c>
      <c r="D43" s="149">
        <v>2.5299999999999998</v>
      </c>
      <c r="E43" s="148">
        <v>19</v>
      </c>
      <c r="F43" s="122"/>
      <c r="G43" s="120">
        <v>5.0599999999999996</v>
      </c>
      <c r="H43" s="120">
        <v>5.0599999999999996</v>
      </c>
      <c r="I43" s="120">
        <v>5.0599999999999996</v>
      </c>
      <c r="J43" s="120">
        <v>5.0599999999999996</v>
      </c>
      <c r="K43" s="120">
        <v>5.0599999999999996</v>
      </c>
      <c r="L43" s="120">
        <v>5.0599999999999996</v>
      </c>
      <c r="M43" s="120">
        <v>5.0599999999999996</v>
      </c>
      <c r="N43" s="120">
        <v>5.0599999999999996</v>
      </c>
      <c r="O43" s="120">
        <v>5.0599999999999996</v>
      </c>
      <c r="P43" s="120">
        <v>5.0599999999999996</v>
      </c>
      <c r="Q43" s="120">
        <v>0</v>
      </c>
      <c r="R43" s="120">
        <v>0</v>
      </c>
      <c r="S43" s="120">
        <f t="shared" si="3"/>
        <v>50.6</v>
      </c>
      <c r="T43" s="107">
        <v>32001</v>
      </c>
      <c r="V43" s="120">
        <f t="shared" si="4"/>
        <v>2</v>
      </c>
      <c r="W43" s="120">
        <f t="shared" si="5"/>
        <v>2</v>
      </c>
      <c r="X43" s="120">
        <f t="shared" si="6"/>
        <v>2</v>
      </c>
      <c r="Y43" s="120">
        <f t="shared" si="7"/>
        <v>2</v>
      </c>
      <c r="Z43" s="120">
        <f t="shared" si="8"/>
        <v>2</v>
      </c>
      <c r="AA43" s="120">
        <f t="shared" si="9"/>
        <v>2</v>
      </c>
      <c r="AB43" s="120">
        <f t="shared" si="10"/>
        <v>2</v>
      </c>
      <c r="AC43" s="120">
        <f t="shared" si="11"/>
        <v>2</v>
      </c>
      <c r="AD43" s="120">
        <f t="shared" si="12"/>
        <v>2</v>
      </c>
      <c r="AE43" s="120">
        <f t="shared" si="13"/>
        <v>2</v>
      </c>
      <c r="AF43" s="120">
        <f t="shared" si="14"/>
        <v>0</v>
      </c>
      <c r="AG43" s="120">
        <f t="shared" si="15"/>
        <v>0</v>
      </c>
      <c r="AH43" s="120">
        <f t="shared" si="16"/>
        <v>2</v>
      </c>
      <c r="AI43" s="118"/>
      <c r="AJ43" s="89"/>
      <c r="AK43" s="119"/>
      <c r="AN43" s="15"/>
      <c r="AO43" s="136"/>
      <c r="AS43" s="89">
        <f t="shared" si="20"/>
        <v>2</v>
      </c>
      <c r="AT43" s="236">
        <f t="shared" si="17"/>
        <v>2.8030095576217056</v>
      </c>
      <c r="AU43" s="229">
        <f t="shared" si="18"/>
        <v>67.272229382920926</v>
      </c>
      <c r="AV43" s="229">
        <f t="shared" si="19"/>
        <v>16.672229382920925</v>
      </c>
    </row>
    <row r="44" spans="1:48" s="107" customFormat="1" ht="12" customHeight="1">
      <c r="A44" s="107" t="str">
        <f t="shared" si="2"/>
        <v>PA-CROLLE-RESI</v>
      </c>
      <c r="B44" s="99" t="s">
        <v>517</v>
      </c>
      <c r="C44" s="99" t="s">
        <v>516</v>
      </c>
      <c r="D44" s="149">
        <v>1.21</v>
      </c>
      <c r="E44" s="148">
        <v>31</v>
      </c>
      <c r="F44" s="122"/>
      <c r="G44" s="120">
        <v>25.71</v>
      </c>
      <c r="H44" s="120">
        <v>25.7</v>
      </c>
      <c r="I44" s="120">
        <v>26.62</v>
      </c>
      <c r="J44" s="120">
        <v>31.450000000000003</v>
      </c>
      <c r="K44" s="120">
        <v>29.04</v>
      </c>
      <c r="L44" s="120">
        <v>29.04</v>
      </c>
      <c r="M44" s="120">
        <v>30.860000000000003</v>
      </c>
      <c r="N44" s="120">
        <v>29.64</v>
      </c>
      <c r="O44" s="120">
        <v>32.67</v>
      </c>
      <c r="P44" s="120">
        <v>32.67</v>
      </c>
      <c r="Q44" s="120">
        <v>35.090000000000003</v>
      </c>
      <c r="R44" s="120">
        <v>35.090000000000003</v>
      </c>
      <c r="S44" s="120">
        <f t="shared" si="3"/>
        <v>363.58000000000004</v>
      </c>
      <c r="T44" s="107">
        <v>32001</v>
      </c>
      <c r="V44" s="120">
        <f t="shared" si="4"/>
        <v>21.24793388429752</v>
      </c>
      <c r="W44" s="120">
        <f t="shared" si="5"/>
        <v>21.239669421487605</v>
      </c>
      <c r="X44" s="120">
        <f t="shared" si="6"/>
        <v>22</v>
      </c>
      <c r="Y44" s="120">
        <f t="shared" si="7"/>
        <v>25.991735537190085</v>
      </c>
      <c r="Z44" s="120">
        <f t="shared" si="8"/>
        <v>24</v>
      </c>
      <c r="AA44" s="120">
        <f t="shared" si="9"/>
        <v>24</v>
      </c>
      <c r="AB44" s="120">
        <f t="shared" si="10"/>
        <v>25.504132231404963</v>
      </c>
      <c r="AC44" s="120">
        <f t="shared" si="11"/>
        <v>24.495867768595044</v>
      </c>
      <c r="AD44" s="120">
        <f t="shared" si="12"/>
        <v>27.000000000000004</v>
      </c>
      <c r="AE44" s="120">
        <f t="shared" si="13"/>
        <v>27.000000000000004</v>
      </c>
      <c r="AF44" s="120">
        <f t="shared" si="14"/>
        <v>29.000000000000004</v>
      </c>
      <c r="AG44" s="120">
        <f t="shared" si="15"/>
        <v>29.000000000000004</v>
      </c>
      <c r="AH44" s="120">
        <f t="shared" si="16"/>
        <v>25.039944903581269</v>
      </c>
      <c r="AI44" s="118"/>
      <c r="AJ44" s="89"/>
      <c r="AK44" s="119"/>
      <c r="AN44" s="15"/>
      <c r="AO44" s="136"/>
      <c r="AS44" s="89">
        <f t="shared" si="20"/>
        <v>25.039944903581269</v>
      </c>
      <c r="AT44" s="236">
        <f t="shared" si="17"/>
        <v>1.3405697884277723</v>
      </c>
      <c r="AU44" s="229">
        <f t="shared" si="18"/>
        <v>402.81352369964418</v>
      </c>
      <c r="AV44" s="229">
        <f t="shared" si="19"/>
        <v>39.233523699644138</v>
      </c>
    </row>
    <row r="45" spans="1:48" s="107" customFormat="1" ht="12" customHeight="1">
      <c r="A45" s="107" t="str">
        <f t="shared" si="2"/>
        <v>PA-CROLLM-RESI</v>
      </c>
      <c r="B45" s="99" t="s">
        <v>515</v>
      </c>
      <c r="C45" s="99" t="s">
        <v>514</v>
      </c>
      <c r="D45" s="149">
        <v>0.56000000000000005</v>
      </c>
      <c r="E45" s="148">
        <v>31</v>
      </c>
      <c r="F45" s="122"/>
      <c r="G45" s="120">
        <v>3.9200000000000004</v>
      </c>
      <c r="H45" s="120">
        <v>3.9200000000000004</v>
      </c>
      <c r="I45" s="120">
        <v>4.4800000000000004</v>
      </c>
      <c r="J45" s="120">
        <v>4.4800000000000004</v>
      </c>
      <c r="K45" s="120">
        <v>4.4800000000000004</v>
      </c>
      <c r="L45" s="120">
        <v>4.4800000000000004</v>
      </c>
      <c r="M45" s="120">
        <v>4.4800000000000004</v>
      </c>
      <c r="N45" s="120">
        <v>4.4800000000000004</v>
      </c>
      <c r="O45" s="120">
        <v>4.4800000000000004</v>
      </c>
      <c r="P45" s="120">
        <v>4.4800000000000004</v>
      </c>
      <c r="Q45" s="120">
        <v>0</v>
      </c>
      <c r="R45" s="120">
        <v>0</v>
      </c>
      <c r="S45" s="120">
        <f t="shared" si="3"/>
        <v>43.680000000000007</v>
      </c>
      <c r="T45" s="107">
        <v>32001</v>
      </c>
      <c r="V45" s="120">
        <f t="shared" si="4"/>
        <v>7</v>
      </c>
      <c r="W45" s="120">
        <f t="shared" si="5"/>
        <v>7</v>
      </c>
      <c r="X45" s="120">
        <f t="shared" si="6"/>
        <v>8</v>
      </c>
      <c r="Y45" s="120">
        <f t="shared" si="7"/>
        <v>8</v>
      </c>
      <c r="Z45" s="120">
        <f t="shared" si="8"/>
        <v>8</v>
      </c>
      <c r="AA45" s="120">
        <f t="shared" si="9"/>
        <v>8</v>
      </c>
      <c r="AB45" s="120">
        <f t="shared" si="10"/>
        <v>8</v>
      </c>
      <c r="AC45" s="120">
        <f t="shared" si="11"/>
        <v>8</v>
      </c>
      <c r="AD45" s="120">
        <f t="shared" si="12"/>
        <v>8</v>
      </c>
      <c r="AE45" s="120">
        <f t="shared" si="13"/>
        <v>8</v>
      </c>
      <c r="AF45" s="120">
        <f t="shared" si="14"/>
        <v>0</v>
      </c>
      <c r="AG45" s="120">
        <f t="shared" si="15"/>
        <v>0</v>
      </c>
      <c r="AH45" s="120">
        <f t="shared" si="16"/>
        <v>7.8</v>
      </c>
      <c r="AI45" s="118"/>
      <c r="AJ45" s="89"/>
      <c r="AK45" s="119"/>
      <c r="AN45" s="15"/>
      <c r="AO45" s="136"/>
      <c r="AS45" s="89">
        <f t="shared" si="20"/>
        <v>7.8</v>
      </c>
      <c r="AT45" s="236">
        <f t="shared" si="17"/>
        <v>0.62042899299136578</v>
      </c>
      <c r="AU45" s="229">
        <f t="shared" si="18"/>
        <v>58.072153743991841</v>
      </c>
      <c r="AV45" s="229">
        <f t="shared" si="19"/>
        <v>14.392153743991834</v>
      </c>
    </row>
    <row r="46" spans="1:48" s="107" customFormat="1" ht="12" customHeight="1">
      <c r="A46" s="107" t="str">
        <f t="shared" si="2"/>
        <v>PA-CROLLW-RESI</v>
      </c>
      <c r="B46" s="99" t="s">
        <v>513</v>
      </c>
      <c r="C46" s="99" t="s">
        <v>512</v>
      </c>
      <c r="D46" s="149">
        <v>2.4249999999999998</v>
      </c>
      <c r="E46" s="148">
        <v>31</v>
      </c>
      <c r="F46" s="122"/>
      <c r="G46" s="120">
        <v>24.25</v>
      </c>
      <c r="H46" s="120">
        <v>24.25</v>
      </c>
      <c r="I46" s="120">
        <v>24.25</v>
      </c>
      <c r="J46" s="120">
        <v>24.25</v>
      </c>
      <c r="K46" s="120">
        <v>24.25</v>
      </c>
      <c r="L46" s="120">
        <v>24.25</v>
      </c>
      <c r="M46" s="120">
        <v>24.25</v>
      </c>
      <c r="N46" s="120">
        <v>24.25</v>
      </c>
      <c r="O46" s="120">
        <v>21.82</v>
      </c>
      <c r="P46" s="120">
        <v>24.240000000000002</v>
      </c>
      <c r="Q46" s="120">
        <v>29.1</v>
      </c>
      <c r="R46" s="120">
        <v>31.520000000000003</v>
      </c>
      <c r="S46" s="120">
        <f t="shared" si="3"/>
        <v>300.68</v>
      </c>
      <c r="T46" s="107">
        <v>32001</v>
      </c>
      <c r="V46" s="120">
        <f t="shared" si="4"/>
        <v>10</v>
      </c>
      <c r="W46" s="120">
        <f t="shared" si="5"/>
        <v>10</v>
      </c>
      <c r="X46" s="120">
        <f t="shared" si="6"/>
        <v>10</v>
      </c>
      <c r="Y46" s="120">
        <f t="shared" si="7"/>
        <v>10</v>
      </c>
      <c r="Z46" s="120">
        <f t="shared" si="8"/>
        <v>10</v>
      </c>
      <c r="AA46" s="120">
        <f t="shared" si="9"/>
        <v>10</v>
      </c>
      <c r="AB46" s="120">
        <f t="shared" si="10"/>
        <v>10</v>
      </c>
      <c r="AC46" s="120">
        <f t="shared" si="11"/>
        <v>10</v>
      </c>
      <c r="AD46" s="120">
        <f t="shared" si="12"/>
        <v>8.9979381443298969</v>
      </c>
      <c r="AE46" s="120">
        <f t="shared" si="13"/>
        <v>9.9958762886597956</v>
      </c>
      <c r="AF46" s="120">
        <f t="shared" si="14"/>
        <v>12.000000000000002</v>
      </c>
      <c r="AG46" s="120">
        <f t="shared" si="15"/>
        <v>12.997938144329899</v>
      </c>
      <c r="AH46" s="120">
        <f t="shared" si="16"/>
        <v>10.332646048109966</v>
      </c>
      <c r="AI46" s="118"/>
      <c r="AJ46" s="89"/>
      <c r="AK46" s="119"/>
      <c r="AN46" s="15"/>
      <c r="AO46" s="136"/>
      <c r="AS46" s="89">
        <f t="shared" si="20"/>
        <v>10.332646048109966</v>
      </c>
      <c r="AT46" s="236">
        <f t="shared" si="17"/>
        <v>2.6866791214358248</v>
      </c>
      <c r="AU46" s="229">
        <f t="shared" si="18"/>
        <v>333.12605287972116</v>
      </c>
      <c r="AV46" s="229">
        <f t="shared" si="19"/>
        <v>32.446052879721151</v>
      </c>
    </row>
    <row r="47" spans="1:48" s="106" customFormat="1" ht="12" customHeight="1">
      <c r="A47" s="131" t="str">
        <f t="shared" si="2"/>
        <v>PA-C64RW1</v>
      </c>
      <c r="B47" s="99" t="s">
        <v>511</v>
      </c>
      <c r="C47" s="99" t="s">
        <v>422</v>
      </c>
      <c r="D47" s="149">
        <v>9.5399999999999991</v>
      </c>
      <c r="E47" s="148">
        <v>22</v>
      </c>
      <c r="F47" s="122"/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-7.94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20">
        <f t="shared" si="3"/>
        <v>-7.94</v>
      </c>
      <c r="T47" s="106">
        <v>32000</v>
      </c>
      <c r="V47" s="120">
        <f t="shared" si="4"/>
        <v>0</v>
      </c>
      <c r="W47" s="120">
        <f t="shared" si="5"/>
        <v>0</v>
      </c>
      <c r="X47" s="120">
        <f t="shared" si="6"/>
        <v>0</v>
      </c>
      <c r="Y47" s="120">
        <f t="shared" si="7"/>
        <v>0</v>
      </c>
      <c r="Z47" s="120">
        <f t="shared" si="8"/>
        <v>0</v>
      </c>
      <c r="AA47" s="120">
        <f t="shared" si="9"/>
        <v>-0.8322851153039833</v>
      </c>
      <c r="AB47" s="120">
        <f t="shared" si="10"/>
        <v>0</v>
      </c>
      <c r="AC47" s="120">
        <f t="shared" si="11"/>
        <v>0</v>
      </c>
      <c r="AD47" s="120">
        <f t="shared" si="12"/>
        <v>0</v>
      </c>
      <c r="AE47" s="120">
        <f t="shared" si="13"/>
        <v>0</v>
      </c>
      <c r="AF47" s="120">
        <f t="shared" si="14"/>
        <v>0</v>
      </c>
      <c r="AG47" s="120">
        <f t="shared" si="15"/>
        <v>0</v>
      </c>
      <c r="AH47" s="120">
        <f t="shared" si="16"/>
        <v>0</v>
      </c>
      <c r="AI47" s="118"/>
      <c r="AJ47" s="89"/>
      <c r="AK47" s="119"/>
      <c r="AL47" s="107">
        <v>1</v>
      </c>
      <c r="AM47" s="118">
        <f>+AH47*AL47</f>
        <v>0</v>
      </c>
      <c r="AN47" s="15"/>
      <c r="AO47" s="136"/>
      <c r="AP47" s="107"/>
      <c r="AQ47" s="107"/>
      <c r="AR47" s="107"/>
      <c r="AS47" s="89">
        <f t="shared" si="20"/>
        <v>0</v>
      </c>
      <c r="AT47" s="236">
        <f t="shared" si="17"/>
        <v>10.569451059174337</v>
      </c>
      <c r="AU47" s="229">
        <f t="shared" si="18"/>
        <v>0</v>
      </c>
      <c r="AV47" s="229">
        <f t="shared" si="19"/>
        <v>7.94</v>
      </c>
    </row>
    <row r="48" spans="1:48" s="107" customFormat="1" ht="12" customHeight="1" thickBot="1">
      <c r="B48" s="99"/>
      <c r="C48" s="99"/>
      <c r="D48" s="231"/>
      <c r="E48" s="231"/>
      <c r="F48" s="122"/>
      <c r="G48" s="120"/>
      <c r="H48" s="120"/>
      <c r="I48" s="120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18"/>
      <c r="AJ48"/>
      <c r="AK48" s="119"/>
      <c r="AN48" s="15"/>
      <c r="AO48" s="136"/>
      <c r="AS48"/>
      <c r="AT48" s="145"/>
    </row>
    <row r="49" spans="1:50" s="112" customFormat="1" ht="12" customHeight="1" thickBot="1">
      <c r="B49" s="117"/>
      <c r="C49" s="179" t="s">
        <v>510</v>
      </c>
      <c r="D49" s="231"/>
      <c r="E49" s="231"/>
      <c r="F49" s="116"/>
      <c r="G49" s="139">
        <f t="shared" ref="G49:R49" si="22">SUM(G13:G48)</f>
        <v>282827.83</v>
      </c>
      <c r="H49" s="139">
        <f t="shared" si="22"/>
        <v>289317.33999999997</v>
      </c>
      <c r="I49" s="139">
        <f t="shared" si="22"/>
        <v>282444.39</v>
      </c>
      <c r="J49" s="139">
        <f t="shared" si="22"/>
        <v>286870.67</v>
      </c>
      <c r="K49" s="139">
        <f t="shared" si="22"/>
        <v>279782.15999999997</v>
      </c>
      <c r="L49" s="139">
        <f t="shared" si="22"/>
        <v>286096.1399999999</v>
      </c>
      <c r="M49" s="139">
        <f t="shared" si="22"/>
        <v>281338.48000000004</v>
      </c>
      <c r="N49" s="139">
        <f t="shared" si="22"/>
        <v>289472.78000000009</v>
      </c>
      <c r="O49" s="139">
        <f t="shared" si="22"/>
        <v>286201.62999999995</v>
      </c>
      <c r="P49" s="139">
        <f t="shared" si="22"/>
        <v>296236.79999999993</v>
      </c>
      <c r="Q49" s="139">
        <f t="shared" si="22"/>
        <v>291635.10000000003</v>
      </c>
      <c r="R49" s="139">
        <f t="shared" si="22"/>
        <v>300359.38</v>
      </c>
      <c r="S49" s="139">
        <f>SUM(G49:R49)</f>
        <v>3452582.6999999997</v>
      </c>
      <c r="T49" s="115"/>
      <c r="U49" s="115"/>
      <c r="V49" s="126">
        <f t="shared" ref="V49:AG49" si="23">SUM(V13:V16,V24:V32,V47)</f>
        <v>10928.733766761479</v>
      </c>
      <c r="W49" s="126">
        <f t="shared" si="23"/>
        <v>11070.632148896399</v>
      </c>
      <c r="X49" s="126">
        <f t="shared" si="23"/>
        <v>10913.228846196365</v>
      </c>
      <c r="Y49" s="126">
        <f t="shared" si="23"/>
        <v>11005.520447733086</v>
      </c>
      <c r="Z49" s="126">
        <f t="shared" si="23"/>
        <v>10819.449440654094</v>
      </c>
      <c r="AA49" s="126">
        <f t="shared" si="23"/>
        <v>10926.462803843717</v>
      </c>
      <c r="AB49" s="126">
        <f t="shared" si="23"/>
        <v>10848.314278568459</v>
      </c>
      <c r="AC49" s="126">
        <f t="shared" si="23"/>
        <v>10980.618660713568</v>
      </c>
      <c r="AD49" s="126">
        <f t="shared" si="23"/>
        <v>10975.146228207241</v>
      </c>
      <c r="AE49" s="126">
        <f t="shared" si="23"/>
        <v>11155.121475603879</v>
      </c>
      <c r="AF49" s="126">
        <f t="shared" si="23"/>
        <v>11144.117550277848</v>
      </c>
      <c r="AG49" s="126">
        <f t="shared" si="23"/>
        <v>11292.595378508558</v>
      </c>
      <c r="AH49" s="126">
        <f>SUM(AH47,AH24:AH32,AH13:AH16)</f>
        <v>11005.064442589999</v>
      </c>
      <c r="AI49" s="118"/>
      <c r="AJ49" s="273" t="s">
        <v>575</v>
      </c>
      <c r="AK49" s="269"/>
      <c r="AL49" s="270"/>
      <c r="AM49" s="274">
        <f>SUM(AM12:AM48)</f>
        <v>11015.241599918863</v>
      </c>
      <c r="AN49" s="273"/>
      <c r="AO49" s="274">
        <f>SUM(AO12:AO48)</f>
        <v>0</v>
      </c>
      <c r="AP49" s="273"/>
      <c r="AQ49" s="274">
        <f>SUM(AQ12:AQ48)</f>
        <v>0</v>
      </c>
      <c r="AR49" s="270"/>
      <c r="AS49" s="268">
        <f>+SUM(AH13:AH16,AH19:AH20,AH24:AH32,AH40:AH42)</f>
        <v>11347.314442590001</v>
      </c>
      <c r="AT49" s="153"/>
      <c r="AU49" s="233">
        <f ca="1">SUM(AU13:OFFSET(AU49,-1,0))</f>
        <v>3825176.8442780478</v>
      </c>
      <c r="AV49" s="233">
        <f ca="1">SUM(AV13:OFFSET(AV49,-1,0))</f>
        <v>372594.14427804836</v>
      </c>
      <c r="AX49" s="238"/>
    </row>
    <row r="50" spans="1:50" s="107" customFormat="1" ht="12" customHeight="1">
      <c r="B50" s="155"/>
      <c r="C50" s="124"/>
      <c r="D50" s="231"/>
      <c r="E50" s="231"/>
      <c r="F50" s="122"/>
      <c r="G50" s="121"/>
      <c r="H50" s="120" t="str">
        <f>IF(F50="","",(#REF!/F50)+(#REF!/D50))</f>
        <v/>
      </c>
      <c r="I50" s="120" t="str">
        <f>IF(F50="","",H50/12)</f>
        <v/>
      </c>
      <c r="J50" s="152"/>
      <c r="K50" s="151"/>
      <c r="L50" s="106"/>
      <c r="M50" s="106"/>
      <c r="N50" s="106"/>
      <c r="O50" s="106"/>
      <c r="P50" s="106"/>
      <c r="Q50" s="106"/>
      <c r="R50" s="106"/>
      <c r="S50" s="106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18"/>
      <c r="AJ50" s="275" t="s">
        <v>576</v>
      </c>
      <c r="AK50" s="276"/>
      <c r="AL50" s="277"/>
      <c r="AM50" s="277"/>
      <c r="AN50" s="278"/>
      <c r="AO50" s="279"/>
      <c r="AP50" s="277"/>
      <c r="AQ50" s="277"/>
      <c r="AR50" s="277"/>
      <c r="AS50" s="280">
        <f>+'Company Calc'!E25-AS49</f>
        <v>0</v>
      </c>
      <c r="AT50" s="145"/>
    </row>
    <row r="51" spans="1:50" s="107" customFormat="1" ht="12" customHeight="1">
      <c r="B51" s="150" t="s">
        <v>509</v>
      </c>
      <c r="C51" s="150" t="s">
        <v>509</v>
      </c>
      <c r="D51" s="231"/>
      <c r="E51" s="231"/>
      <c r="F51" s="122"/>
      <c r="G51" s="121"/>
      <c r="H51" s="120" t="str">
        <f>IF(F51="","",(#REF!/F51)+(#REF!/D51))</f>
        <v/>
      </c>
      <c r="I51" s="120" t="str">
        <f>IF(F51="","",H51/12)</f>
        <v/>
      </c>
      <c r="J51" s="152"/>
      <c r="K51" s="151"/>
      <c r="L51" s="106"/>
      <c r="M51" s="106"/>
      <c r="N51" s="106"/>
      <c r="O51" s="106"/>
      <c r="P51" s="106"/>
      <c r="Q51" s="106"/>
      <c r="R51" s="106"/>
      <c r="S51" s="106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18"/>
      <c r="AJ51"/>
      <c r="AK51" s="119"/>
      <c r="AN51" s="15"/>
      <c r="AO51" s="136"/>
      <c r="AS51"/>
      <c r="AT51" s="145"/>
    </row>
    <row r="52" spans="1:50" s="106" customFormat="1" ht="12" customHeight="1">
      <c r="A52" s="131" t="str">
        <f>"PA-C"&amp;B52</f>
        <v>PA-Crecyonlypre</v>
      </c>
      <c r="B52" s="100" t="s">
        <v>508</v>
      </c>
      <c r="C52" s="100" t="s">
        <v>507</v>
      </c>
      <c r="D52" s="149">
        <v>10.87</v>
      </c>
      <c r="E52" s="148">
        <v>22</v>
      </c>
      <c r="F52" s="122"/>
      <c r="G52" s="130">
        <v>622.30999999999995</v>
      </c>
      <c r="H52" s="130">
        <v>622.29999999999995</v>
      </c>
      <c r="I52" s="130">
        <v>630.46</v>
      </c>
      <c r="J52" s="130">
        <v>619.59</v>
      </c>
      <c r="K52" s="130">
        <v>586.98</v>
      </c>
      <c r="L52" s="130">
        <v>597.18000000000006</v>
      </c>
      <c r="M52" s="130">
        <v>597.85</v>
      </c>
      <c r="N52" s="130">
        <v>608.72</v>
      </c>
      <c r="O52" s="130">
        <v>616.87</v>
      </c>
      <c r="P52" s="130">
        <v>627.74</v>
      </c>
      <c r="Q52" s="130">
        <v>611.43999999999994</v>
      </c>
      <c r="R52" s="130">
        <v>649.45999999999992</v>
      </c>
      <c r="S52" s="130">
        <f>SUM(G52:R52)</f>
        <v>7390.9</v>
      </c>
      <c r="T52" s="131">
        <v>32100</v>
      </c>
      <c r="V52" s="130">
        <f t="shared" ref="V52:AG53" si="24">IFERROR(G52/$D52,0)</f>
        <v>57.250229990800364</v>
      </c>
      <c r="W52" s="130">
        <f t="shared" si="24"/>
        <v>57.249310027598895</v>
      </c>
      <c r="X52" s="130">
        <f t="shared" si="24"/>
        <v>58.000000000000007</v>
      </c>
      <c r="Y52" s="130">
        <f t="shared" si="24"/>
        <v>57.000000000000007</v>
      </c>
      <c r="Z52" s="130">
        <f t="shared" si="24"/>
        <v>54.000000000000007</v>
      </c>
      <c r="AA52" s="130">
        <f t="shared" si="24"/>
        <v>54.938362465501392</v>
      </c>
      <c r="AB52" s="130">
        <f t="shared" si="24"/>
        <v>55.000000000000007</v>
      </c>
      <c r="AC52" s="130">
        <f t="shared" si="24"/>
        <v>56.000000000000007</v>
      </c>
      <c r="AD52" s="130">
        <f t="shared" si="24"/>
        <v>56.749770009199636</v>
      </c>
      <c r="AE52" s="130">
        <f t="shared" si="24"/>
        <v>57.749770009199636</v>
      </c>
      <c r="AF52" s="130">
        <f t="shared" si="24"/>
        <v>56.250229990800364</v>
      </c>
      <c r="AG52" s="130">
        <f t="shared" si="24"/>
        <v>59.747930082796685</v>
      </c>
      <c r="AH52" s="130">
        <f>AVERAGE(V52:AG52)</f>
        <v>56.661300214658077</v>
      </c>
      <c r="AI52" s="118"/>
      <c r="AJ52"/>
      <c r="AK52" s="119" t="s">
        <v>504</v>
      </c>
      <c r="AL52" s="107">
        <v>1</v>
      </c>
      <c r="AM52" s="118">
        <f>+AH52*AL52</f>
        <v>56.661300214658077</v>
      </c>
      <c r="AN52" s="15"/>
      <c r="AO52" s="136"/>
      <c r="AP52" s="107"/>
      <c r="AQ52" s="107"/>
      <c r="AR52" s="107"/>
      <c r="AS52" s="89">
        <f>+AH52</f>
        <v>56.661300214658077</v>
      </c>
      <c r="AT52" s="236">
        <f>+D52*(1+$AZ$2)</f>
        <v>12.042969917528831</v>
      </c>
      <c r="AU52" s="229">
        <f>+AT52*AH52*12</f>
        <v>8188.4440076783658</v>
      </c>
      <c r="AV52" s="229">
        <f>+AU52-S52</f>
        <v>797.54400767836614</v>
      </c>
    </row>
    <row r="53" spans="1:50" s="106" customFormat="1" ht="12" customHeight="1">
      <c r="A53" s="131" t="str">
        <f>"PA-C"&amp;B53</f>
        <v>PA-Crecyrpre</v>
      </c>
      <c r="B53" s="100" t="s">
        <v>506</v>
      </c>
      <c r="C53" s="100" t="s">
        <v>505</v>
      </c>
      <c r="D53" s="149">
        <v>9.5399999999999991</v>
      </c>
      <c r="E53" s="148">
        <v>22</v>
      </c>
      <c r="F53" s="122"/>
      <c r="G53" s="130">
        <v>48596.76</v>
      </c>
      <c r="H53" s="130">
        <v>49240.710000000006</v>
      </c>
      <c r="I53" s="130">
        <v>48909.189999999995</v>
      </c>
      <c r="J53" s="130">
        <v>49400.509999999995</v>
      </c>
      <c r="K53" s="130">
        <v>48737.47</v>
      </c>
      <c r="L53" s="130">
        <v>49247.87</v>
      </c>
      <c r="M53" s="130">
        <v>49016.520000000004</v>
      </c>
      <c r="N53" s="130">
        <v>49603.23000000001</v>
      </c>
      <c r="O53" s="130">
        <v>49558.15</v>
      </c>
      <c r="P53" s="130">
        <v>50311.72</v>
      </c>
      <c r="Q53" s="130">
        <v>50984.150000000009</v>
      </c>
      <c r="R53" s="130">
        <v>51828.43</v>
      </c>
      <c r="S53" s="130">
        <f>SUM(G53:R53)</f>
        <v>595434.71000000008</v>
      </c>
      <c r="T53" s="131">
        <v>32100</v>
      </c>
      <c r="V53" s="130">
        <f t="shared" si="24"/>
        <v>5094.0000000000009</v>
      </c>
      <c r="W53" s="130">
        <f t="shared" si="24"/>
        <v>5161.5000000000009</v>
      </c>
      <c r="X53" s="130">
        <f t="shared" si="24"/>
        <v>5126.7494758909852</v>
      </c>
      <c r="Y53" s="130">
        <f t="shared" si="24"/>
        <v>5178.2505241090148</v>
      </c>
      <c r="Z53" s="130">
        <f t="shared" si="24"/>
        <v>5108.7494758909861</v>
      </c>
      <c r="AA53" s="130">
        <f t="shared" si="24"/>
        <v>5162.2505241090157</v>
      </c>
      <c r="AB53" s="130">
        <f t="shared" si="24"/>
        <v>5138.0000000000009</v>
      </c>
      <c r="AC53" s="130">
        <f t="shared" si="24"/>
        <v>5199.5000000000018</v>
      </c>
      <c r="AD53" s="130">
        <f t="shared" si="24"/>
        <v>5194.7746331236904</v>
      </c>
      <c r="AE53" s="130">
        <f t="shared" si="24"/>
        <v>5273.7651991614266</v>
      </c>
      <c r="AF53" s="130">
        <f t="shared" si="24"/>
        <v>5344.2505241090157</v>
      </c>
      <c r="AG53" s="130">
        <f t="shared" si="24"/>
        <v>5432.7494758909861</v>
      </c>
      <c r="AH53" s="130">
        <f>AVERAGE(V53:AG53)</f>
        <v>5201.2116526904274</v>
      </c>
      <c r="AI53" s="118"/>
      <c r="AJ53"/>
      <c r="AK53" s="119" t="s">
        <v>504</v>
      </c>
      <c r="AL53" s="107">
        <v>1</v>
      </c>
      <c r="AM53" s="118">
        <f>+AH53*AL53</f>
        <v>5201.2116526904274</v>
      </c>
      <c r="AN53" s="15"/>
      <c r="AO53" s="136"/>
      <c r="AP53" s="107"/>
      <c r="AQ53" s="107"/>
      <c r="AR53" s="107"/>
      <c r="AS53" s="89">
        <f>+AH53</f>
        <v>5201.2116526904274</v>
      </c>
      <c r="AT53" s="236">
        <f>+D53*(1+$AZ$2)</f>
        <v>10.569451059174337</v>
      </c>
      <c r="AU53" s="229">
        <f>+AT53*AH53*12</f>
        <v>659687.42413822492</v>
      </c>
      <c r="AV53" s="229">
        <f>+AU53-S53</f>
        <v>64252.714138224837</v>
      </c>
    </row>
    <row r="54" spans="1:50" s="107" customFormat="1" ht="12" customHeight="1" thickBot="1">
      <c r="B54" s="99"/>
      <c r="C54" s="99"/>
      <c r="D54" s="231"/>
      <c r="E54" s="231"/>
      <c r="F54" s="122"/>
      <c r="G54" s="120"/>
      <c r="H54" s="120"/>
      <c r="I54" s="120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54"/>
      <c r="AI54" s="118"/>
      <c r="AJ54"/>
      <c r="AK54" s="119"/>
      <c r="AN54" s="15"/>
      <c r="AO54" s="136"/>
      <c r="AS54"/>
      <c r="AT54" s="145"/>
    </row>
    <row r="55" spans="1:50" s="112" customFormat="1" ht="12" customHeight="1" thickBot="1">
      <c r="B55" s="117"/>
      <c r="C55" s="179" t="s">
        <v>503</v>
      </c>
      <c r="D55" s="231"/>
      <c r="E55" s="231"/>
      <c r="F55" s="116"/>
      <c r="G55" s="178">
        <f t="shared" ref="G55:R55" si="25">SUM(G52:G54)</f>
        <v>49219.07</v>
      </c>
      <c r="H55" s="178">
        <f t="shared" si="25"/>
        <v>49863.010000000009</v>
      </c>
      <c r="I55" s="178">
        <f t="shared" si="25"/>
        <v>49539.649999999994</v>
      </c>
      <c r="J55" s="178">
        <f t="shared" si="25"/>
        <v>50020.099999999991</v>
      </c>
      <c r="K55" s="178">
        <f t="shared" si="25"/>
        <v>49324.450000000004</v>
      </c>
      <c r="L55" s="178">
        <f t="shared" si="25"/>
        <v>49845.05</v>
      </c>
      <c r="M55" s="178">
        <f t="shared" si="25"/>
        <v>49614.37</v>
      </c>
      <c r="N55" s="178">
        <f t="shared" si="25"/>
        <v>50211.950000000012</v>
      </c>
      <c r="O55" s="178">
        <f t="shared" si="25"/>
        <v>50175.020000000004</v>
      </c>
      <c r="P55" s="178">
        <f t="shared" si="25"/>
        <v>50939.46</v>
      </c>
      <c r="Q55" s="178">
        <f t="shared" si="25"/>
        <v>51595.590000000011</v>
      </c>
      <c r="R55" s="178">
        <f t="shared" si="25"/>
        <v>52477.89</v>
      </c>
      <c r="S55" s="178">
        <f>SUM(G55:R55)</f>
        <v>602825.6100000001</v>
      </c>
      <c r="V55" s="126">
        <f t="shared" ref="V55:AH55" si="26">SUM(V52:V53)</f>
        <v>5151.250229990801</v>
      </c>
      <c r="W55" s="126">
        <f t="shared" si="26"/>
        <v>5218.7493100275997</v>
      </c>
      <c r="X55" s="126">
        <f t="shared" si="26"/>
        <v>5184.7494758909852</v>
      </c>
      <c r="Y55" s="126">
        <f t="shared" si="26"/>
        <v>5235.2505241090148</v>
      </c>
      <c r="Z55" s="126">
        <f t="shared" si="26"/>
        <v>5162.7494758909861</v>
      </c>
      <c r="AA55" s="126">
        <f t="shared" si="26"/>
        <v>5217.1888865745168</v>
      </c>
      <c r="AB55" s="126">
        <f t="shared" si="26"/>
        <v>5193.0000000000009</v>
      </c>
      <c r="AC55" s="126">
        <f t="shared" si="26"/>
        <v>5255.5000000000018</v>
      </c>
      <c r="AD55" s="126">
        <f t="shared" si="26"/>
        <v>5251.5244031328903</v>
      </c>
      <c r="AE55" s="126">
        <f t="shared" si="26"/>
        <v>5331.5149691706265</v>
      </c>
      <c r="AF55" s="126">
        <f t="shared" si="26"/>
        <v>5400.5007540998158</v>
      </c>
      <c r="AG55" s="126">
        <f t="shared" si="26"/>
        <v>5492.4974059737824</v>
      </c>
      <c r="AH55" s="126">
        <f t="shared" si="26"/>
        <v>5257.8729529050852</v>
      </c>
      <c r="AI55" s="118"/>
      <c r="AJ55"/>
      <c r="AK55" s="119"/>
      <c r="AL55" s="107"/>
      <c r="AM55" s="110">
        <f>SUM(AM52:AM54)</f>
        <v>5257.8729529050852</v>
      </c>
      <c r="AN55"/>
      <c r="AO55" s="110">
        <f>SUM(AO52:AO54)</f>
        <v>0</v>
      </c>
      <c r="AP55"/>
      <c r="AQ55" s="110">
        <f>SUM(AQ52:AQ54)</f>
        <v>0</v>
      </c>
      <c r="AR55" s="107"/>
      <c r="AS55"/>
      <c r="AT55" s="153"/>
      <c r="AU55" s="233">
        <f ca="1">SUM(AU52:OFFSET(AU55,-1,0))</f>
        <v>667875.86814590334</v>
      </c>
      <c r="AV55" s="233">
        <f ca="1">SUM(AV52:OFFSET(AV55,-1,0))</f>
        <v>65050.258145903201</v>
      </c>
      <c r="AX55" s="238"/>
    </row>
    <row r="56" spans="1:50" s="107" customFormat="1" ht="12" customHeight="1">
      <c r="B56" s="106"/>
      <c r="C56" s="228"/>
      <c r="D56" s="231"/>
      <c r="E56" s="231"/>
      <c r="F56" s="122"/>
      <c r="G56" s="121"/>
      <c r="H56" s="120" t="str">
        <f>IF(F56="","",(#REF!/F56)+(#REF!/D56))</f>
        <v/>
      </c>
      <c r="I56" s="120" t="str">
        <f>IF(F56="","",H56/12)</f>
        <v/>
      </c>
      <c r="J56" s="152"/>
      <c r="K56" s="151"/>
      <c r="L56" s="106"/>
      <c r="M56" s="106"/>
      <c r="N56" s="106"/>
      <c r="O56" s="106"/>
      <c r="P56" s="106"/>
      <c r="Q56" s="106"/>
      <c r="R56" s="106"/>
      <c r="S56" s="106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0"/>
      <c r="AH56" s="120"/>
      <c r="AI56" s="118"/>
      <c r="AJ56"/>
      <c r="AK56" s="119"/>
      <c r="AN56" s="15"/>
      <c r="AO56" s="136"/>
      <c r="AS56"/>
      <c r="AT56" s="145"/>
    </row>
    <row r="57" spans="1:50" s="107" customFormat="1" ht="12" customHeight="1">
      <c r="B57" s="106"/>
      <c r="C57" s="106"/>
      <c r="D57" s="231"/>
      <c r="E57" s="231"/>
      <c r="F57" s="122"/>
      <c r="G57" s="121"/>
      <c r="H57" s="120" t="str">
        <f>IF(F57="","",(#REF!/F57)+(#REF!/D57))</f>
        <v/>
      </c>
      <c r="I57" s="120" t="str">
        <f>IF(F57="","",H57/12)</f>
        <v/>
      </c>
      <c r="J57" s="106"/>
      <c r="K57" s="106"/>
      <c r="L57" s="117">
        <f>+L49-L55</f>
        <v>236251.08999999991</v>
      </c>
      <c r="M57" s="106"/>
      <c r="N57" s="106"/>
      <c r="O57" s="106"/>
      <c r="P57" s="106"/>
      <c r="Q57" s="106"/>
      <c r="R57" s="106"/>
      <c r="S57" s="106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0"/>
      <c r="AH57" s="120"/>
      <c r="AI57" s="118"/>
      <c r="AJ57"/>
      <c r="AK57" s="119"/>
      <c r="AN57" s="15"/>
      <c r="AO57" s="136"/>
      <c r="AS57"/>
      <c r="AT57" s="145"/>
    </row>
    <row r="58" spans="1:50" ht="12" customHeight="1">
      <c r="B58" s="134" t="s">
        <v>502</v>
      </c>
      <c r="C58" s="134" t="s">
        <v>502</v>
      </c>
      <c r="D58" s="216"/>
      <c r="E58" s="216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107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0"/>
      <c r="AH58" s="120"/>
      <c r="AJ58"/>
      <c r="AK58" s="119"/>
      <c r="AL58" s="107"/>
      <c r="AM58" s="107"/>
      <c r="AN58" s="15"/>
      <c r="AO58" s="136"/>
      <c r="AP58" s="107"/>
      <c r="AQ58" s="107"/>
      <c r="AR58" s="107"/>
      <c r="AS58"/>
      <c r="AT58" s="145"/>
    </row>
    <row r="59" spans="1:50" ht="12" customHeight="1">
      <c r="B59" s="134"/>
      <c r="C59" s="134"/>
      <c r="D59" s="216"/>
      <c r="E59" s="216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07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0"/>
      <c r="AH59" s="120"/>
      <c r="AJ59"/>
      <c r="AK59" s="119"/>
      <c r="AL59" s="107"/>
      <c r="AM59" s="107"/>
      <c r="AN59" s="15"/>
      <c r="AO59" s="136"/>
      <c r="AP59" s="107"/>
      <c r="AQ59" s="107"/>
      <c r="AR59" s="107"/>
      <c r="AS59"/>
      <c r="AT59" s="145"/>
    </row>
    <row r="60" spans="1:50" s="107" customFormat="1" ht="12" customHeight="1">
      <c r="B60" s="150" t="s">
        <v>501</v>
      </c>
      <c r="C60" s="150" t="s">
        <v>501</v>
      </c>
      <c r="D60" s="231"/>
      <c r="E60" s="231"/>
      <c r="F60" s="122"/>
      <c r="G60" s="121"/>
      <c r="H60" s="120"/>
      <c r="I60" s="120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0"/>
      <c r="AH60" s="120"/>
      <c r="AI60" s="118"/>
      <c r="AJ60"/>
      <c r="AK60" s="102"/>
      <c r="AM60" s="146"/>
      <c r="AN60"/>
      <c r="AO60" s="146"/>
      <c r="AP60"/>
      <c r="AQ60" s="146"/>
      <c r="AS60"/>
      <c r="AT60" s="145"/>
    </row>
    <row r="61" spans="1:50" s="144" customFormat="1" ht="12" customHeight="1">
      <c r="A61" s="107" t="str">
        <f t="shared" ref="A61:A92" si="27">"PA-C"&amp;B61</f>
        <v>PA-CCTIME</v>
      </c>
      <c r="B61" s="99" t="s">
        <v>255</v>
      </c>
      <c r="C61" s="99" t="s">
        <v>256</v>
      </c>
      <c r="D61" s="149">
        <v>58.06</v>
      </c>
      <c r="E61" s="148">
        <v>29</v>
      </c>
      <c r="F61" s="122"/>
      <c r="G61" s="120">
        <v>14.52</v>
      </c>
      <c r="H61" s="120">
        <v>14.52</v>
      </c>
      <c r="I61" s="120">
        <v>81.290000000000006</v>
      </c>
      <c r="J61" s="120">
        <v>29.03</v>
      </c>
      <c r="K61" s="120">
        <v>0</v>
      </c>
      <c r="L61" s="120">
        <v>23.23</v>
      </c>
      <c r="M61" s="120">
        <v>0</v>
      </c>
      <c r="N61" s="120">
        <v>0</v>
      </c>
      <c r="O61" s="120">
        <v>60.98</v>
      </c>
      <c r="P61" s="120">
        <v>29.04</v>
      </c>
      <c r="Q61" s="120">
        <v>66.790000000000006</v>
      </c>
      <c r="R61" s="120">
        <v>217.76</v>
      </c>
      <c r="S61" s="120">
        <f t="shared" ref="S61:S92" si="28">SUM(G61:R61)</f>
        <v>537.16</v>
      </c>
      <c r="T61" s="107">
        <v>33010</v>
      </c>
      <c r="V61" s="123">
        <f t="shared" ref="V61:V92" si="29">IFERROR(G61/$D61,0)</f>
        <v>0.2500861178091629</v>
      </c>
      <c r="W61" s="123">
        <f t="shared" ref="W61:W92" si="30">IFERROR(H61/$D61,0)</f>
        <v>0.2500861178091629</v>
      </c>
      <c r="X61" s="123">
        <f t="shared" ref="X61:X92" si="31">IFERROR(I61/$D61,0)</f>
        <v>1.4001033413709956</v>
      </c>
      <c r="Y61" s="123">
        <f t="shared" ref="Y61:Y92" si="32">IFERROR(J61/$D61,0)</f>
        <v>0.5</v>
      </c>
      <c r="Z61" s="123">
        <f t="shared" ref="Z61:Z92" si="33">IFERROR(K61/$D61,0)</f>
        <v>0</v>
      </c>
      <c r="AA61" s="123">
        <f t="shared" ref="AA61:AA92" si="34">IFERROR(L61/$D61,0)</f>
        <v>0.40010334137099551</v>
      </c>
      <c r="AB61" s="123">
        <f t="shared" ref="AB61:AB92" si="35">IFERROR(M61/$D61,0)</f>
        <v>0</v>
      </c>
      <c r="AC61" s="123">
        <f t="shared" ref="AC61:AC92" si="36">IFERROR(N61/$D61,0)</f>
        <v>0</v>
      </c>
      <c r="AD61" s="123">
        <f t="shared" ref="AD61:AD92" si="37">IFERROR(O61/$D61,0)</f>
        <v>1.0502928005511538</v>
      </c>
      <c r="AE61" s="123">
        <f t="shared" ref="AE61:AE92" si="38">IFERROR(P61/$D61,0)</f>
        <v>0.5001722356183258</v>
      </c>
      <c r="AF61" s="123">
        <f t="shared" ref="AF61:AF92" si="39">IFERROR(Q61/$D61,0)</f>
        <v>1.1503616947984845</v>
      </c>
      <c r="AG61" s="123">
        <f t="shared" ref="AG61:AG92" si="40">IFERROR(R61/$D61,0)</f>
        <v>3.7506028246641403</v>
      </c>
      <c r="AH61" s="120">
        <f t="shared" ref="AH61:AH103" si="41">IFERROR(AVERAGEIF(V61:AG61,"&gt;0"),0)</f>
        <v>1.0279787193324914</v>
      </c>
      <c r="AI61" s="118"/>
      <c r="AJ61" s="89"/>
      <c r="AK61" s="119"/>
      <c r="AL61" s="107"/>
      <c r="AM61" s="107"/>
      <c r="AN61" s="101"/>
      <c r="AO61" s="127"/>
      <c r="AP61" s="107"/>
      <c r="AQ61" s="107"/>
      <c r="AR61" s="107"/>
      <c r="AS61" s="89">
        <f t="shared" ref="AS61:AS92" si="42">+AH61</f>
        <v>1.0279787193324914</v>
      </c>
      <c r="AT61" s="236">
        <f t="shared" ref="AT61:AT92" si="43">+D61*(1+$AZ$2)</f>
        <v>64.325191666211964</v>
      </c>
      <c r="AU61" s="229">
        <f t="shared" ref="AU61:AU92" si="44">+AT61*AH61*12</f>
        <v>793.49913779819553</v>
      </c>
      <c r="AV61" s="229">
        <f t="shared" ref="AV61:AV92" si="45">+AU61-S61</f>
        <v>256.33913779819557</v>
      </c>
    </row>
    <row r="62" spans="1:50" s="144" customFormat="1" ht="12" customHeight="1">
      <c r="A62" s="107" t="str">
        <f t="shared" si="27"/>
        <v>PA-CCLOCK</v>
      </c>
      <c r="B62" s="99" t="s">
        <v>500</v>
      </c>
      <c r="C62" s="99" t="s">
        <v>559</v>
      </c>
      <c r="D62" s="149">
        <v>1.1200000000000001</v>
      </c>
      <c r="E62" s="148" t="s">
        <v>466</v>
      </c>
      <c r="F62" s="122"/>
      <c r="G62" s="120">
        <v>12</v>
      </c>
      <c r="H62" s="120">
        <v>12</v>
      </c>
      <c r="I62" s="120">
        <v>12</v>
      </c>
      <c r="J62" s="120">
        <v>12</v>
      </c>
      <c r="K62" s="120">
        <v>12</v>
      </c>
      <c r="L62" s="120">
        <v>12</v>
      </c>
      <c r="M62" s="120">
        <v>12</v>
      </c>
      <c r="N62" s="120">
        <v>12</v>
      </c>
      <c r="O62" s="120">
        <v>12</v>
      </c>
      <c r="P62" s="120">
        <v>12</v>
      </c>
      <c r="Q62" s="120">
        <v>12</v>
      </c>
      <c r="R62" s="120">
        <v>12</v>
      </c>
      <c r="S62" s="120">
        <f t="shared" si="28"/>
        <v>144</v>
      </c>
      <c r="T62" s="107">
        <v>33011</v>
      </c>
      <c r="V62" s="120">
        <f t="shared" si="29"/>
        <v>10.714285714285714</v>
      </c>
      <c r="W62" s="120">
        <f t="shared" si="30"/>
        <v>10.714285714285714</v>
      </c>
      <c r="X62" s="120">
        <f t="shared" si="31"/>
        <v>10.714285714285714</v>
      </c>
      <c r="Y62" s="120">
        <f t="shared" si="32"/>
        <v>10.714285714285714</v>
      </c>
      <c r="Z62" s="120">
        <f t="shared" si="33"/>
        <v>10.714285714285714</v>
      </c>
      <c r="AA62" s="120">
        <f t="shared" si="34"/>
        <v>10.714285714285714</v>
      </c>
      <c r="AB62" s="120">
        <f t="shared" si="35"/>
        <v>10.714285714285714</v>
      </c>
      <c r="AC62" s="120">
        <f t="shared" si="36"/>
        <v>10.714285714285714</v>
      </c>
      <c r="AD62" s="120">
        <f t="shared" si="37"/>
        <v>10.714285714285714</v>
      </c>
      <c r="AE62" s="120">
        <f t="shared" si="38"/>
        <v>10.714285714285714</v>
      </c>
      <c r="AF62" s="120">
        <f t="shared" si="39"/>
        <v>10.714285714285714</v>
      </c>
      <c r="AG62" s="120">
        <f t="shared" si="40"/>
        <v>10.714285714285714</v>
      </c>
      <c r="AH62" s="120">
        <f t="shared" si="41"/>
        <v>10.71428571428571</v>
      </c>
      <c r="AI62" s="118"/>
      <c r="AJ62" s="89"/>
      <c r="AK62" s="119"/>
      <c r="AL62" s="107"/>
      <c r="AM62" s="107"/>
      <c r="AN62" s="101"/>
      <c r="AO62" s="127"/>
      <c r="AP62" s="107"/>
      <c r="AQ62" s="107"/>
      <c r="AR62" s="107"/>
      <c r="AS62" s="89">
        <f t="shared" si="42"/>
        <v>10.71428571428571</v>
      </c>
      <c r="AT62" s="236">
        <f t="shared" si="43"/>
        <v>1.2408579859827316</v>
      </c>
      <c r="AU62" s="229">
        <f t="shared" si="44"/>
        <v>159.53888391206542</v>
      </c>
      <c r="AV62" s="229">
        <f t="shared" si="45"/>
        <v>15.538883912065415</v>
      </c>
    </row>
    <row r="63" spans="1:50" s="144" customFormat="1" ht="12" customHeight="1">
      <c r="A63" s="107" t="str">
        <f t="shared" si="27"/>
        <v>PA-CDEL2TEMP-COM</v>
      </c>
      <c r="B63" s="99" t="s">
        <v>499</v>
      </c>
      <c r="C63" s="99" t="s">
        <v>498</v>
      </c>
      <c r="D63" s="149">
        <v>35.270000000000003</v>
      </c>
      <c r="E63" s="148" t="s">
        <v>161</v>
      </c>
      <c r="F63" s="122"/>
      <c r="G63" s="120">
        <v>105.81</v>
      </c>
      <c r="H63" s="120">
        <v>70.540000000000006</v>
      </c>
      <c r="I63" s="120">
        <v>105.81</v>
      </c>
      <c r="J63" s="120">
        <v>0</v>
      </c>
      <c r="K63" s="120">
        <v>0</v>
      </c>
      <c r="L63" s="120">
        <v>70.540000000000006</v>
      </c>
      <c r="M63" s="120">
        <v>35.270000000000003</v>
      </c>
      <c r="N63" s="120">
        <v>70.540000000000006</v>
      </c>
      <c r="O63" s="120">
        <v>35.270000000000003</v>
      </c>
      <c r="P63" s="120">
        <v>70.540000000000006</v>
      </c>
      <c r="Q63" s="120">
        <v>70.540000000000006</v>
      </c>
      <c r="R63" s="120">
        <v>105.81</v>
      </c>
      <c r="S63" s="120">
        <f t="shared" si="28"/>
        <v>740.67000000000007</v>
      </c>
      <c r="T63" s="107">
        <v>33010</v>
      </c>
      <c r="V63" s="123">
        <f t="shared" si="29"/>
        <v>3</v>
      </c>
      <c r="W63" s="123">
        <f t="shared" si="30"/>
        <v>2</v>
      </c>
      <c r="X63" s="123">
        <f t="shared" si="31"/>
        <v>3</v>
      </c>
      <c r="Y63" s="123">
        <f t="shared" si="32"/>
        <v>0</v>
      </c>
      <c r="Z63" s="123">
        <f t="shared" si="33"/>
        <v>0</v>
      </c>
      <c r="AA63" s="123">
        <f t="shared" si="34"/>
        <v>2</v>
      </c>
      <c r="AB63" s="123">
        <f t="shared" si="35"/>
        <v>1</v>
      </c>
      <c r="AC63" s="123">
        <f t="shared" si="36"/>
        <v>2</v>
      </c>
      <c r="AD63" s="123">
        <f t="shared" si="37"/>
        <v>1</v>
      </c>
      <c r="AE63" s="123">
        <f t="shared" si="38"/>
        <v>2</v>
      </c>
      <c r="AF63" s="123">
        <f t="shared" si="39"/>
        <v>2</v>
      </c>
      <c r="AG63" s="123">
        <f t="shared" si="40"/>
        <v>3</v>
      </c>
      <c r="AH63" s="120">
        <f t="shared" si="41"/>
        <v>2.1</v>
      </c>
      <c r="AI63" s="118"/>
      <c r="AJ63" s="89"/>
      <c r="AK63" s="119"/>
      <c r="AL63" s="107"/>
      <c r="AM63" s="107"/>
      <c r="AN63" s="101"/>
      <c r="AO63" s="127"/>
      <c r="AP63" s="107"/>
      <c r="AQ63" s="107"/>
      <c r="AR63" s="107"/>
      <c r="AS63" s="89">
        <f t="shared" si="42"/>
        <v>2.1</v>
      </c>
      <c r="AT63" s="236">
        <f t="shared" si="43"/>
        <v>39.075947469295485</v>
      </c>
      <c r="AU63" s="229">
        <f t="shared" si="44"/>
        <v>984.71387622624616</v>
      </c>
      <c r="AV63" s="229">
        <f t="shared" si="45"/>
        <v>244.04387622624608</v>
      </c>
    </row>
    <row r="64" spans="1:50" s="106" customFormat="1" ht="12" customHeight="1">
      <c r="A64" s="131" t="str">
        <f t="shared" si="27"/>
        <v>PA-CF4TC-COM</v>
      </c>
      <c r="B64" s="264" t="s">
        <v>370</v>
      </c>
      <c r="C64" s="264" t="s">
        <v>371</v>
      </c>
      <c r="D64" s="149">
        <v>77.709999999999994</v>
      </c>
      <c r="E64" s="148" t="s">
        <v>161</v>
      </c>
      <c r="F64" s="122"/>
      <c r="G64" s="130">
        <v>1010.23</v>
      </c>
      <c r="H64" s="130">
        <v>932.52</v>
      </c>
      <c r="I64" s="130">
        <v>621.67999999999995</v>
      </c>
      <c r="J64" s="130">
        <v>466.26</v>
      </c>
      <c r="K64" s="130">
        <v>77.709999999999994</v>
      </c>
      <c r="L64" s="130">
        <v>699.39</v>
      </c>
      <c r="M64" s="130">
        <v>621.67999999999995</v>
      </c>
      <c r="N64" s="130">
        <v>388.55</v>
      </c>
      <c r="O64" s="130">
        <v>777.1</v>
      </c>
      <c r="P64" s="130">
        <v>621.67999999999995</v>
      </c>
      <c r="Q64" s="130">
        <v>543.97</v>
      </c>
      <c r="R64" s="130">
        <v>621.67999999999995</v>
      </c>
      <c r="S64" s="265">
        <f t="shared" si="28"/>
        <v>7382.4500000000007</v>
      </c>
      <c r="T64" s="131">
        <v>33010</v>
      </c>
      <c r="V64" s="130">
        <f t="shared" si="29"/>
        <v>13.000000000000002</v>
      </c>
      <c r="W64" s="130">
        <f t="shared" si="30"/>
        <v>12</v>
      </c>
      <c r="X64" s="130">
        <f t="shared" si="31"/>
        <v>8</v>
      </c>
      <c r="Y64" s="130">
        <f t="shared" si="32"/>
        <v>6</v>
      </c>
      <c r="Z64" s="130">
        <f t="shared" si="33"/>
        <v>1</v>
      </c>
      <c r="AA64" s="130">
        <f t="shared" si="34"/>
        <v>9</v>
      </c>
      <c r="AB64" s="130">
        <f t="shared" si="35"/>
        <v>8</v>
      </c>
      <c r="AC64" s="130">
        <f t="shared" si="36"/>
        <v>5.0000000000000009</v>
      </c>
      <c r="AD64" s="130">
        <f t="shared" si="37"/>
        <v>10.000000000000002</v>
      </c>
      <c r="AE64" s="130">
        <f t="shared" si="38"/>
        <v>8</v>
      </c>
      <c r="AF64" s="130">
        <f t="shared" si="39"/>
        <v>7.0000000000000009</v>
      </c>
      <c r="AG64" s="130">
        <f t="shared" si="40"/>
        <v>8</v>
      </c>
      <c r="AH64" s="265">
        <f t="shared" si="41"/>
        <v>7.916666666666667</v>
      </c>
      <c r="AI64" s="118">
        <f>+SUMIF('Company Calc'!$C$26:$C$87,B64,'Company Calc'!E26:E87)-AH64-SUMIF('CityPA-M Price Out'!$B$11:$B$19,B64,'CityPA-M Price Out'!$AI$11:$AI$19)</f>
        <v>0</v>
      </c>
      <c r="AJ64" s="89"/>
      <c r="AK64" s="119" t="s">
        <v>478</v>
      </c>
      <c r="AL64" s="107"/>
      <c r="AM64" s="107"/>
      <c r="AN64" s="101">
        <v>1</v>
      </c>
      <c r="AO64" s="127">
        <f t="shared" ref="AO64:AO87" si="46">+AH64*AN64</f>
        <v>7.916666666666667</v>
      </c>
      <c r="AP64" s="107"/>
      <c r="AQ64" s="107"/>
      <c r="AR64" s="107"/>
      <c r="AS64" s="268">
        <f t="shared" si="42"/>
        <v>7.916666666666667</v>
      </c>
      <c r="AT64" s="236">
        <f t="shared" si="43"/>
        <v>86.095601866712556</v>
      </c>
      <c r="AU64" s="229">
        <f t="shared" si="44"/>
        <v>8179.0821773376929</v>
      </c>
      <c r="AV64" s="229">
        <f t="shared" si="45"/>
        <v>796.63217733769216</v>
      </c>
    </row>
    <row r="65" spans="1:48" s="106" customFormat="1" ht="12" customHeight="1">
      <c r="A65" s="131" t="str">
        <f t="shared" si="27"/>
        <v>PA-CF1.5YD1M</v>
      </c>
      <c r="B65" s="264" t="s">
        <v>372</v>
      </c>
      <c r="C65" s="264" t="s">
        <v>373</v>
      </c>
      <c r="D65" s="149">
        <v>31</v>
      </c>
      <c r="E65" s="148" t="s">
        <v>161</v>
      </c>
      <c r="F65" s="122"/>
      <c r="G65" s="130">
        <v>217</v>
      </c>
      <c r="H65" s="130">
        <v>248</v>
      </c>
      <c r="I65" s="130">
        <v>279</v>
      </c>
      <c r="J65" s="130">
        <v>310</v>
      </c>
      <c r="K65" s="130">
        <v>310</v>
      </c>
      <c r="L65" s="130">
        <v>310</v>
      </c>
      <c r="M65" s="130">
        <v>325.5</v>
      </c>
      <c r="N65" s="130">
        <v>325.5</v>
      </c>
      <c r="O65" s="130">
        <v>310</v>
      </c>
      <c r="P65" s="130">
        <v>279</v>
      </c>
      <c r="Q65" s="130">
        <v>279</v>
      </c>
      <c r="R65" s="130">
        <v>279</v>
      </c>
      <c r="S65" s="265">
        <f t="shared" si="28"/>
        <v>3472</v>
      </c>
      <c r="T65" s="131">
        <v>33010</v>
      </c>
      <c r="V65" s="130">
        <f t="shared" si="29"/>
        <v>7</v>
      </c>
      <c r="W65" s="130">
        <f t="shared" si="30"/>
        <v>8</v>
      </c>
      <c r="X65" s="130">
        <f t="shared" si="31"/>
        <v>9</v>
      </c>
      <c r="Y65" s="130">
        <f t="shared" si="32"/>
        <v>10</v>
      </c>
      <c r="Z65" s="130">
        <f t="shared" si="33"/>
        <v>10</v>
      </c>
      <c r="AA65" s="130">
        <f t="shared" si="34"/>
        <v>10</v>
      </c>
      <c r="AB65" s="130">
        <f t="shared" si="35"/>
        <v>10.5</v>
      </c>
      <c r="AC65" s="130">
        <f t="shared" si="36"/>
        <v>10.5</v>
      </c>
      <c r="AD65" s="130">
        <f t="shared" si="37"/>
        <v>10</v>
      </c>
      <c r="AE65" s="130">
        <f t="shared" si="38"/>
        <v>9</v>
      </c>
      <c r="AF65" s="130">
        <f t="shared" si="39"/>
        <v>9</v>
      </c>
      <c r="AG65" s="130">
        <f t="shared" si="40"/>
        <v>9</v>
      </c>
      <c r="AH65" s="265">
        <f t="shared" si="41"/>
        <v>9.3333333333333339</v>
      </c>
      <c r="AI65" s="118">
        <f>+SUMIF('Company Calc'!$C$26:$C$87,B65,'Company Calc'!E27:E88)-AH65-SUMIF('CityPA-M Price Out'!$B$11:$B$19,B65,'CityPA-M Price Out'!$AI$11:$AI$19)</f>
        <v>19.75</v>
      </c>
      <c r="AJ65" s="89"/>
      <c r="AK65" s="119" t="s">
        <v>489</v>
      </c>
      <c r="AL65" s="107"/>
      <c r="AM65" s="107"/>
      <c r="AN65" s="101">
        <v>1</v>
      </c>
      <c r="AO65" s="127">
        <f t="shared" si="46"/>
        <v>9.3333333333333339</v>
      </c>
      <c r="AP65" s="107"/>
      <c r="AQ65" s="107"/>
      <c r="AR65" s="107"/>
      <c r="AS65" s="268">
        <f t="shared" si="42"/>
        <v>9.3333333333333339</v>
      </c>
      <c r="AT65" s="236">
        <f t="shared" si="43"/>
        <v>34.345176397736317</v>
      </c>
      <c r="AU65" s="229">
        <f t="shared" si="44"/>
        <v>3846.6597565464676</v>
      </c>
      <c r="AV65" s="229">
        <f t="shared" si="45"/>
        <v>374.65975654646763</v>
      </c>
    </row>
    <row r="66" spans="1:48" s="106" customFormat="1" ht="12" customHeight="1">
      <c r="A66" s="131" t="str">
        <f t="shared" si="27"/>
        <v>PA-CF3YD1M</v>
      </c>
      <c r="B66" s="264" t="s">
        <v>374</v>
      </c>
      <c r="C66" s="264" t="s">
        <v>375</v>
      </c>
      <c r="D66" s="149">
        <v>56.85</v>
      </c>
      <c r="E66" s="148" t="s">
        <v>161</v>
      </c>
      <c r="F66" s="122"/>
      <c r="G66" s="130">
        <v>397.95</v>
      </c>
      <c r="H66" s="130">
        <v>454.8</v>
      </c>
      <c r="I66" s="130">
        <v>397.95</v>
      </c>
      <c r="J66" s="130">
        <v>397.95</v>
      </c>
      <c r="K66" s="130">
        <v>397.95</v>
      </c>
      <c r="L66" s="130">
        <v>454.8</v>
      </c>
      <c r="M66" s="130">
        <v>454.8</v>
      </c>
      <c r="N66" s="130">
        <v>511.65</v>
      </c>
      <c r="O66" s="130">
        <v>454.8</v>
      </c>
      <c r="P66" s="130">
        <v>454.8</v>
      </c>
      <c r="Q66" s="130">
        <v>454.8</v>
      </c>
      <c r="R66" s="130">
        <v>511.65</v>
      </c>
      <c r="S66" s="265">
        <f t="shared" si="28"/>
        <v>5343.9000000000005</v>
      </c>
      <c r="T66" s="131">
        <v>33010</v>
      </c>
      <c r="V66" s="130">
        <f t="shared" si="29"/>
        <v>7</v>
      </c>
      <c r="W66" s="130">
        <f t="shared" si="30"/>
        <v>8</v>
      </c>
      <c r="X66" s="130">
        <f t="shared" si="31"/>
        <v>7</v>
      </c>
      <c r="Y66" s="130">
        <f t="shared" si="32"/>
        <v>7</v>
      </c>
      <c r="Z66" s="130">
        <f t="shared" si="33"/>
        <v>7</v>
      </c>
      <c r="AA66" s="130">
        <f t="shared" si="34"/>
        <v>8</v>
      </c>
      <c r="AB66" s="130">
        <f t="shared" si="35"/>
        <v>8</v>
      </c>
      <c r="AC66" s="130">
        <f t="shared" si="36"/>
        <v>9</v>
      </c>
      <c r="AD66" s="130">
        <f t="shared" si="37"/>
        <v>8</v>
      </c>
      <c r="AE66" s="130">
        <f t="shared" si="38"/>
        <v>8</v>
      </c>
      <c r="AF66" s="130">
        <f t="shared" si="39"/>
        <v>8</v>
      </c>
      <c r="AG66" s="130">
        <f t="shared" si="40"/>
        <v>9</v>
      </c>
      <c r="AH66" s="265">
        <f t="shared" si="41"/>
        <v>7.833333333333333</v>
      </c>
      <c r="AI66" s="118">
        <f>+SUMIF('Company Calc'!$C$26:$C$87,B66,'Company Calc'!E28:E89)-AH66-SUMIF('CityPA-M Price Out'!$B$11:$B$19,B66,'CityPA-M Price Out'!$AI$11:$AI$19)</f>
        <v>-4.083333333333333</v>
      </c>
      <c r="AJ66" s="89"/>
      <c r="AK66" s="119" t="s">
        <v>488</v>
      </c>
      <c r="AL66" s="107"/>
      <c r="AM66" s="107"/>
      <c r="AN66" s="101">
        <v>1</v>
      </c>
      <c r="AO66" s="127">
        <f t="shared" si="46"/>
        <v>7.833333333333333</v>
      </c>
      <c r="AP66" s="107"/>
      <c r="AQ66" s="107"/>
      <c r="AR66" s="107"/>
      <c r="AS66" s="268">
        <f t="shared" si="42"/>
        <v>7.833333333333333</v>
      </c>
      <c r="AT66" s="236">
        <f t="shared" si="43"/>
        <v>62.984621877784186</v>
      </c>
      <c r="AU66" s="229">
        <f t="shared" si="44"/>
        <v>5920.5544565117134</v>
      </c>
      <c r="AV66" s="229">
        <f t="shared" si="45"/>
        <v>576.65445651171285</v>
      </c>
    </row>
    <row r="67" spans="1:48" s="106" customFormat="1" ht="12" customHeight="1">
      <c r="A67" s="131" t="str">
        <f t="shared" si="27"/>
        <v>PA-CF4YD2W</v>
      </c>
      <c r="B67" s="264" t="s">
        <v>376</v>
      </c>
      <c r="C67" s="264" t="s">
        <v>377</v>
      </c>
      <c r="D67" s="149">
        <v>672.97</v>
      </c>
      <c r="E67" s="148" t="s">
        <v>161</v>
      </c>
      <c r="F67" s="122"/>
      <c r="G67" s="130">
        <v>1514.18</v>
      </c>
      <c r="H67" s="130">
        <v>1345.94</v>
      </c>
      <c r="I67" s="130">
        <v>1345.94</v>
      </c>
      <c r="J67" s="130">
        <v>1345.94</v>
      </c>
      <c r="K67" s="130">
        <v>1177.69</v>
      </c>
      <c r="L67" s="130">
        <v>672.97</v>
      </c>
      <c r="M67" s="130">
        <v>672.97</v>
      </c>
      <c r="N67" s="130">
        <v>672.97</v>
      </c>
      <c r="O67" s="130">
        <v>672.97</v>
      </c>
      <c r="P67" s="130">
        <v>672.97</v>
      </c>
      <c r="Q67" s="130">
        <v>672.97</v>
      </c>
      <c r="R67" s="130">
        <v>672.97</v>
      </c>
      <c r="S67" s="265">
        <f t="shared" si="28"/>
        <v>11440.479999999998</v>
      </c>
      <c r="T67" s="131">
        <v>33010</v>
      </c>
      <c r="V67" s="130">
        <f t="shared" si="29"/>
        <v>2.2499962851241513</v>
      </c>
      <c r="W67" s="130">
        <f t="shared" si="30"/>
        <v>2</v>
      </c>
      <c r="X67" s="130">
        <f t="shared" si="31"/>
        <v>2</v>
      </c>
      <c r="Y67" s="130">
        <f t="shared" si="32"/>
        <v>2</v>
      </c>
      <c r="Z67" s="130">
        <f t="shared" si="33"/>
        <v>1.7499888553724534</v>
      </c>
      <c r="AA67" s="130">
        <f t="shared" si="34"/>
        <v>1</v>
      </c>
      <c r="AB67" s="130">
        <f t="shared" si="35"/>
        <v>1</v>
      </c>
      <c r="AC67" s="130">
        <f t="shared" si="36"/>
        <v>1</v>
      </c>
      <c r="AD67" s="130">
        <f t="shared" si="37"/>
        <v>1</v>
      </c>
      <c r="AE67" s="130">
        <f t="shared" si="38"/>
        <v>1</v>
      </c>
      <c r="AF67" s="130">
        <f t="shared" si="39"/>
        <v>1</v>
      </c>
      <c r="AG67" s="130">
        <f t="shared" si="40"/>
        <v>1</v>
      </c>
      <c r="AH67" s="265">
        <f t="shared" si="41"/>
        <v>1.4166654283747171</v>
      </c>
      <c r="AI67" s="118">
        <f>+SUMIF('Company Calc'!$C$26:$C$87,B67,'Company Calc'!E29:E90)-AH67-SUMIF('CityPA-M Price Out'!$B$11:$B$19,B67,'CityPA-M Price Out'!$AI$11:$AI$19)</f>
        <v>0.14583257887358503</v>
      </c>
      <c r="AJ67" s="89"/>
      <c r="AK67" s="119" t="s">
        <v>478</v>
      </c>
      <c r="AL67" s="107"/>
      <c r="AM67" s="107"/>
      <c r="AN67" s="101">
        <v>1</v>
      </c>
      <c r="AO67" s="127">
        <f t="shared" si="46"/>
        <v>1.4166654283747171</v>
      </c>
      <c r="AP67" s="107"/>
      <c r="AQ67" s="107"/>
      <c r="AR67" s="107"/>
      <c r="AS67" s="268">
        <f t="shared" si="42"/>
        <v>1.4166654283747171</v>
      </c>
      <c r="AT67" s="236">
        <f t="shared" si="43"/>
        <v>745.58946323821328</v>
      </c>
      <c r="AU67" s="229">
        <f t="shared" si="44"/>
        <v>12675.009795960465</v>
      </c>
      <c r="AV67" s="229">
        <f t="shared" si="45"/>
        <v>1234.5297959604668</v>
      </c>
    </row>
    <row r="68" spans="1:48" s="106" customFormat="1" ht="12" customHeight="1">
      <c r="A68" s="131" t="str">
        <f t="shared" si="27"/>
        <v>PA-CF2YD1W</v>
      </c>
      <c r="B68" s="264" t="s">
        <v>200</v>
      </c>
      <c r="C68" s="264" t="s">
        <v>123</v>
      </c>
      <c r="D68" s="149">
        <v>185.41</v>
      </c>
      <c r="E68" s="148" t="s">
        <v>161</v>
      </c>
      <c r="F68" s="122"/>
      <c r="G68" s="130">
        <v>21785.66</v>
      </c>
      <c r="H68" s="130">
        <v>21090.3</v>
      </c>
      <c r="I68" s="130">
        <v>19560.669999999998</v>
      </c>
      <c r="J68" s="130">
        <v>18077.439999999999</v>
      </c>
      <c r="K68" s="130">
        <v>17474.890000000003</v>
      </c>
      <c r="L68" s="130">
        <v>16779.57</v>
      </c>
      <c r="M68" s="130">
        <v>16594.189999999999</v>
      </c>
      <c r="N68" s="130">
        <v>16408.780000000002</v>
      </c>
      <c r="O68" s="130">
        <v>16825.919999999998</v>
      </c>
      <c r="P68" s="130">
        <v>17011.330000000002</v>
      </c>
      <c r="Q68" s="130">
        <v>19467.990000000002</v>
      </c>
      <c r="R68" s="130">
        <v>19607.09</v>
      </c>
      <c r="S68" s="265">
        <f t="shared" si="28"/>
        <v>220683.83</v>
      </c>
      <c r="T68" s="131">
        <v>33010</v>
      </c>
      <c r="V68" s="130">
        <f t="shared" si="29"/>
        <v>117.49991909821478</v>
      </c>
      <c r="W68" s="130">
        <f t="shared" si="30"/>
        <v>113.74952807291947</v>
      </c>
      <c r="X68" s="130">
        <f t="shared" si="31"/>
        <v>105.49954155655034</v>
      </c>
      <c r="Y68" s="130">
        <f t="shared" si="32"/>
        <v>97.49981122916779</v>
      </c>
      <c r="Z68" s="130">
        <f t="shared" si="33"/>
        <v>94.249986516369148</v>
      </c>
      <c r="AA68" s="130">
        <f t="shared" si="34"/>
        <v>90.49981122916779</v>
      </c>
      <c r="AB68" s="130">
        <f t="shared" si="35"/>
        <v>89.499973032738254</v>
      </c>
      <c r="AC68" s="130">
        <f t="shared" si="36"/>
        <v>88.499973032738268</v>
      </c>
      <c r="AD68" s="130">
        <f t="shared" si="37"/>
        <v>90.74979774553691</v>
      </c>
      <c r="AE68" s="130">
        <f t="shared" si="38"/>
        <v>91.749797745536924</v>
      </c>
      <c r="AF68" s="130">
        <f t="shared" si="39"/>
        <v>104.99967639285909</v>
      </c>
      <c r="AG68" s="130">
        <f t="shared" si="40"/>
        <v>105.74990561458389</v>
      </c>
      <c r="AH68" s="265">
        <f t="shared" si="41"/>
        <v>99.187310105531878</v>
      </c>
      <c r="AI68" s="118">
        <f>+SUMIF('Company Calc'!$C$26:$C$87,B68,'Company Calc'!E30:E91)-AH68-SUMIF('CityPA-M Price Out'!$B$11:$B$19,B68,'CityPA-M Price Out'!$AI$11:$AI$19)</f>
        <v>-99.887310105531881</v>
      </c>
      <c r="AJ68" s="89"/>
      <c r="AK68" s="119" t="s">
        <v>479</v>
      </c>
      <c r="AL68" s="107"/>
      <c r="AM68" s="107"/>
      <c r="AN68" s="101">
        <v>1</v>
      </c>
      <c r="AO68" s="127">
        <f t="shared" si="46"/>
        <v>99.187310105531878</v>
      </c>
      <c r="AP68" s="107"/>
      <c r="AQ68" s="107"/>
      <c r="AR68" s="107"/>
      <c r="AS68" s="268">
        <f t="shared" si="42"/>
        <v>99.187310105531878</v>
      </c>
      <c r="AT68" s="236">
        <f t="shared" si="43"/>
        <v>205.41739212594487</v>
      </c>
      <c r="AU68" s="229">
        <f t="shared" si="44"/>
        <v>244497.58288638885</v>
      </c>
      <c r="AV68" s="229">
        <f t="shared" si="45"/>
        <v>23813.752886388858</v>
      </c>
    </row>
    <row r="69" spans="1:48" s="106" customFormat="1" ht="12" customHeight="1">
      <c r="A69" s="131" t="str">
        <f t="shared" si="27"/>
        <v>PA-CF2YDEOW</v>
      </c>
      <c r="B69" s="264" t="s">
        <v>212</v>
      </c>
      <c r="C69" s="264" t="s">
        <v>135</v>
      </c>
      <c r="D69" s="149">
        <v>92.92</v>
      </c>
      <c r="E69" s="148" t="s">
        <v>161</v>
      </c>
      <c r="F69" s="122"/>
      <c r="G69" s="130">
        <v>6225.64</v>
      </c>
      <c r="H69" s="130">
        <v>6411.48</v>
      </c>
      <c r="I69" s="130">
        <v>6457.94</v>
      </c>
      <c r="J69" s="130">
        <v>7015.46</v>
      </c>
      <c r="K69" s="130">
        <v>7340.68</v>
      </c>
      <c r="L69" s="130">
        <v>7387.14</v>
      </c>
      <c r="M69" s="130">
        <v>7526.52</v>
      </c>
      <c r="N69" s="130">
        <v>7526.52</v>
      </c>
      <c r="O69" s="130">
        <v>7340.68</v>
      </c>
      <c r="P69" s="130">
        <v>7247.76</v>
      </c>
      <c r="Q69" s="130">
        <v>7572.98</v>
      </c>
      <c r="R69" s="130">
        <v>7805.28</v>
      </c>
      <c r="S69" s="265">
        <f t="shared" si="28"/>
        <v>85858.08</v>
      </c>
      <c r="T69" s="131">
        <v>33010</v>
      </c>
      <c r="V69" s="130">
        <f t="shared" si="29"/>
        <v>67</v>
      </c>
      <c r="W69" s="130">
        <f t="shared" si="30"/>
        <v>69</v>
      </c>
      <c r="X69" s="130">
        <f t="shared" si="31"/>
        <v>69.5</v>
      </c>
      <c r="Y69" s="130">
        <f t="shared" si="32"/>
        <v>75.5</v>
      </c>
      <c r="Z69" s="130">
        <f t="shared" si="33"/>
        <v>79</v>
      </c>
      <c r="AA69" s="130">
        <f t="shared" si="34"/>
        <v>79.5</v>
      </c>
      <c r="AB69" s="130">
        <f t="shared" si="35"/>
        <v>81</v>
      </c>
      <c r="AC69" s="130">
        <f t="shared" si="36"/>
        <v>81</v>
      </c>
      <c r="AD69" s="130">
        <f t="shared" si="37"/>
        <v>79</v>
      </c>
      <c r="AE69" s="130">
        <f t="shared" si="38"/>
        <v>78</v>
      </c>
      <c r="AF69" s="130">
        <f t="shared" si="39"/>
        <v>81.5</v>
      </c>
      <c r="AG69" s="130">
        <f t="shared" si="40"/>
        <v>84</v>
      </c>
      <c r="AH69" s="265">
        <f t="shared" si="41"/>
        <v>77</v>
      </c>
      <c r="AI69" s="118">
        <f>+SUMIF('Company Calc'!$C$26:$C$87,B69,'Company Calc'!E31:E92)-AH69-SUMIF('CityPA-M Price Out'!$B$11:$B$19,B69,'CityPA-M Price Out'!$AI$11:$AI$19)</f>
        <v>-76.708333333333329</v>
      </c>
      <c r="AJ69" s="89"/>
      <c r="AK69" s="119" t="s">
        <v>479</v>
      </c>
      <c r="AL69" s="107"/>
      <c r="AM69" s="107"/>
      <c r="AN69" s="101">
        <v>1</v>
      </c>
      <c r="AO69" s="127">
        <f t="shared" si="46"/>
        <v>77</v>
      </c>
      <c r="AP69" s="107"/>
      <c r="AQ69" s="107"/>
      <c r="AR69" s="107"/>
      <c r="AS69" s="268">
        <f t="shared" si="42"/>
        <v>77</v>
      </c>
      <c r="AT69" s="236">
        <f t="shared" si="43"/>
        <v>102.94689647992448</v>
      </c>
      <c r="AU69" s="229">
        <f t="shared" si="44"/>
        <v>95122.932347450216</v>
      </c>
      <c r="AV69" s="229">
        <f t="shared" si="45"/>
        <v>9264.8523474502144</v>
      </c>
    </row>
    <row r="70" spans="1:48" s="106" customFormat="1" ht="12" customHeight="1">
      <c r="A70" s="131" t="str">
        <f t="shared" si="27"/>
        <v>PA-CF4YD1W</v>
      </c>
      <c r="B70" s="264" t="s">
        <v>204</v>
      </c>
      <c r="C70" s="264" t="s">
        <v>127</v>
      </c>
      <c r="D70" s="149">
        <v>336.48</v>
      </c>
      <c r="E70" s="148" t="s">
        <v>161</v>
      </c>
      <c r="F70" s="122"/>
      <c r="G70" s="130">
        <v>21702.959999999999</v>
      </c>
      <c r="H70" s="130">
        <v>20861.759999999998</v>
      </c>
      <c r="I70" s="130">
        <v>21114.12</v>
      </c>
      <c r="J70" s="130">
        <v>20861.759999999998</v>
      </c>
      <c r="K70" s="130">
        <v>20525.28</v>
      </c>
      <c r="L70" s="130">
        <v>19347.599999999999</v>
      </c>
      <c r="M70" s="130">
        <v>19936.439999999999</v>
      </c>
      <c r="N70" s="130">
        <v>20525.28</v>
      </c>
      <c r="O70" s="130">
        <v>20861.759999999998</v>
      </c>
      <c r="P70" s="130">
        <v>20945.88</v>
      </c>
      <c r="Q70" s="130">
        <v>21702.959999999999</v>
      </c>
      <c r="R70" s="130">
        <v>21955.32</v>
      </c>
      <c r="S70" s="265">
        <f t="shared" si="28"/>
        <v>250341.12</v>
      </c>
      <c r="T70" s="131">
        <v>33010</v>
      </c>
      <c r="V70" s="130">
        <f t="shared" si="29"/>
        <v>64.5</v>
      </c>
      <c r="W70" s="130">
        <f t="shared" si="30"/>
        <v>61.999999999999993</v>
      </c>
      <c r="X70" s="130">
        <f t="shared" si="31"/>
        <v>62.749999999999993</v>
      </c>
      <c r="Y70" s="130">
        <f t="shared" si="32"/>
        <v>61.999999999999993</v>
      </c>
      <c r="Z70" s="130">
        <f t="shared" si="33"/>
        <v>60.999999999999993</v>
      </c>
      <c r="AA70" s="130">
        <f t="shared" si="34"/>
        <v>57.499999999999993</v>
      </c>
      <c r="AB70" s="130">
        <f t="shared" si="35"/>
        <v>59.249999999999993</v>
      </c>
      <c r="AC70" s="130">
        <f t="shared" si="36"/>
        <v>60.999999999999993</v>
      </c>
      <c r="AD70" s="130">
        <f t="shared" si="37"/>
        <v>61.999999999999993</v>
      </c>
      <c r="AE70" s="130">
        <f t="shared" si="38"/>
        <v>62.25</v>
      </c>
      <c r="AF70" s="130">
        <f t="shared" si="39"/>
        <v>64.5</v>
      </c>
      <c r="AG70" s="130">
        <f t="shared" si="40"/>
        <v>65.25</v>
      </c>
      <c r="AH70" s="265">
        <f t="shared" si="41"/>
        <v>62</v>
      </c>
      <c r="AI70" s="118">
        <f>+SUMIF('Company Calc'!$C$26:$C$87,B70,'Company Calc'!E32:E94)-AH70-SUMIF('CityPA-M Price Out'!$B$11:$B$19,B70,'CityPA-M Price Out'!$AI$11:$AI$19)</f>
        <v>-60.136373293161057</v>
      </c>
      <c r="AJ70" s="89"/>
      <c r="AK70" s="119" t="s">
        <v>478</v>
      </c>
      <c r="AL70" s="107"/>
      <c r="AM70" s="107"/>
      <c r="AN70" s="101">
        <v>1</v>
      </c>
      <c r="AO70" s="127">
        <f t="shared" si="46"/>
        <v>62</v>
      </c>
      <c r="AP70" s="107"/>
      <c r="AQ70" s="107"/>
      <c r="AR70" s="107"/>
      <c r="AS70" s="268">
        <f t="shared" si="42"/>
        <v>62</v>
      </c>
      <c r="AT70" s="236">
        <f t="shared" si="43"/>
        <v>372.78919207452634</v>
      </c>
      <c r="AU70" s="229">
        <f t="shared" si="44"/>
        <v>277355.15890344762</v>
      </c>
      <c r="AV70" s="229">
        <f t="shared" si="45"/>
        <v>27014.038903447625</v>
      </c>
    </row>
    <row r="71" spans="1:48" s="106" customFormat="1" ht="12" customHeight="1">
      <c r="A71" s="131" t="str">
        <f t="shared" si="27"/>
        <v>PA-CF6YD1W</v>
      </c>
      <c r="B71" s="264" t="s">
        <v>206</v>
      </c>
      <c r="C71" s="264" t="s">
        <v>129</v>
      </c>
      <c r="D71" s="149">
        <v>470.45</v>
      </c>
      <c r="E71" s="148" t="s">
        <v>161</v>
      </c>
      <c r="F71" s="122"/>
      <c r="G71" s="130">
        <v>21993.52</v>
      </c>
      <c r="H71" s="130">
        <v>23051.99</v>
      </c>
      <c r="I71" s="130">
        <v>21405.46</v>
      </c>
      <c r="J71" s="130">
        <v>20582.150000000001</v>
      </c>
      <c r="K71" s="130">
        <v>18818</v>
      </c>
      <c r="L71" s="130">
        <v>18347.55</v>
      </c>
      <c r="M71" s="130">
        <v>18229.919999999998</v>
      </c>
      <c r="N71" s="130">
        <v>17877.099999999999</v>
      </c>
      <c r="O71" s="130">
        <v>17406.650000000001</v>
      </c>
      <c r="P71" s="130">
        <v>17759.48</v>
      </c>
      <c r="Q71" s="130">
        <v>18818</v>
      </c>
      <c r="R71" s="130">
        <v>19523.64</v>
      </c>
      <c r="S71" s="265">
        <f t="shared" si="28"/>
        <v>233813.46000000002</v>
      </c>
      <c r="T71" s="131">
        <v>33010</v>
      </c>
      <c r="V71" s="130">
        <f t="shared" si="29"/>
        <v>46.749962801572963</v>
      </c>
      <c r="W71" s="130">
        <f t="shared" si="30"/>
        <v>48.999872462535876</v>
      </c>
      <c r="X71" s="130">
        <f t="shared" si="31"/>
        <v>45.499968115633969</v>
      </c>
      <c r="Y71" s="130">
        <f t="shared" si="32"/>
        <v>43.749920289084926</v>
      </c>
      <c r="Z71" s="130">
        <f t="shared" si="33"/>
        <v>40</v>
      </c>
      <c r="AA71" s="130">
        <f t="shared" si="34"/>
        <v>39</v>
      </c>
      <c r="AB71" s="130">
        <f t="shared" si="35"/>
        <v>38.749962801572963</v>
      </c>
      <c r="AC71" s="130">
        <f t="shared" si="36"/>
        <v>38</v>
      </c>
      <c r="AD71" s="130">
        <f t="shared" si="37"/>
        <v>37.000000000000007</v>
      </c>
      <c r="AE71" s="130">
        <f t="shared" si="38"/>
        <v>37.749984057816981</v>
      </c>
      <c r="AF71" s="130">
        <f t="shared" si="39"/>
        <v>40</v>
      </c>
      <c r="AG71" s="130">
        <f t="shared" si="40"/>
        <v>41.499925603145925</v>
      </c>
      <c r="AH71" s="265">
        <f t="shared" si="41"/>
        <v>41.416633010946967</v>
      </c>
      <c r="AI71" s="118">
        <f>+SUMIF('Company Calc'!$C$26:$C$87,B71,'Company Calc'!E33:E95)-AH71-SUMIF('CityPA-M Price Out'!$B$11:$B$19,B71,'CityPA-M Price Out'!$AI$11:$AI$19)</f>
        <v>30.684201296630885</v>
      </c>
      <c r="AJ71" s="89"/>
      <c r="AK71" s="119" t="s">
        <v>482</v>
      </c>
      <c r="AL71" s="107"/>
      <c r="AM71" s="107"/>
      <c r="AN71" s="101">
        <v>1</v>
      </c>
      <c r="AO71" s="127">
        <f t="shared" si="46"/>
        <v>41.416633010946967</v>
      </c>
      <c r="AP71" s="107"/>
      <c r="AQ71" s="107"/>
      <c r="AR71" s="107"/>
      <c r="AS71" s="268">
        <f t="shared" si="42"/>
        <v>41.416633010946967</v>
      </c>
      <c r="AT71" s="236">
        <f t="shared" si="43"/>
        <v>521.21574955854999</v>
      </c>
      <c r="AU71" s="229">
        <f t="shared" si="44"/>
        <v>259044.01702790533</v>
      </c>
      <c r="AV71" s="229">
        <f t="shared" si="45"/>
        <v>25230.557027905306</v>
      </c>
    </row>
    <row r="72" spans="1:48" s="106" customFormat="1" ht="12" customHeight="1">
      <c r="A72" s="131" t="str">
        <f t="shared" si="27"/>
        <v>PA-CF6YD2W</v>
      </c>
      <c r="B72" s="264" t="s">
        <v>378</v>
      </c>
      <c r="C72" s="264" t="s">
        <v>379</v>
      </c>
      <c r="D72" s="149">
        <v>940.91</v>
      </c>
      <c r="E72" s="148" t="s">
        <v>161</v>
      </c>
      <c r="F72" s="122"/>
      <c r="G72" s="130">
        <v>940.91</v>
      </c>
      <c r="H72" s="130">
        <v>0</v>
      </c>
      <c r="I72" s="130">
        <v>0</v>
      </c>
      <c r="J72" s="130">
        <v>0</v>
      </c>
      <c r="K72" s="130">
        <v>0</v>
      </c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117.61</v>
      </c>
      <c r="S72" s="265">
        <f t="shared" si="28"/>
        <v>1058.52</v>
      </c>
      <c r="T72" s="131">
        <v>33010</v>
      </c>
      <c r="V72" s="130">
        <f t="shared" si="29"/>
        <v>1</v>
      </c>
      <c r="W72" s="130">
        <f t="shared" si="30"/>
        <v>0</v>
      </c>
      <c r="X72" s="130">
        <f t="shared" si="31"/>
        <v>0</v>
      </c>
      <c r="Y72" s="130">
        <f t="shared" si="32"/>
        <v>0</v>
      </c>
      <c r="Z72" s="130">
        <f t="shared" si="33"/>
        <v>0</v>
      </c>
      <c r="AA72" s="130">
        <f t="shared" si="34"/>
        <v>0</v>
      </c>
      <c r="AB72" s="130">
        <f t="shared" si="35"/>
        <v>0</v>
      </c>
      <c r="AC72" s="130">
        <f t="shared" si="36"/>
        <v>0</v>
      </c>
      <c r="AD72" s="130">
        <f t="shared" si="37"/>
        <v>0</v>
      </c>
      <c r="AE72" s="130">
        <f t="shared" si="38"/>
        <v>0</v>
      </c>
      <c r="AF72" s="130">
        <f t="shared" si="39"/>
        <v>0</v>
      </c>
      <c r="AG72" s="130">
        <f t="shared" si="40"/>
        <v>0.12499601449660436</v>
      </c>
      <c r="AH72" s="265">
        <f t="shared" si="41"/>
        <v>0.56249800724830212</v>
      </c>
      <c r="AI72" s="118">
        <f>+SUMIF('Company Calc'!$C$26:$C$87,B72,'Company Calc'!E34:E96)-AH72-SUMIF('CityPA-M Price Out'!$B$11:$B$19,B72,'CityPA-M Price Out'!$AI$11:$AI$19)</f>
        <v>19.062494580073054</v>
      </c>
      <c r="AJ72" s="89"/>
      <c r="AK72" s="119" t="s">
        <v>482</v>
      </c>
      <c r="AL72" s="107"/>
      <c r="AM72" s="107"/>
      <c r="AN72" s="101">
        <v>1</v>
      </c>
      <c r="AO72" s="127">
        <f t="shared" si="46"/>
        <v>0.56249800724830212</v>
      </c>
      <c r="AP72" s="107"/>
      <c r="AQ72" s="107"/>
      <c r="AR72" s="107"/>
      <c r="AS72" s="268">
        <f t="shared" si="42"/>
        <v>0.56249800724830212</v>
      </c>
      <c r="AT72" s="236">
        <f t="shared" si="43"/>
        <v>1042.4425782062606</v>
      </c>
      <c r="AU72" s="229">
        <f t="shared" si="44"/>
        <v>7036.4624749416471</v>
      </c>
      <c r="AV72" s="229">
        <f t="shared" si="45"/>
        <v>5977.9424749416467</v>
      </c>
    </row>
    <row r="73" spans="1:48" s="106" customFormat="1" ht="12" customHeight="1">
      <c r="A73" s="131" t="str">
        <f t="shared" si="27"/>
        <v>PA-CF3TC-COM</v>
      </c>
      <c r="B73" s="264" t="s">
        <v>380</v>
      </c>
      <c r="C73" s="264" t="s">
        <v>381</v>
      </c>
      <c r="D73" s="149">
        <v>56.85</v>
      </c>
      <c r="E73" s="148" t="s">
        <v>161</v>
      </c>
      <c r="F73" s="122"/>
      <c r="G73" s="130">
        <v>170.55</v>
      </c>
      <c r="H73" s="130">
        <v>170.55</v>
      </c>
      <c r="I73" s="130">
        <v>56.85</v>
      </c>
      <c r="J73" s="130">
        <v>113.7</v>
      </c>
      <c r="K73" s="130">
        <v>56.85</v>
      </c>
      <c r="L73" s="130">
        <v>56.85</v>
      </c>
      <c r="M73" s="130">
        <v>0</v>
      </c>
      <c r="N73" s="130">
        <v>0</v>
      </c>
      <c r="O73" s="130">
        <v>113.7</v>
      </c>
      <c r="P73" s="130">
        <v>56.85</v>
      </c>
      <c r="Q73" s="130">
        <v>227.4</v>
      </c>
      <c r="R73" s="130">
        <v>227.4</v>
      </c>
      <c r="S73" s="265">
        <f t="shared" si="28"/>
        <v>1250.7</v>
      </c>
      <c r="T73" s="131">
        <v>33010</v>
      </c>
      <c r="V73" s="130">
        <f t="shared" si="29"/>
        <v>3</v>
      </c>
      <c r="W73" s="130">
        <f t="shared" si="30"/>
        <v>3</v>
      </c>
      <c r="X73" s="130">
        <f t="shared" si="31"/>
        <v>1</v>
      </c>
      <c r="Y73" s="130">
        <f t="shared" si="32"/>
        <v>2</v>
      </c>
      <c r="Z73" s="130">
        <f t="shared" si="33"/>
        <v>1</v>
      </c>
      <c r="AA73" s="130">
        <f t="shared" si="34"/>
        <v>1</v>
      </c>
      <c r="AB73" s="130">
        <f t="shared" si="35"/>
        <v>0</v>
      </c>
      <c r="AC73" s="130">
        <f t="shared" si="36"/>
        <v>0</v>
      </c>
      <c r="AD73" s="130">
        <f t="shared" si="37"/>
        <v>2</v>
      </c>
      <c r="AE73" s="130">
        <f t="shared" si="38"/>
        <v>1</v>
      </c>
      <c r="AF73" s="130">
        <f t="shared" si="39"/>
        <v>4</v>
      </c>
      <c r="AG73" s="130">
        <f t="shared" si="40"/>
        <v>4</v>
      </c>
      <c r="AH73" s="265">
        <f t="shared" si="41"/>
        <v>2.2000000000000002</v>
      </c>
      <c r="AI73" s="118">
        <f>+SUMIF('Company Calc'!$C$26:$C$87,B73,'Company Calc'!E35:E97)-AH73-SUMIF('CityPA-M Price Out'!$B$11:$B$19,B73,'CityPA-M Price Out'!$AI$11:$AI$19)</f>
        <v>-13.033333333333335</v>
      </c>
      <c r="AJ73" s="89"/>
      <c r="AK73" s="119" t="s">
        <v>488</v>
      </c>
      <c r="AL73" s="107"/>
      <c r="AM73" s="107"/>
      <c r="AN73" s="101">
        <v>1</v>
      </c>
      <c r="AO73" s="127">
        <f t="shared" si="46"/>
        <v>2.2000000000000002</v>
      </c>
      <c r="AP73" s="107"/>
      <c r="AQ73" s="107"/>
      <c r="AR73" s="107"/>
      <c r="AS73" s="268">
        <f t="shared" si="42"/>
        <v>2.2000000000000002</v>
      </c>
      <c r="AT73" s="236">
        <f t="shared" si="43"/>
        <v>62.984621877784186</v>
      </c>
      <c r="AU73" s="229">
        <f t="shared" si="44"/>
        <v>1662.7940175735025</v>
      </c>
      <c r="AV73" s="229">
        <f t="shared" si="45"/>
        <v>412.09401757350247</v>
      </c>
    </row>
    <row r="74" spans="1:48" s="106" customFormat="1" ht="12" customHeight="1">
      <c r="A74" s="131" t="str">
        <f t="shared" si="27"/>
        <v>PA-CF1.5YD1W</v>
      </c>
      <c r="B74" s="264" t="s">
        <v>198</v>
      </c>
      <c r="C74" s="264" t="s">
        <v>121</v>
      </c>
      <c r="D74" s="149">
        <v>134.22999999999999</v>
      </c>
      <c r="E74" s="148" t="s">
        <v>161</v>
      </c>
      <c r="F74" s="122"/>
      <c r="G74" s="130">
        <v>6845.72</v>
      </c>
      <c r="H74" s="130">
        <v>6912.83</v>
      </c>
      <c r="I74" s="130">
        <v>6946.4</v>
      </c>
      <c r="J74" s="130">
        <v>6812.16</v>
      </c>
      <c r="K74" s="130">
        <v>6644.3799999999992</v>
      </c>
      <c r="L74" s="130">
        <v>6577.27</v>
      </c>
      <c r="M74" s="130">
        <v>6577.27</v>
      </c>
      <c r="N74" s="130">
        <v>6745.04</v>
      </c>
      <c r="O74" s="130">
        <v>6979.96</v>
      </c>
      <c r="P74" s="130">
        <v>7181.3</v>
      </c>
      <c r="Q74" s="130">
        <v>6946.39</v>
      </c>
      <c r="R74" s="130">
        <v>6845.73</v>
      </c>
      <c r="S74" s="265">
        <f t="shared" si="28"/>
        <v>82014.45</v>
      </c>
      <c r="T74" s="131">
        <v>33010</v>
      </c>
      <c r="V74" s="130">
        <f t="shared" si="29"/>
        <v>50.999925501005741</v>
      </c>
      <c r="W74" s="130">
        <f t="shared" si="30"/>
        <v>51.499888251508608</v>
      </c>
      <c r="X74" s="130">
        <f t="shared" si="31"/>
        <v>51.749981375251437</v>
      </c>
      <c r="Y74" s="130">
        <f t="shared" si="32"/>
        <v>50.749906876257171</v>
      </c>
      <c r="Z74" s="130">
        <f t="shared" si="33"/>
        <v>49.499962750502867</v>
      </c>
      <c r="AA74" s="130">
        <f t="shared" si="34"/>
        <v>49.000000000000007</v>
      </c>
      <c r="AB74" s="130">
        <f t="shared" si="35"/>
        <v>49.000000000000007</v>
      </c>
      <c r="AC74" s="130">
        <f t="shared" si="36"/>
        <v>50.249869626760045</v>
      </c>
      <c r="AD74" s="130">
        <f t="shared" si="37"/>
        <v>52.000000000000007</v>
      </c>
      <c r="AE74" s="130">
        <f t="shared" si="38"/>
        <v>53.499962750502874</v>
      </c>
      <c r="AF74" s="130">
        <f t="shared" si="39"/>
        <v>51.749906876257178</v>
      </c>
      <c r="AG74" s="130">
        <f t="shared" si="40"/>
        <v>51</v>
      </c>
      <c r="AH74" s="265">
        <f t="shared" si="41"/>
        <v>50.916617000670499</v>
      </c>
      <c r="AI74" s="118">
        <f>+SUMIF('Company Calc'!$C$26:$C$87,B74,'Company Calc'!E36:E98)-AH74-SUMIF('CityPA-M Price Out'!$B$11:$B$19,B74,'CityPA-M Price Out'!$AI$11:$AI$19)</f>
        <v>-4.6008182973013803</v>
      </c>
      <c r="AJ74" s="89"/>
      <c r="AK74" s="119" t="s">
        <v>489</v>
      </c>
      <c r="AL74" s="107"/>
      <c r="AM74" s="107"/>
      <c r="AN74" s="101">
        <v>1</v>
      </c>
      <c r="AO74" s="127">
        <f t="shared" si="46"/>
        <v>50.916617000670499</v>
      </c>
      <c r="AP74" s="107"/>
      <c r="AQ74" s="107"/>
      <c r="AR74" s="107"/>
      <c r="AS74" s="268">
        <f t="shared" si="42"/>
        <v>50.916617000670499</v>
      </c>
      <c r="AT74" s="236">
        <f t="shared" si="43"/>
        <v>148.71461380219824</v>
      </c>
      <c r="AU74" s="229">
        <f t="shared" si="44"/>
        <v>90864.540400429862</v>
      </c>
      <c r="AV74" s="229">
        <f t="shared" si="45"/>
        <v>8850.0904004298645</v>
      </c>
    </row>
    <row r="75" spans="1:48" s="106" customFormat="1" ht="12" customHeight="1">
      <c r="A75" s="131" t="str">
        <f t="shared" si="27"/>
        <v>PA-CF1.5YD2W</v>
      </c>
      <c r="B75" s="264" t="s">
        <v>199</v>
      </c>
      <c r="C75" s="264" t="s">
        <v>122</v>
      </c>
      <c r="D75" s="149">
        <v>268.45999999999998</v>
      </c>
      <c r="E75" s="148" t="s">
        <v>161</v>
      </c>
      <c r="F75" s="122"/>
      <c r="G75" s="130">
        <v>268.45999999999998</v>
      </c>
      <c r="H75" s="130">
        <v>167.78</v>
      </c>
      <c r="I75" s="130">
        <v>0</v>
      </c>
      <c r="J75" s="130">
        <v>0</v>
      </c>
      <c r="K75" s="130">
        <v>0</v>
      </c>
      <c r="L75" s="130">
        <v>0</v>
      </c>
      <c r="M75" s="130">
        <v>0</v>
      </c>
      <c r="N75" s="130">
        <v>0</v>
      </c>
      <c r="O75" s="130">
        <v>0</v>
      </c>
      <c r="P75" s="130">
        <v>0</v>
      </c>
      <c r="Q75" s="130">
        <v>0</v>
      </c>
      <c r="R75" s="130">
        <v>0</v>
      </c>
      <c r="S75" s="265">
        <f t="shared" si="28"/>
        <v>436.24</v>
      </c>
      <c r="T75" s="131">
        <v>33010</v>
      </c>
      <c r="V75" s="130">
        <f t="shared" si="29"/>
        <v>1</v>
      </c>
      <c r="W75" s="130">
        <f t="shared" si="30"/>
        <v>0.62497206287715124</v>
      </c>
      <c r="X75" s="130">
        <f t="shared" si="31"/>
        <v>0</v>
      </c>
      <c r="Y75" s="130">
        <f t="shared" si="32"/>
        <v>0</v>
      </c>
      <c r="Z75" s="130">
        <f t="shared" si="33"/>
        <v>0</v>
      </c>
      <c r="AA75" s="130">
        <f t="shared" si="34"/>
        <v>0</v>
      </c>
      <c r="AB75" s="130">
        <f t="shared" si="35"/>
        <v>0</v>
      </c>
      <c r="AC75" s="130">
        <f t="shared" si="36"/>
        <v>0</v>
      </c>
      <c r="AD75" s="130">
        <f t="shared" si="37"/>
        <v>0</v>
      </c>
      <c r="AE75" s="130">
        <f t="shared" si="38"/>
        <v>0</v>
      </c>
      <c r="AF75" s="130">
        <f t="shared" si="39"/>
        <v>0</v>
      </c>
      <c r="AG75" s="130">
        <f t="shared" si="40"/>
        <v>0</v>
      </c>
      <c r="AH75" s="265">
        <f t="shared" si="41"/>
        <v>0.81248603143857556</v>
      </c>
      <c r="AI75" s="118">
        <f>+SUMIF('Company Calc'!$C$26:$C$87,B75,'Company Calc'!E37:E99)-AH75-SUMIF('CityPA-M Price Out'!$B$11:$B$19,B75,'CityPA-M Price Out'!$AI$11:$AI$19)</f>
        <v>6.4166776650251673</v>
      </c>
      <c r="AJ75" s="89"/>
      <c r="AK75" s="119" t="s">
        <v>489</v>
      </c>
      <c r="AL75" s="107"/>
      <c r="AM75" s="107"/>
      <c r="AN75" s="101">
        <v>1</v>
      </c>
      <c r="AO75" s="127">
        <f t="shared" si="46"/>
        <v>0.81248603143857556</v>
      </c>
      <c r="AP75" s="107"/>
      <c r="AQ75" s="107"/>
      <c r="AR75" s="107"/>
      <c r="AS75" s="268">
        <f t="shared" si="42"/>
        <v>0.81248603143857556</v>
      </c>
      <c r="AT75" s="236">
        <f t="shared" si="43"/>
        <v>297.42922760439649</v>
      </c>
      <c r="AU75" s="229">
        <f t="shared" si="44"/>
        <v>2899.885113241643</v>
      </c>
      <c r="AV75" s="229">
        <f t="shared" si="45"/>
        <v>2463.6451132416432</v>
      </c>
    </row>
    <row r="76" spans="1:48" s="106" customFormat="1" ht="12" customHeight="1">
      <c r="A76" s="131" t="str">
        <f t="shared" si="27"/>
        <v>PA-CF1.5YDEOW</v>
      </c>
      <c r="B76" s="264" t="s">
        <v>210</v>
      </c>
      <c r="C76" s="264" t="s">
        <v>133</v>
      </c>
      <c r="D76" s="149">
        <v>67.27</v>
      </c>
      <c r="E76" s="148" t="s">
        <v>161</v>
      </c>
      <c r="F76" s="122"/>
      <c r="G76" s="130">
        <v>4473.4399999999996</v>
      </c>
      <c r="H76" s="130">
        <v>4372.5200000000004</v>
      </c>
      <c r="I76" s="130">
        <v>4305.28</v>
      </c>
      <c r="J76" s="130">
        <v>4305.2700000000004</v>
      </c>
      <c r="K76" s="130">
        <v>4238.01</v>
      </c>
      <c r="L76" s="130">
        <v>4271.6400000000003</v>
      </c>
      <c r="M76" s="130">
        <v>4271.6400000000003</v>
      </c>
      <c r="N76" s="130">
        <v>4238</v>
      </c>
      <c r="O76" s="130">
        <v>4271.6400000000003</v>
      </c>
      <c r="P76" s="130">
        <v>4238</v>
      </c>
      <c r="Q76" s="130">
        <v>4271.6400000000003</v>
      </c>
      <c r="R76" s="130">
        <v>4406.18</v>
      </c>
      <c r="S76" s="265">
        <f t="shared" si="28"/>
        <v>51663.259999999995</v>
      </c>
      <c r="T76" s="131">
        <v>33010</v>
      </c>
      <c r="V76" s="130">
        <f t="shared" si="29"/>
        <v>66.499777017987213</v>
      </c>
      <c r="W76" s="130">
        <f t="shared" si="30"/>
        <v>64.999554035974441</v>
      </c>
      <c r="X76" s="130">
        <f t="shared" si="31"/>
        <v>64</v>
      </c>
      <c r="Y76" s="130">
        <f t="shared" si="32"/>
        <v>63.999851345324821</v>
      </c>
      <c r="Z76" s="130">
        <f t="shared" si="33"/>
        <v>63.000000000000007</v>
      </c>
      <c r="AA76" s="130">
        <f t="shared" si="34"/>
        <v>63.499925672662414</v>
      </c>
      <c r="AB76" s="130">
        <f t="shared" si="35"/>
        <v>63.499925672662414</v>
      </c>
      <c r="AC76" s="130">
        <f t="shared" si="36"/>
        <v>62.999851345324814</v>
      </c>
      <c r="AD76" s="130">
        <f t="shared" si="37"/>
        <v>63.499925672662414</v>
      </c>
      <c r="AE76" s="130">
        <f t="shared" si="38"/>
        <v>62.999851345324814</v>
      </c>
      <c r="AF76" s="130">
        <f t="shared" si="39"/>
        <v>63.499925672662414</v>
      </c>
      <c r="AG76" s="130">
        <f t="shared" si="40"/>
        <v>65.499925672662414</v>
      </c>
      <c r="AH76" s="265">
        <f t="shared" si="41"/>
        <v>63.999876121104023</v>
      </c>
      <c r="AI76" s="118">
        <f>+SUMIF('Company Calc'!$C$26:$C$87,B76,'Company Calc'!E38:E100)-AH76-SUMIF('CityPA-M Price Out'!$B$11:$B$19,B76,'CityPA-M Price Out'!$AI$11:$AI$19)</f>
        <v>-56.166542787770688</v>
      </c>
      <c r="AJ76" s="89"/>
      <c r="AK76" s="119" t="s">
        <v>489</v>
      </c>
      <c r="AL76" s="107"/>
      <c r="AM76" s="107"/>
      <c r="AN76" s="101">
        <v>1</v>
      </c>
      <c r="AO76" s="127">
        <f t="shared" si="46"/>
        <v>63.999876121104023</v>
      </c>
      <c r="AP76" s="107"/>
      <c r="AQ76" s="107"/>
      <c r="AR76" s="107"/>
      <c r="AS76" s="268">
        <f t="shared" si="42"/>
        <v>63.999876121104023</v>
      </c>
      <c r="AT76" s="236">
        <f t="shared" si="43"/>
        <v>74.5290327830878</v>
      </c>
      <c r="AU76" s="229">
        <f t="shared" si="44"/>
        <v>57238.186386519839</v>
      </c>
      <c r="AV76" s="229">
        <f t="shared" si="45"/>
        <v>5574.9263865198445</v>
      </c>
    </row>
    <row r="77" spans="1:48" s="106" customFormat="1" ht="12" customHeight="1">
      <c r="A77" s="131" t="str">
        <f t="shared" si="27"/>
        <v>PA-CF1YD1M</v>
      </c>
      <c r="B77" s="264" t="s">
        <v>216</v>
      </c>
      <c r="C77" s="264" t="s">
        <v>139</v>
      </c>
      <c r="D77" s="149">
        <v>21.69</v>
      </c>
      <c r="E77" s="148" t="s">
        <v>161</v>
      </c>
      <c r="F77" s="122"/>
      <c r="G77" s="130">
        <v>412.11</v>
      </c>
      <c r="H77" s="130">
        <v>433.8</v>
      </c>
      <c r="I77" s="130">
        <v>433.8</v>
      </c>
      <c r="J77" s="130">
        <v>455.49</v>
      </c>
      <c r="K77" s="130">
        <v>455.49</v>
      </c>
      <c r="L77" s="130">
        <v>412.11</v>
      </c>
      <c r="M77" s="130">
        <v>390.42</v>
      </c>
      <c r="N77" s="130">
        <v>412.11</v>
      </c>
      <c r="O77" s="130">
        <v>433.8</v>
      </c>
      <c r="P77" s="130">
        <v>412.11</v>
      </c>
      <c r="Q77" s="130">
        <v>390.42</v>
      </c>
      <c r="R77" s="130">
        <v>412.11</v>
      </c>
      <c r="S77" s="265">
        <f t="shared" si="28"/>
        <v>5053.7700000000004</v>
      </c>
      <c r="T77" s="131">
        <v>33010</v>
      </c>
      <c r="V77" s="130">
        <f t="shared" si="29"/>
        <v>19</v>
      </c>
      <c r="W77" s="130">
        <f t="shared" si="30"/>
        <v>20</v>
      </c>
      <c r="X77" s="130">
        <f t="shared" si="31"/>
        <v>20</v>
      </c>
      <c r="Y77" s="130">
        <f t="shared" si="32"/>
        <v>21</v>
      </c>
      <c r="Z77" s="130">
        <f t="shared" si="33"/>
        <v>21</v>
      </c>
      <c r="AA77" s="130">
        <f t="shared" si="34"/>
        <v>19</v>
      </c>
      <c r="AB77" s="130">
        <f t="shared" si="35"/>
        <v>18</v>
      </c>
      <c r="AC77" s="130">
        <f t="shared" si="36"/>
        <v>19</v>
      </c>
      <c r="AD77" s="130">
        <f t="shared" si="37"/>
        <v>20</v>
      </c>
      <c r="AE77" s="130">
        <f t="shared" si="38"/>
        <v>19</v>
      </c>
      <c r="AF77" s="130">
        <f t="shared" si="39"/>
        <v>18</v>
      </c>
      <c r="AG77" s="130">
        <f t="shared" si="40"/>
        <v>19</v>
      </c>
      <c r="AH77" s="265">
        <f t="shared" si="41"/>
        <v>19.416666666666668</v>
      </c>
      <c r="AI77" s="118">
        <f>+SUMIF('Company Calc'!$C$26:$C$87,B77,'Company Calc'!E39:E101)-AH77-SUMIF('CityPA-M Price Out'!$B$11:$B$19,B77,'CityPA-M Price Out'!$AI$11:$AI$19)</f>
        <v>-17.702380952380953</v>
      </c>
      <c r="AJ77" s="89"/>
      <c r="AK77" s="119" t="s">
        <v>480</v>
      </c>
      <c r="AL77" s="107"/>
      <c r="AM77" s="107"/>
      <c r="AN77" s="101">
        <v>1</v>
      </c>
      <c r="AO77" s="127">
        <f t="shared" si="46"/>
        <v>19.416666666666668</v>
      </c>
      <c r="AP77" s="107"/>
      <c r="AQ77" s="107"/>
      <c r="AR77" s="107"/>
      <c r="AS77" s="268">
        <f t="shared" si="42"/>
        <v>19.416666666666668</v>
      </c>
      <c r="AT77" s="236">
        <f t="shared" si="43"/>
        <v>24.030544389254864</v>
      </c>
      <c r="AU77" s="229">
        <f t="shared" si="44"/>
        <v>5599.1168426963832</v>
      </c>
      <c r="AV77" s="229">
        <f t="shared" si="45"/>
        <v>545.34684269638274</v>
      </c>
    </row>
    <row r="78" spans="1:48" s="106" customFormat="1" ht="12" customHeight="1">
      <c r="A78" s="131" t="str">
        <f t="shared" si="27"/>
        <v>PA-CF1YD1W</v>
      </c>
      <c r="B78" s="264" t="s">
        <v>196</v>
      </c>
      <c r="C78" s="264" t="s">
        <v>119</v>
      </c>
      <c r="D78" s="149">
        <v>93.92</v>
      </c>
      <c r="E78" s="148" t="s">
        <v>161</v>
      </c>
      <c r="F78" s="122"/>
      <c r="G78" s="130">
        <v>13454.04</v>
      </c>
      <c r="H78" s="130">
        <v>13407.08</v>
      </c>
      <c r="I78" s="130">
        <v>13313.16</v>
      </c>
      <c r="J78" s="130">
        <v>13242.72</v>
      </c>
      <c r="K78" s="130">
        <v>13289.68</v>
      </c>
      <c r="L78" s="130">
        <v>13313.16</v>
      </c>
      <c r="M78" s="130">
        <v>12960.96</v>
      </c>
      <c r="N78" s="130">
        <v>12773.12</v>
      </c>
      <c r="O78" s="130">
        <v>12773.12</v>
      </c>
      <c r="P78" s="130">
        <v>12937.48</v>
      </c>
      <c r="Q78" s="130">
        <v>12914</v>
      </c>
      <c r="R78" s="130">
        <v>12843.56</v>
      </c>
      <c r="S78" s="265">
        <f t="shared" si="28"/>
        <v>157222.07999999999</v>
      </c>
      <c r="T78" s="131">
        <v>33010</v>
      </c>
      <c r="V78" s="130">
        <f t="shared" si="29"/>
        <v>143.25</v>
      </c>
      <c r="W78" s="130">
        <f t="shared" si="30"/>
        <v>142.75</v>
      </c>
      <c r="X78" s="130">
        <f t="shared" si="31"/>
        <v>141.75</v>
      </c>
      <c r="Y78" s="130">
        <f t="shared" si="32"/>
        <v>141</v>
      </c>
      <c r="Z78" s="130">
        <f t="shared" si="33"/>
        <v>141.5</v>
      </c>
      <c r="AA78" s="130">
        <f t="shared" si="34"/>
        <v>141.75</v>
      </c>
      <c r="AB78" s="130">
        <f t="shared" si="35"/>
        <v>138</v>
      </c>
      <c r="AC78" s="130">
        <f t="shared" si="36"/>
        <v>136</v>
      </c>
      <c r="AD78" s="130">
        <f t="shared" si="37"/>
        <v>136</v>
      </c>
      <c r="AE78" s="130">
        <f t="shared" si="38"/>
        <v>137.75</v>
      </c>
      <c r="AF78" s="130">
        <f t="shared" si="39"/>
        <v>137.5</v>
      </c>
      <c r="AG78" s="130">
        <f t="shared" si="40"/>
        <v>136.75</v>
      </c>
      <c r="AH78" s="265">
        <f t="shared" si="41"/>
        <v>139.5</v>
      </c>
      <c r="AI78" s="118">
        <f>+SUMIF('Company Calc'!$C$26:$C$87,B78,'Company Calc'!E40:E102)-AH78-SUMIF('CityPA-M Price Out'!$B$11:$B$19,B78,'CityPA-M Price Out'!$AI$11:$AI$19)</f>
        <v>-132.27083630353627</v>
      </c>
      <c r="AJ78" s="89"/>
      <c r="AK78" s="119" t="s">
        <v>480</v>
      </c>
      <c r="AL78" s="107"/>
      <c r="AM78" s="107"/>
      <c r="AN78" s="101">
        <v>1</v>
      </c>
      <c r="AO78" s="127">
        <f t="shared" si="46"/>
        <v>139.5</v>
      </c>
      <c r="AP78" s="107"/>
      <c r="AQ78" s="107"/>
      <c r="AR78" s="107"/>
      <c r="AS78" s="268">
        <f t="shared" si="42"/>
        <v>139.5</v>
      </c>
      <c r="AT78" s="236">
        <f t="shared" si="43"/>
        <v>104.05480539598048</v>
      </c>
      <c r="AU78" s="229">
        <f t="shared" si="44"/>
        <v>174187.74423287134</v>
      </c>
      <c r="AV78" s="229">
        <f t="shared" si="45"/>
        <v>16965.66423287135</v>
      </c>
    </row>
    <row r="79" spans="1:48" s="106" customFormat="1" ht="12" customHeight="1">
      <c r="A79" s="131" t="str">
        <f t="shared" si="27"/>
        <v>PA-CF1YDEOW</v>
      </c>
      <c r="B79" s="264" t="s">
        <v>209</v>
      </c>
      <c r="C79" s="264" t="s">
        <v>132</v>
      </c>
      <c r="D79" s="149">
        <v>47.07</v>
      </c>
      <c r="E79" s="148" t="s">
        <v>161</v>
      </c>
      <c r="F79" s="122"/>
      <c r="G79" s="130">
        <v>9461.06</v>
      </c>
      <c r="H79" s="130">
        <v>9413.98</v>
      </c>
      <c r="I79" s="130">
        <v>9390.4500000000007</v>
      </c>
      <c r="J79" s="130">
        <v>9296.31</v>
      </c>
      <c r="K79" s="130">
        <v>9296.32</v>
      </c>
      <c r="L79" s="130">
        <v>9366.93</v>
      </c>
      <c r="M79" s="130">
        <v>9437.52</v>
      </c>
      <c r="N79" s="130">
        <v>9555.2000000000007</v>
      </c>
      <c r="O79" s="130">
        <v>9555.2099999999991</v>
      </c>
      <c r="P79" s="130">
        <v>9461.06</v>
      </c>
      <c r="Q79" s="130">
        <v>9508.1299999999992</v>
      </c>
      <c r="R79" s="130">
        <v>9414</v>
      </c>
      <c r="S79" s="265">
        <f t="shared" si="28"/>
        <v>113156.17000000001</v>
      </c>
      <c r="T79" s="131">
        <v>33010</v>
      </c>
      <c r="V79" s="130">
        <f t="shared" si="29"/>
        <v>200.99978755045674</v>
      </c>
      <c r="W79" s="130">
        <f t="shared" si="30"/>
        <v>199.99957510091352</v>
      </c>
      <c r="X79" s="130">
        <f t="shared" si="31"/>
        <v>199.49968132568517</v>
      </c>
      <c r="Y79" s="130">
        <f t="shared" si="32"/>
        <v>197.49968132568515</v>
      </c>
      <c r="Z79" s="130">
        <f t="shared" si="33"/>
        <v>197.49989377522837</v>
      </c>
      <c r="AA79" s="130">
        <f t="shared" si="34"/>
        <v>199</v>
      </c>
      <c r="AB79" s="130">
        <f t="shared" si="35"/>
        <v>200.49968132568515</v>
      </c>
      <c r="AC79" s="130">
        <f t="shared" si="36"/>
        <v>202.99978755045677</v>
      </c>
      <c r="AD79" s="130">
        <f t="shared" si="37"/>
        <v>202.99999999999997</v>
      </c>
      <c r="AE79" s="130">
        <f t="shared" si="38"/>
        <v>200.99978755045674</v>
      </c>
      <c r="AF79" s="130">
        <f t="shared" si="39"/>
        <v>201.99978755045674</v>
      </c>
      <c r="AG79" s="130">
        <f t="shared" si="40"/>
        <v>200</v>
      </c>
      <c r="AH79" s="265">
        <f t="shared" si="41"/>
        <v>200.33313858791871</v>
      </c>
      <c r="AI79" s="118">
        <f>+SUMIF('Company Calc'!$C$26:$C$87,B79,'Company Calc'!E41:E103)-AH79-SUMIF('CityPA-M Price Out'!$B$11:$B$19,B79,'CityPA-M Price Out'!$AI$11:$AI$19)</f>
        <v>-196.58313858791871</v>
      </c>
      <c r="AJ79" s="89"/>
      <c r="AK79" s="119" t="s">
        <v>480</v>
      </c>
      <c r="AL79" s="107"/>
      <c r="AM79" s="107"/>
      <c r="AN79" s="101">
        <v>1</v>
      </c>
      <c r="AO79" s="127">
        <f t="shared" si="46"/>
        <v>200.33313858791871</v>
      </c>
      <c r="AP79" s="107"/>
      <c r="AQ79" s="107"/>
      <c r="AR79" s="107"/>
      <c r="AS79" s="268">
        <f t="shared" si="42"/>
        <v>200.33313858791871</v>
      </c>
      <c r="AT79" s="236">
        <f t="shared" si="43"/>
        <v>52.149272678756404</v>
      </c>
      <c r="AU79" s="229">
        <f t="shared" si="44"/>
        <v>125366.72964974964</v>
      </c>
      <c r="AV79" s="229">
        <f t="shared" si="45"/>
        <v>12210.55964974963</v>
      </c>
    </row>
    <row r="80" spans="1:48" s="106" customFormat="1" ht="12" customHeight="1">
      <c r="A80" s="131" t="str">
        <f t="shared" si="27"/>
        <v>PA-CF2YD1M</v>
      </c>
      <c r="B80" s="264" t="s">
        <v>217</v>
      </c>
      <c r="C80" s="264" t="s">
        <v>140</v>
      </c>
      <c r="D80" s="149">
        <v>42.82</v>
      </c>
      <c r="E80" s="148" t="s">
        <v>161</v>
      </c>
      <c r="F80" s="122"/>
      <c r="G80" s="130">
        <v>1198.96</v>
      </c>
      <c r="H80" s="130">
        <v>1156.1400000000001</v>
      </c>
      <c r="I80" s="130">
        <v>1198.96</v>
      </c>
      <c r="J80" s="130">
        <v>1156.1400000000001</v>
      </c>
      <c r="K80" s="130">
        <v>1198.96</v>
      </c>
      <c r="L80" s="130">
        <v>1198.96</v>
      </c>
      <c r="M80" s="130">
        <v>1241.78</v>
      </c>
      <c r="N80" s="130">
        <v>1241.78</v>
      </c>
      <c r="O80" s="130">
        <v>1284.5999999999999</v>
      </c>
      <c r="P80" s="130">
        <v>1327.42</v>
      </c>
      <c r="Q80" s="130">
        <v>1370.24</v>
      </c>
      <c r="R80" s="130">
        <v>1370.24</v>
      </c>
      <c r="S80" s="265">
        <f t="shared" si="28"/>
        <v>14944.180000000002</v>
      </c>
      <c r="T80" s="131">
        <v>33010</v>
      </c>
      <c r="V80" s="130">
        <f t="shared" si="29"/>
        <v>28</v>
      </c>
      <c r="W80" s="130">
        <f t="shared" si="30"/>
        <v>27.000000000000004</v>
      </c>
      <c r="X80" s="130">
        <f t="shared" si="31"/>
        <v>28</v>
      </c>
      <c r="Y80" s="130">
        <f t="shared" si="32"/>
        <v>27.000000000000004</v>
      </c>
      <c r="Z80" s="130">
        <f t="shared" si="33"/>
        <v>28</v>
      </c>
      <c r="AA80" s="130">
        <f t="shared" si="34"/>
        <v>28</v>
      </c>
      <c r="AB80" s="130">
        <f t="shared" si="35"/>
        <v>29</v>
      </c>
      <c r="AC80" s="130">
        <f t="shared" si="36"/>
        <v>29</v>
      </c>
      <c r="AD80" s="130">
        <f t="shared" si="37"/>
        <v>29.999999999999996</v>
      </c>
      <c r="AE80" s="130">
        <f t="shared" si="38"/>
        <v>31</v>
      </c>
      <c r="AF80" s="130">
        <f t="shared" si="39"/>
        <v>32</v>
      </c>
      <c r="AG80" s="130">
        <f t="shared" si="40"/>
        <v>32</v>
      </c>
      <c r="AH80" s="265">
        <f t="shared" si="41"/>
        <v>29.083333333333332</v>
      </c>
      <c r="AI80" s="118">
        <f>+SUMIF('Company Calc'!$C$26:$C$87,B80,'Company Calc'!E42:E104)-AH80-SUMIF('CityPA-M Price Out'!$B$11:$B$19,B80,'CityPA-M Price Out'!$AI$11:$AI$19)</f>
        <v>-27.416666666666664</v>
      </c>
      <c r="AJ80" s="89"/>
      <c r="AK80" s="119" t="s">
        <v>479</v>
      </c>
      <c r="AL80" s="107"/>
      <c r="AM80" s="107"/>
      <c r="AN80" s="101">
        <v>1</v>
      </c>
      <c r="AO80" s="127">
        <f t="shared" si="46"/>
        <v>29.083333333333332</v>
      </c>
      <c r="AP80" s="107"/>
      <c r="AQ80" s="107"/>
      <c r="AR80" s="107"/>
      <c r="AS80" s="268">
        <f t="shared" si="42"/>
        <v>29.083333333333332</v>
      </c>
      <c r="AT80" s="236">
        <f t="shared" si="43"/>
        <v>47.440659785518363</v>
      </c>
      <c r="AU80" s="229">
        <f t="shared" si="44"/>
        <v>16556.790265145908</v>
      </c>
      <c r="AV80" s="229">
        <f t="shared" si="45"/>
        <v>1612.6102651459059</v>
      </c>
    </row>
    <row r="81" spans="1:48" s="106" customFormat="1" ht="12" customHeight="1">
      <c r="A81" s="131" t="str">
        <f t="shared" si="27"/>
        <v>PA-CF2YD2W</v>
      </c>
      <c r="B81" s="264" t="s">
        <v>202</v>
      </c>
      <c r="C81" s="264" t="s">
        <v>125</v>
      </c>
      <c r="D81" s="149">
        <v>370.82</v>
      </c>
      <c r="E81" s="148" t="s">
        <v>161</v>
      </c>
      <c r="F81" s="122"/>
      <c r="G81" s="130">
        <v>370.82</v>
      </c>
      <c r="H81" s="130">
        <v>370.82</v>
      </c>
      <c r="I81" s="130">
        <v>370.82</v>
      </c>
      <c r="J81" s="130">
        <v>370.82</v>
      </c>
      <c r="K81" s="130">
        <v>370.82</v>
      </c>
      <c r="L81" s="130">
        <v>370.82</v>
      </c>
      <c r="M81" s="130">
        <v>370.82</v>
      </c>
      <c r="N81" s="130">
        <v>370.82</v>
      </c>
      <c r="O81" s="130">
        <v>370.82</v>
      </c>
      <c r="P81" s="130">
        <v>370.82</v>
      </c>
      <c r="Q81" s="130">
        <v>370.82</v>
      </c>
      <c r="R81" s="130">
        <v>370.82</v>
      </c>
      <c r="S81" s="265">
        <f t="shared" si="28"/>
        <v>4449.8400000000011</v>
      </c>
      <c r="T81" s="131">
        <v>33010</v>
      </c>
      <c r="V81" s="130">
        <f t="shared" si="29"/>
        <v>1</v>
      </c>
      <c r="W81" s="130">
        <f t="shared" si="30"/>
        <v>1</v>
      </c>
      <c r="X81" s="130">
        <f t="shared" si="31"/>
        <v>1</v>
      </c>
      <c r="Y81" s="130">
        <f t="shared" si="32"/>
        <v>1</v>
      </c>
      <c r="Z81" s="130">
        <f t="shared" si="33"/>
        <v>1</v>
      </c>
      <c r="AA81" s="130">
        <f t="shared" si="34"/>
        <v>1</v>
      </c>
      <c r="AB81" s="130">
        <f t="shared" si="35"/>
        <v>1</v>
      </c>
      <c r="AC81" s="130">
        <f t="shared" si="36"/>
        <v>1</v>
      </c>
      <c r="AD81" s="130">
        <f t="shared" si="37"/>
        <v>1</v>
      </c>
      <c r="AE81" s="130">
        <f t="shared" si="38"/>
        <v>1</v>
      </c>
      <c r="AF81" s="130">
        <f t="shared" si="39"/>
        <v>1</v>
      </c>
      <c r="AG81" s="130">
        <f t="shared" si="40"/>
        <v>1</v>
      </c>
      <c r="AH81" s="265">
        <f t="shared" si="41"/>
        <v>1</v>
      </c>
      <c r="AI81" s="118">
        <f>+SUMIF('Company Calc'!$C$26:$C$87,B81,'Company Calc'!E43:E105)-AH81-SUMIF('CityPA-M Price Out'!$B$11:$B$19,B81,'CityPA-M Price Out'!$AI$11:$AI$19)</f>
        <v>6.45832096251997</v>
      </c>
      <c r="AJ81" s="89"/>
      <c r="AK81" s="119" t="s">
        <v>479</v>
      </c>
      <c r="AL81" s="107"/>
      <c r="AM81" s="107"/>
      <c r="AN81" s="101">
        <v>1</v>
      </c>
      <c r="AO81" s="127">
        <f t="shared" si="46"/>
        <v>1</v>
      </c>
      <c r="AP81" s="107"/>
      <c r="AQ81" s="107"/>
      <c r="AR81" s="107"/>
      <c r="AS81" s="268">
        <f t="shared" si="42"/>
        <v>1</v>
      </c>
      <c r="AT81" s="236">
        <f t="shared" si="43"/>
        <v>410.83478425188974</v>
      </c>
      <c r="AU81" s="229">
        <f t="shared" si="44"/>
        <v>4930.0174110226772</v>
      </c>
      <c r="AV81" s="229">
        <f t="shared" si="45"/>
        <v>480.1774110226761</v>
      </c>
    </row>
    <row r="82" spans="1:48" s="106" customFormat="1" ht="12" customHeight="1">
      <c r="A82" s="131" t="str">
        <f t="shared" si="27"/>
        <v>PA-CF3YD1W</v>
      </c>
      <c r="B82" s="264" t="s">
        <v>203</v>
      </c>
      <c r="C82" s="264" t="s">
        <v>126</v>
      </c>
      <c r="D82" s="149">
        <v>246.16</v>
      </c>
      <c r="E82" s="148" t="s">
        <v>161</v>
      </c>
      <c r="F82" s="122"/>
      <c r="G82" s="130">
        <v>12615.7</v>
      </c>
      <c r="H82" s="130">
        <v>12554.16</v>
      </c>
      <c r="I82" s="130">
        <v>12861.86</v>
      </c>
      <c r="J82" s="130">
        <v>12554.16</v>
      </c>
      <c r="K82" s="130">
        <v>12554.16</v>
      </c>
      <c r="L82" s="130">
        <v>12677.24</v>
      </c>
      <c r="M82" s="130">
        <v>12554.16</v>
      </c>
      <c r="N82" s="130">
        <v>12369.54</v>
      </c>
      <c r="O82" s="130">
        <v>12308</v>
      </c>
      <c r="P82" s="130">
        <v>12369.54</v>
      </c>
      <c r="Q82" s="130">
        <v>12318.96</v>
      </c>
      <c r="R82" s="130">
        <v>12626.66</v>
      </c>
      <c r="S82" s="265">
        <f t="shared" si="28"/>
        <v>150364.14000000001</v>
      </c>
      <c r="T82" s="131">
        <v>33010</v>
      </c>
      <c r="V82" s="130">
        <f t="shared" si="29"/>
        <v>51.250000000000007</v>
      </c>
      <c r="W82" s="130">
        <f t="shared" si="30"/>
        <v>51</v>
      </c>
      <c r="X82" s="130">
        <f t="shared" si="31"/>
        <v>52.25</v>
      </c>
      <c r="Y82" s="130">
        <f t="shared" si="32"/>
        <v>51</v>
      </c>
      <c r="Z82" s="130">
        <f t="shared" si="33"/>
        <v>51</v>
      </c>
      <c r="AA82" s="130">
        <f t="shared" si="34"/>
        <v>51.5</v>
      </c>
      <c r="AB82" s="130">
        <f t="shared" si="35"/>
        <v>51</v>
      </c>
      <c r="AC82" s="130">
        <f t="shared" si="36"/>
        <v>50.250000000000007</v>
      </c>
      <c r="AD82" s="130">
        <f t="shared" si="37"/>
        <v>50</v>
      </c>
      <c r="AE82" s="130">
        <f t="shared" si="38"/>
        <v>50.250000000000007</v>
      </c>
      <c r="AF82" s="130">
        <f t="shared" si="39"/>
        <v>50.044523886902823</v>
      </c>
      <c r="AG82" s="130">
        <f t="shared" si="40"/>
        <v>51.29452388690283</v>
      </c>
      <c r="AH82" s="265">
        <f t="shared" si="41"/>
        <v>50.903253981150478</v>
      </c>
      <c r="AI82" s="118">
        <f>+SUMIF('Company Calc'!$C$26:$C$87,B82,'Company Calc'!E44:E106)-AH82-SUMIF('CityPA-M Price Out'!$B$11:$B$19,B82,'CityPA-M Price Out'!$AI$11:$AI$19)</f>
        <v>-31.48658731448381</v>
      </c>
      <c r="AJ82" s="89"/>
      <c r="AK82" s="119" t="s">
        <v>488</v>
      </c>
      <c r="AL82" s="107"/>
      <c r="AM82" s="107"/>
      <c r="AN82" s="101">
        <v>1</v>
      </c>
      <c r="AO82" s="127">
        <f t="shared" si="46"/>
        <v>50.903253981150478</v>
      </c>
      <c r="AP82" s="107"/>
      <c r="AQ82" s="107"/>
      <c r="AR82" s="107"/>
      <c r="AS82" s="268">
        <f t="shared" si="42"/>
        <v>50.903253981150478</v>
      </c>
      <c r="AT82" s="236">
        <f t="shared" si="43"/>
        <v>272.72285877634749</v>
      </c>
      <c r="AU82" s="229">
        <f t="shared" si="44"/>
        <v>166589.7713610942</v>
      </c>
      <c r="AV82" s="229">
        <f t="shared" si="45"/>
        <v>16225.631361094187</v>
      </c>
    </row>
    <row r="83" spans="1:48" s="106" customFormat="1" ht="12" customHeight="1">
      <c r="A83" s="131" t="str">
        <f t="shared" si="27"/>
        <v>PA-CF3YDEOW</v>
      </c>
      <c r="B83" s="264" t="s">
        <v>213</v>
      </c>
      <c r="C83" s="264" t="s">
        <v>136</v>
      </c>
      <c r="D83" s="149">
        <v>123.36</v>
      </c>
      <c r="E83" s="148" t="s">
        <v>161</v>
      </c>
      <c r="F83" s="122"/>
      <c r="G83" s="130">
        <v>2898.96</v>
      </c>
      <c r="H83" s="130">
        <v>2837.28</v>
      </c>
      <c r="I83" s="130">
        <v>2837.28</v>
      </c>
      <c r="J83" s="130">
        <v>2775.6</v>
      </c>
      <c r="K83" s="130">
        <v>2837.28</v>
      </c>
      <c r="L83" s="130">
        <v>2713.92</v>
      </c>
      <c r="M83" s="130">
        <v>2713.92</v>
      </c>
      <c r="N83" s="130">
        <v>2713.92</v>
      </c>
      <c r="O83" s="130">
        <v>2837.28</v>
      </c>
      <c r="P83" s="130">
        <v>2960.64</v>
      </c>
      <c r="Q83" s="130">
        <v>2960.64</v>
      </c>
      <c r="R83" s="130">
        <v>3084</v>
      </c>
      <c r="S83" s="265">
        <f t="shared" si="28"/>
        <v>34170.719999999994</v>
      </c>
      <c r="T83" s="131">
        <v>33010</v>
      </c>
      <c r="V83" s="130">
        <f t="shared" si="29"/>
        <v>23.5</v>
      </c>
      <c r="W83" s="130">
        <f t="shared" si="30"/>
        <v>23</v>
      </c>
      <c r="X83" s="130">
        <f t="shared" si="31"/>
        <v>23</v>
      </c>
      <c r="Y83" s="130">
        <f t="shared" si="32"/>
        <v>22.5</v>
      </c>
      <c r="Z83" s="130">
        <f t="shared" si="33"/>
        <v>23</v>
      </c>
      <c r="AA83" s="130">
        <f t="shared" si="34"/>
        <v>22</v>
      </c>
      <c r="AB83" s="130">
        <f t="shared" si="35"/>
        <v>22</v>
      </c>
      <c r="AC83" s="130">
        <f t="shared" si="36"/>
        <v>22</v>
      </c>
      <c r="AD83" s="130">
        <f t="shared" si="37"/>
        <v>23</v>
      </c>
      <c r="AE83" s="130">
        <f t="shared" si="38"/>
        <v>24</v>
      </c>
      <c r="AF83" s="130">
        <f t="shared" si="39"/>
        <v>24</v>
      </c>
      <c r="AG83" s="130">
        <f t="shared" si="40"/>
        <v>25</v>
      </c>
      <c r="AH83" s="265">
        <f t="shared" si="41"/>
        <v>23.083333333333332</v>
      </c>
      <c r="AI83" s="118">
        <f>+SUMIF('Company Calc'!$C$26:$C$87,B83,'Company Calc'!E45:E107)-AH83-SUMIF('CityPA-M Price Out'!$B$11:$B$19,B83,'CityPA-M Price Out'!$AI$11:$AI$19)</f>
        <v>-21.333333333333332</v>
      </c>
      <c r="AJ83" s="89"/>
      <c r="AK83" s="119" t="s">
        <v>488</v>
      </c>
      <c r="AL83" s="107"/>
      <c r="AM83" s="107"/>
      <c r="AN83" s="101">
        <v>1</v>
      </c>
      <c r="AO83" s="127">
        <f t="shared" si="46"/>
        <v>23.083333333333332</v>
      </c>
      <c r="AP83" s="107"/>
      <c r="AQ83" s="107"/>
      <c r="AR83" s="107"/>
      <c r="AS83" s="268">
        <f t="shared" si="42"/>
        <v>23.083333333333332</v>
      </c>
      <c r="AT83" s="236">
        <f t="shared" si="43"/>
        <v>136.67164388466944</v>
      </c>
      <c r="AU83" s="229">
        <f t="shared" si="44"/>
        <v>37858.04535605343</v>
      </c>
      <c r="AV83" s="229">
        <f t="shared" si="45"/>
        <v>3687.3253560534358</v>
      </c>
    </row>
    <row r="84" spans="1:48" s="106" customFormat="1" ht="12" customHeight="1">
      <c r="A84" s="131" t="str">
        <f t="shared" si="27"/>
        <v>PA-CF4YD1M</v>
      </c>
      <c r="B84" s="264" t="s">
        <v>219</v>
      </c>
      <c r="C84" s="264" t="s">
        <v>141</v>
      </c>
      <c r="D84" s="149">
        <v>77.709999999999994</v>
      </c>
      <c r="E84" s="148" t="s">
        <v>161</v>
      </c>
      <c r="F84" s="122"/>
      <c r="G84" s="130">
        <v>854.81</v>
      </c>
      <c r="H84" s="130">
        <v>854.81</v>
      </c>
      <c r="I84" s="130">
        <v>932.52</v>
      </c>
      <c r="J84" s="130">
        <v>854.81</v>
      </c>
      <c r="K84" s="130">
        <v>1087.94</v>
      </c>
      <c r="L84" s="130">
        <v>1087.94</v>
      </c>
      <c r="M84" s="130">
        <v>1010.23</v>
      </c>
      <c r="N84" s="130">
        <v>1010.23</v>
      </c>
      <c r="O84" s="130">
        <v>1010.23</v>
      </c>
      <c r="P84" s="130">
        <v>1165.6500000000001</v>
      </c>
      <c r="Q84" s="130">
        <v>1087.94</v>
      </c>
      <c r="R84" s="130">
        <v>1087.94</v>
      </c>
      <c r="S84" s="265">
        <f t="shared" si="28"/>
        <v>12045.05</v>
      </c>
      <c r="T84" s="131">
        <v>33010</v>
      </c>
      <c r="V84" s="130">
        <f t="shared" si="29"/>
        <v>11</v>
      </c>
      <c r="W84" s="130">
        <f t="shared" si="30"/>
        <v>11</v>
      </c>
      <c r="X84" s="130">
        <f t="shared" si="31"/>
        <v>12</v>
      </c>
      <c r="Y84" s="130">
        <f t="shared" si="32"/>
        <v>11</v>
      </c>
      <c r="Z84" s="130">
        <f t="shared" si="33"/>
        <v>14.000000000000002</v>
      </c>
      <c r="AA84" s="130">
        <f t="shared" si="34"/>
        <v>14.000000000000002</v>
      </c>
      <c r="AB84" s="130">
        <f t="shared" si="35"/>
        <v>13.000000000000002</v>
      </c>
      <c r="AC84" s="130">
        <f t="shared" si="36"/>
        <v>13.000000000000002</v>
      </c>
      <c r="AD84" s="130">
        <f t="shared" si="37"/>
        <v>13.000000000000002</v>
      </c>
      <c r="AE84" s="130">
        <f t="shared" si="38"/>
        <v>15.000000000000002</v>
      </c>
      <c r="AF84" s="130">
        <f t="shared" si="39"/>
        <v>14.000000000000002</v>
      </c>
      <c r="AG84" s="130">
        <f t="shared" si="40"/>
        <v>14.000000000000002</v>
      </c>
      <c r="AH84" s="265">
        <f t="shared" si="41"/>
        <v>12.916666666666666</v>
      </c>
      <c r="AI84" s="118">
        <f>+SUMIF('Company Calc'!$C$26:$C$87,B84,'Company Calc'!E46:E108)-AH84-SUMIF('CityPA-M Price Out'!$B$11:$B$19,B84,'CityPA-M Price Out'!$AI$11:$AI$19)</f>
        <v>-11.416666666666666</v>
      </c>
      <c r="AJ84" s="89"/>
      <c r="AK84" s="119" t="s">
        <v>478</v>
      </c>
      <c r="AL84" s="107"/>
      <c r="AM84" s="107"/>
      <c r="AN84" s="101">
        <v>1</v>
      </c>
      <c r="AO84" s="127">
        <f t="shared" si="46"/>
        <v>12.916666666666666</v>
      </c>
      <c r="AP84" s="107"/>
      <c r="AQ84" s="107"/>
      <c r="AR84" s="107"/>
      <c r="AS84" s="268">
        <f t="shared" si="42"/>
        <v>12.916666666666666</v>
      </c>
      <c r="AT84" s="236">
        <f t="shared" si="43"/>
        <v>86.095601866712556</v>
      </c>
      <c r="AU84" s="229">
        <f t="shared" si="44"/>
        <v>13344.818289340446</v>
      </c>
      <c r="AV84" s="229">
        <f t="shared" si="45"/>
        <v>1299.7682893404472</v>
      </c>
    </row>
    <row r="85" spans="1:48" s="106" customFormat="1" ht="12" customHeight="1">
      <c r="A85" s="131" t="str">
        <f t="shared" si="27"/>
        <v>PA-CF4YDEOW</v>
      </c>
      <c r="B85" s="264" t="s">
        <v>214</v>
      </c>
      <c r="C85" s="264" t="s">
        <v>137</v>
      </c>
      <c r="D85" s="149">
        <v>168.63</v>
      </c>
      <c r="E85" s="148" t="s">
        <v>161</v>
      </c>
      <c r="F85" s="122"/>
      <c r="G85" s="130">
        <v>2866.71</v>
      </c>
      <c r="H85" s="130">
        <v>3709.86</v>
      </c>
      <c r="I85" s="130">
        <v>3541.23</v>
      </c>
      <c r="J85" s="130">
        <v>3878.49</v>
      </c>
      <c r="K85" s="130">
        <v>3203.97</v>
      </c>
      <c r="L85" s="130">
        <v>3541.23</v>
      </c>
      <c r="M85" s="130">
        <v>3709.86</v>
      </c>
      <c r="N85" s="130">
        <v>3709.86</v>
      </c>
      <c r="O85" s="130">
        <v>3541.22</v>
      </c>
      <c r="P85" s="130">
        <v>3372.6</v>
      </c>
      <c r="Q85" s="130">
        <v>3372.6</v>
      </c>
      <c r="R85" s="130">
        <v>3288.28</v>
      </c>
      <c r="S85" s="265">
        <f t="shared" si="28"/>
        <v>41735.909999999996</v>
      </c>
      <c r="T85" s="131">
        <v>33010</v>
      </c>
      <c r="V85" s="130">
        <f t="shared" si="29"/>
        <v>17</v>
      </c>
      <c r="W85" s="130">
        <f t="shared" si="30"/>
        <v>22</v>
      </c>
      <c r="X85" s="130">
        <f t="shared" si="31"/>
        <v>21</v>
      </c>
      <c r="Y85" s="130">
        <f t="shared" si="32"/>
        <v>23</v>
      </c>
      <c r="Z85" s="130">
        <f t="shared" si="33"/>
        <v>19</v>
      </c>
      <c r="AA85" s="130">
        <f t="shared" si="34"/>
        <v>21</v>
      </c>
      <c r="AB85" s="130">
        <f t="shared" si="35"/>
        <v>22</v>
      </c>
      <c r="AC85" s="130">
        <f t="shared" si="36"/>
        <v>22</v>
      </c>
      <c r="AD85" s="130">
        <f t="shared" si="37"/>
        <v>20.999940698570835</v>
      </c>
      <c r="AE85" s="130">
        <f t="shared" si="38"/>
        <v>20</v>
      </c>
      <c r="AF85" s="130">
        <f t="shared" si="39"/>
        <v>20</v>
      </c>
      <c r="AG85" s="130">
        <f t="shared" si="40"/>
        <v>19.49997034928542</v>
      </c>
      <c r="AH85" s="265">
        <f t="shared" si="41"/>
        <v>20.624992587321355</v>
      </c>
      <c r="AI85" s="118">
        <f>+SUMIF('Company Calc'!$C$26:$C$87,B85,'Company Calc'!E47:E109)-AH85-SUMIF('CityPA-M Price Out'!$B$11:$B$19,B85,'CityPA-M Price Out'!$AI$11:$AI$19)</f>
        <v>-15.079538041866808</v>
      </c>
      <c r="AJ85" s="89"/>
      <c r="AK85" s="119" t="s">
        <v>478</v>
      </c>
      <c r="AL85" s="107"/>
      <c r="AM85" s="107"/>
      <c r="AN85" s="101">
        <v>1</v>
      </c>
      <c r="AO85" s="127">
        <f t="shared" si="46"/>
        <v>20.624992587321355</v>
      </c>
      <c r="AP85" s="107"/>
      <c r="AQ85" s="107"/>
      <c r="AR85" s="107"/>
      <c r="AS85" s="268">
        <f t="shared" si="42"/>
        <v>20.624992587321355</v>
      </c>
      <c r="AT85" s="236">
        <f t="shared" si="43"/>
        <v>186.82668051452501</v>
      </c>
      <c r="AU85" s="229">
        <f t="shared" si="44"/>
        <v>46239.586808711203</v>
      </c>
      <c r="AV85" s="229">
        <f t="shared" si="45"/>
        <v>4503.6768087112068</v>
      </c>
    </row>
    <row r="86" spans="1:48" s="106" customFormat="1" ht="12" customHeight="1">
      <c r="A86" s="131" t="str">
        <f t="shared" si="27"/>
        <v>PA-CF6YDEOW</v>
      </c>
      <c r="B86" s="264" t="s">
        <v>215</v>
      </c>
      <c r="C86" s="264" t="s">
        <v>138</v>
      </c>
      <c r="D86" s="149">
        <v>235.77</v>
      </c>
      <c r="E86" s="148" t="s">
        <v>161</v>
      </c>
      <c r="F86" s="122"/>
      <c r="G86" s="130">
        <v>1414.62</v>
      </c>
      <c r="H86" s="130">
        <v>1414.62</v>
      </c>
      <c r="I86" s="130">
        <v>1650.39</v>
      </c>
      <c r="J86" s="130">
        <v>1650.38</v>
      </c>
      <c r="K86" s="130">
        <v>1886.16</v>
      </c>
      <c r="L86" s="130">
        <v>1650.39</v>
      </c>
      <c r="M86" s="130">
        <v>1650.39</v>
      </c>
      <c r="N86" s="130">
        <v>1650.39</v>
      </c>
      <c r="O86" s="130">
        <v>1650.39</v>
      </c>
      <c r="P86" s="130">
        <v>2357.6999999999998</v>
      </c>
      <c r="Q86" s="130">
        <v>2357.6999999999998</v>
      </c>
      <c r="R86" s="130">
        <v>1768.25</v>
      </c>
      <c r="S86" s="265">
        <f t="shared" si="28"/>
        <v>21101.379999999997</v>
      </c>
      <c r="T86" s="131">
        <v>33010</v>
      </c>
      <c r="V86" s="130">
        <f t="shared" si="29"/>
        <v>5.9999999999999991</v>
      </c>
      <c r="W86" s="130">
        <f t="shared" si="30"/>
        <v>5.9999999999999991</v>
      </c>
      <c r="X86" s="130">
        <f t="shared" si="31"/>
        <v>7</v>
      </c>
      <c r="Y86" s="130">
        <f t="shared" si="32"/>
        <v>6.999957585782755</v>
      </c>
      <c r="Z86" s="130">
        <f t="shared" si="33"/>
        <v>8</v>
      </c>
      <c r="AA86" s="130">
        <f t="shared" si="34"/>
        <v>7</v>
      </c>
      <c r="AB86" s="130">
        <f t="shared" si="35"/>
        <v>7</v>
      </c>
      <c r="AC86" s="130">
        <f t="shared" si="36"/>
        <v>7</v>
      </c>
      <c r="AD86" s="130">
        <f t="shared" si="37"/>
        <v>7</v>
      </c>
      <c r="AE86" s="130">
        <f t="shared" si="38"/>
        <v>9.9999999999999982</v>
      </c>
      <c r="AF86" s="130">
        <f t="shared" si="39"/>
        <v>9.9999999999999982</v>
      </c>
      <c r="AG86" s="130">
        <f t="shared" si="40"/>
        <v>7.4998939644568861</v>
      </c>
      <c r="AH86" s="265">
        <f t="shared" si="41"/>
        <v>7.45832096251997</v>
      </c>
      <c r="AI86" s="118">
        <f>+SUMIF('Company Calc'!$C$26:$C$87,B86,'Company Calc'!E48:E110)-AH86-SUMIF('CityPA-M Price Out'!$B$11:$B$19,B86,'CityPA-M Price Out'!$AI$11:$AI$19)</f>
        <v>-6.33332096251997</v>
      </c>
      <c r="AJ86" s="89"/>
      <c r="AK86" s="119" t="s">
        <v>482</v>
      </c>
      <c r="AL86" s="107"/>
      <c r="AM86" s="107"/>
      <c r="AN86" s="101">
        <v>1</v>
      </c>
      <c r="AO86" s="127">
        <f t="shared" si="46"/>
        <v>7.45832096251997</v>
      </c>
      <c r="AP86" s="107"/>
      <c r="AQ86" s="107"/>
      <c r="AR86" s="107"/>
      <c r="AS86" s="268">
        <f t="shared" si="42"/>
        <v>7.45832096251997</v>
      </c>
      <c r="AT86" s="236">
        <f t="shared" si="43"/>
        <v>261.21168513852558</v>
      </c>
      <c r="AU86" s="229">
        <f t="shared" si="44"/>
        <v>23378.407043085979</v>
      </c>
      <c r="AV86" s="229">
        <f t="shared" si="45"/>
        <v>2277.0270430859819</v>
      </c>
    </row>
    <row r="87" spans="1:48" s="106" customFormat="1" ht="12" customHeight="1">
      <c r="A87" s="131" t="str">
        <f t="shared" si="27"/>
        <v>PA-CF8YD1W</v>
      </c>
      <c r="B87" s="264" t="s">
        <v>207</v>
      </c>
      <c r="C87" s="264" t="s">
        <v>130</v>
      </c>
      <c r="D87" s="149">
        <v>631.27</v>
      </c>
      <c r="E87" s="148" t="s">
        <v>161</v>
      </c>
      <c r="F87" s="122"/>
      <c r="G87" s="130">
        <v>3787.62</v>
      </c>
      <c r="H87" s="130">
        <v>4103.24</v>
      </c>
      <c r="I87" s="130">
        <v>5050.16</v>
      </c>
      <c r="J87" s="130">
        <v>4734.5200000000004</v>
      </c>
      <c r="K87" s="130">
        <v>4418.8900000000003</v>
      </c>
      <c r="L87" s="130">
        <v>4418.8900000000003</v>
      </c>
      <c r="M87" s="130">
        <v>4418.8900000000003</v>
      </c>
      <c r="N87" s="130">
        <v>5050.16</v>
      </c>
      <c r="O87" s="130">
        <v>4892.34</v>
      </c>
      <c r="P87" s="130">
        <v>4418.8900000000003</v>
      </c>
      <c r="Q87" s="130">
        <v>4418.8900000000003</v>
      </c>
      <c r="R87" s="130">
        <v>5050.16</v>
      </c>
      <c r="S87" s="265">
        <f t="shared" si="28"/>
        <v>54762.649999999994</v>
      </c>
      <c r="T87" s="131">
        <v>33010</v>
      </c>
      <c r="V87" s="130">
        <f t="shared" si="29"/>
        <v>6</v>
      </c>
      <c r="W87" s="130">
        <f t="shared" si="30"/>
        <v>6.4999762383766058</v>
      </c>
      <c r="X87" s="130">
        <f t="shared" si="31"/>
        <v>8</v>
      </c>
      <c r="Y87" s="130">
        <f t="shared" si="32"/>
        <v>7.4999920794588695</v>
      </c>
      <c r="Z87" s="130">
        <f t="shared" si="33"/>
        <v>7.0000000000000009</v>
      </c>
      <c r="AA87" s="130">
        <f t="shared" si="34"/>
        <v>7.0000000000000009</v>
      </c>
      <c r="AB87" s="130">
        <f t="shared" si="35"/>
        <v>7.0000000000000009</v>
      </c>
      <c r="AC87" s="130">
        <f t="shared" si="36"/>
        <v>8</v>
      </c>
      <c r="AD87" s="130">
        <f t="shared" si="37"/>
        <v>7.7499960397294352</v>
      </c>
      <c r="AE87" s="130">
        <f t="shared" si="38"/>
        <v>7.0000000000000009</v>
      </c>
      <c r="AF87" s="130">
        <f t="shared" si="39"/>
        <v>7.0000000000000009</v>
      </c>
      <c r="AG87" s="130">
        <f t="shared" si="40"/>
        <v>8</v>
      </c>
      <c r="AH87" s="265">
        <f t="shared" si="41"/>
        <v>7.2291636964637425</v>
      </c>
      <c r="AI87" s="118">
        <f>+SUMIF('Company Calc'!$C$26:$C$87,B87,'Company Calc'!E49:E111)-AH87-SUMIF('CityPA-M Price Out'!$B$11:$B$19,B87,'CityPA-M Price Out'!$AI$11:$AI$19)</f>
        <v>-6.2291636964637425</v>
      </c>
      <c r="AJ87" s="89"/>
      <c r="AK87" s="119" t="s">
        <v>487</v>
      </c>
      <c r="AL87" s="107"/>
      <c r="AM87" s="107"/>
      <c r="AN87" s="101">
        <v>1</v>
      </c>
      <c r="AO87" s="127">
        <f t="shared" si="46"/>
        <v>7.2291636964637425</v>
      </c>
      <c r="AP87" s="107"/>
      <c r="AQ87" s="107"/>
      <c r="AR87" s="107"/>
      <c r="AS87" s="268">
        <f t="shared" si="42"/>
        <v>7.2291636964637425</v>
      </c>
      <c r="AT87" s="236">
        <f t="shared" si="43"/>
        <v>699.38966143867754</v>
      </c>
      <c r="AU87" s="229">
        <f t="shared" si="44"/>
        <v>60672.028201854671</v>
      </c>
      <c r="AV87" s="229">
        <f t="shared" si="45"/>
        <v>5909.3782018546772</v>
      </c>
    </row>
    <row r="88" spans="1:48" s="144" customFormat="1" ht="12" customHeight="1">
      <c r="A88" s="107" t="str">
        <f t="shared" si="27"/>
        <v>PA-CDEL3TEMP-COM</v>
      </c>
      <c r="B88" s="99" t="s">
        <v>497</v>
      </c>
      <c r="C88" s="99" t="s">
        <v>496</v>
      </c>
      <c r="D88" s="149">
        <v>45.13</v>
      </c>
      <c r="E88" s="148" t="s">
        <v>161</v>
      </c>
      <c r="F88" s="122"/>
      <c r="G88" s="120">
        <v>0</v>
      </c>
      <c r="H88" s="120">
        <v>45.13</v>
      </c>
      <c r="I88" s="120">
        <v>45.13</v>
      </c>
      <c r="J88" s="120">
        <v>0</v>
      </c>
      <c r="K88" s="120">
        <v>0</v>
      </c>
      <c r="L88" s="120">
        <v>45.13</v>
      </c>
      <c r="M88" s="120">
        <v>0</v>
      </c>
      <c r="N88" s="120">
        <v>45.13</v>
      </c>
      <c r="O88" s="120">
        <v>45.13</v>
      </c>
      <c r="P88" s="120">
        <v>45.13</v>
      </c>
      <c r="Q88" s="120">
        <v>135.38999999999999</v>
      </c>
      <c r="R88" s="120">
        <v>90.26</v>
      </c>
      <c r="S88" s="120">
        <f t="shared" si="28"/>
        <v>496.43</v>
      </c>
      <c r="T88" s="107">
        <v>33010</v>
      </c>
      <c r="V88" s="123">
        <f t="shared" si="29"/>
        <v>0</v>
      </c>
      <c r="W88" s="123">
        <f t="shared" si="30"/>
        <v>1</v>
      </c>
      <c r="X88" s="123">
        <f t="shared" si="31"/>
        <v>1</v>
      </c>
      <c r="Y88" s="123">
        <f t="shared" si="32"/>
        <v>0</v>
      </c>
      <c r="Z88" s="123">
        <f t="shared" si="33"/>
        <v>0</v>
      </c>
      <c r="AA88" s="123">
        <f t="shared" si="34"/>
        <v>1</v>
      </c>
      <c r="AB88" s="123">
        <f t="shared" si="35"/>
        <v>0</v>
      </c>
      <c r="AC88" s="123">
        <f t="shared" si="36"/>
        <v>1</v>
      </c>
      <c r="AD88" s="123">
        <f t="shared" si="37"/>
        <v>1</v>
      </c>
      <c r="AE88" s="123">
        <f t="shared" si="38"/>
        <v>1</v>
      </c>
      <c r="AF88" s="123">
        <f t="shared" si="39"/>
        <v>2.9999999999999996</v>
      </c>
      <c r="AG88" s="123">
        <f t="shared" si="40"/>
        <v>2</v>
      </c>
      <c r="AH88" s="120">
        <f t="shared" si="41"/>
        <v>1.375</v>
      </c>
      <c r="AI88" s="118"/>
      <c r="AJ88" s="89"/>
      <c r="AK88" s="119"/>
      <c r="AL88" s="107"/>
      <c r="AM88" s="107"/>
      <c r="AN88" s="101"/>
      <c r="AO88" s="147"/>
      <c r="AP88" s="107"/>
      <c r="AQ88" s="107"/>
      <c r="AR88" s="107"/>
      <c r="AS88" s="89">
        <f t="shared" si="42"/>
        <v>1.375</v>
      </c>
      <c r="AT88" s="236">
        <f t="shared" si="43"/>
        <v>49.99992938160775</v>
      </c>
      <c r="AU88" s="229">
        <f t="shared" si="44"/>
        <v>824.99883479652794</v>
      </c>
      <c r="AV88" s="229">
        <f t="shared" si="45"/>
        <v>328.56883479652794</v>
      </c>
    </row>
    <row r="89" spans="1:48" s="144" customFormat="1" ht="12" customHeight="1">
      <c r="A89" s="107" t="str">
        <f t="shared" si="27"/>
        <v>PA-CDEL4TEMP-COM</v>
      </c>
      <c r="B89" s="99" t="s">
        <v>495</v>
      </c>
      <c r="C89" s="99" t="s">
        <v>494</v>
      </c>
      <c r="D89" s="149">
        <v>45.13</v>
      </c>
      <c r="E89" s="148" t="s">
        <v>161</v>
      </c>
      <c r="F89" s="122"/>
      <c r="G89" s="120">
        <v>45.13</v>
      </c>
      <c r="H89" s="120">
        <v>180.52</v>
      </c>
      <c r="I89" s="120">
        <v>135.38999999999999</v>
      </c>
      <c r="J89" s="120">
        <v>180.52</v>
      </c>
      <c r="K89" s="120">
        <v>0</v>
      </c>
      <c r="L89" s="120">
        <v>180.52</v>
      </c>
      <c r="M89" s="120">
        <v>90.26</v>
      </c>
      <c r="N89" s="120">
        <v>90.26</v>
      </c>
      <c r="O89" s="120">
        <v>225.65</v>
      </c>
      <c r="P89" s="120">
        <v>45.13</v>
      </c>
      <c r="Q89" s="120">
        <v>135.38999999999999</v>
      </c>
      <c r="R89" s="120">
        <v>180.52</v>
      </c>
      <c r="S89" s="120">
        <f t="shared" si="28"/>
        <v>1489.29</v>
      </c>
      <c r="T89" s="107">
        <v>33010</v>
      </c>
      <c r="V89" s="123">
        <f t="shared" si="29"/>
        <v>1</v>
      </c>
      <c r="W89" s="123">
        <f t="shared" si="30"/>
        <v>4</v>
      </c>
      <c r="X89" s="123">
        <f t="shared" si="31"/>
        <v>2.9999999999999996</v>
      </c>
      <c r="Y89" s="123">
        <f t="shared" si="32"/>
        <v>4</v>
      </c>
      <c r="Z89" s="123">
        <f t="shared" si="33"/>
        <v>0</v>
      </c>
      <c r="AA89" s="123">
        <f t="shared" si="34"/>
        <v>4</v>
      </c>
      <c r="AB89" s="123">
        <f t="shared" si="35"/>
        <v>2</v>
      </c>
      <c r="AC89" s="123">
        <f t="shared" si="36"/>
        <v>2</v>
      </c>
      <c r="AD89" s="123">
        <f t="shared" si="37"/>
        <v>5</v>
      </c>
      <c r="AE89" s="123">
        <f t="shared" si="38"/>
        <v>1</v>
      </c>
      <c r="AF89" s="123">
        <f t="shared" si="39"/>
        <v>2.9999999999999996</v>
      </c>
      <c r="AG89" s="123">
        <f t="shared" si="40"/>
        <v>4</v>
      </c>
      <c r="AH89" s="120">
        <f t="shared" si="41"/>
        <v>3</v>
      </c>
      <c r="AI89" s="118"/>
      <c r="AJ89" s="89"/>
      <c r="AK89" s="119"/>
      <c r="AL89" s="107"/>
      <c r="AM89" s="107"/>
      <c r="AN89" s="101"/>
      <c r="AO89" s="147"/>
      <c r="AP89" s="107"/>
      <c r="AQ89" s="107"/>
      <c r="AR89" s="107"/>
      <c r="AS89" s="89">
        <f t="shared" si="42"/>
        <v>3</v>
      </c>
      <c r="AT89" s="236">
        <f t="shared" si="43"/>
        <v>49.99992938160775</v>
      </c>
      <c r="AU89" s="229">
        <f t="shared" si="44"/>
        <v>1799.9974577378789</v>
      </c>
      <c r="AV89" s="229">
        <f t="shared" si="45"/>
        <v>310.70745773787894</v>
      </c>
    </row>
    <row r="90" spans="1:48" s="106" customFormat="1" ht="12" customHeight="1">
      <c r="A90" s="131" t="str">
        <f t="shared" si="27"/>
        <v>PA-CF2YDTPU</v>
      </c>
      <c r="B90" s="264" t="s">
        <v>229</v>
      </c>
      <c r="C90" s="264" t="s">
        <v>151</v>
      </c>
      <c r="D90" s="149">
        <v>40.36</v>
      </c>
      <c r="E90" s="148" t="s">
        <v>161</v>
      </c>
      <c r="F90" s="122"/>
      <c r="G90" s="130">
        <v>443.96</v>
      </c>
      <c r="H90" s="130">
        <v>322.88</v>
      </c>
      <c r="I90" s="130">
        <v>242.16</v>
      </c>
      <c r="J90" s="130">
        <v>121.08</v>
      </c>
      <c r="K90" s="130">
        <v>161.44</v>
      </c>
      <c r="L90" s="130">
        <v>0</v>
      </c>
      <c r="M90" s="130">
        <v>121.08</v>
      </c>
      <c r="N90" s="130">
        <v>161.44</v>
      </c>
      <c r="O90" s="130">
        <v>322.88</v>
      </c>
      <c r="P90" s="130">
        <v>322.88</v>
      </c>
      <c r="Q90" s="130">
        <v>161.44</v>
      </c>
      <c r="R90" s="130">
        <v>80.72</v>
      </c>
      <c r="S90" s="265">
        <f t="shared" si="28"/>
        <v>2461.96</v>
      </c>
      <c r="T90" s="131">
        <v>33010</v>
      </c>
      <c r="V90" s="130">
        <f t="shared" si="29"/>
        <v>11</v>
      </c>
      <c r="W90" s="130">
        <f t="shared" si="30"/>
        <v>8</v>
      </c>
      <c r="X90" s="130">
        <f t="shared" si="31"/>
        <v>6</v>
      </c>
      <c r="Y90" s="130">
        <f t="shared" si="32"/>
        <v>3</v>
      </c>
      <c r="Z90" s="130">
        <f t="shared" si="33"/>
        <v>4</v>
      </c>
      <c r="AA90" s="130">
        <f t="shared" si="34"/>
        <v>0</v>
      </c>
      <c r="AB90" s="130">
        <f t="shared" si="35"/>
        <v>3</v>
      </c>
      <c r="AC90" s="130">
        <f t="shared" si="36"/>
        <v>4</v>
      </c>
      <c r="AD90" s="130">
        <f t="shared" si="37"/>
        <v>8</v>
      </c>
      <c r="AE90" s="130">
        <f t="shared" si="38"/>
        <v>8</v>
      </c>
      <c r="AF90" s="130">
        <f t="shared" si="39"/>
        <v>4</v>
      </c>
      <c r="AG90" s="130">
        <f t="shared" si="40"/>
        <v>2</v>
      </c>
      <c r="AH90" s="265">
        <f t="shared" si="41"/>
        <v>5.5454545454545459</v>
      </c>
      <c r="AI90" s="118"/>
      <c r="AJ90" s="89"/>
      <c r="AK90" s="119" t="s">
        <v>479</v>
      </c>
      <c r="AL90" s="107"/>
      <c r="AM90" s="107"/>
      <c r="AN90" s="101">
        <v>1</v>
      </c>
      <c r="AO90" s="127">
        <f>+AH90*AN90</f>
        <v>5.5454545454545459</v>
      </c>
      <c r="AP90" s="107"/>
      <c r="AQ90" s="107"/>
      <c r="AR90" s="107"/>
      <c r="AS90" s="268">
        <f t="shared" si="42"/>
        <v>5.5454545454545459</v>
      </c>
      <c r="AT90" s="236">
        <f t="shared" si="43"/>
        <v>44.715203852020572</v>
      </c>
      <c r="AU90" s="229">
        <f t="shared" si="44"/>
        <v>2975.593565425369</v>
      </c>
      <c r="AV90" s="229">
        <f t="shared" si="45"/>
        <v>513.63356542536894</v>
      </c>
    </row>
    <row r="91" spans="1:48" s="107" customFormat="1" ht="12" customHeight="1">
      <c r="A91" s="107" t="str">
        <f t="shared" si="27"/>
        <v>PA-CSP35-COM</v>
      </c>
      <c r="B91" s="264" t="s">
        <v>394</v>
      </c>
      <c r="C91" s="264" t="s">
        <v>395</v>
      </c>
      <c r="D91" s="149">
        <v>8</v>
      </c>
      <c r="E91" s="148" t="s">
        <v>466</v>
      </c>
      <c r="F91" s="122"/>
      <c r="G91" s="120">
        <v>4</v>
      </c>
      <c r="H91" s="120">
        <v>4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4</v>
      </c>
      <c r="R91" s="120">
        <v>4</v>
      </c>
      <c r="S91" s="265">
        <f t="shared" si="28"/>
        <v>16</v>
      </c>
      <c r="T91" s="107">
        <v>33011</v>
      </c>
      <c r="V91" s="123">
        <f t="shared" si="29"/>
        <v>0.5</v>
      </c>
      <c r="W91" s="123">
        <f t="shared" si="30"/>
        <v>0.5</v>
      </c>
      <c r="X91" s="123">
        <f t="shared" si="31"/>
        <v>0</v>
      </c>
      <c r="Y91" s="123">
        <f t="shared" si="32"/>
        <v>0</v>
      </c>
      <c r="Z91" s="123">
        <f t="shared" si="33"/>
        <v>0</v>
      </c>
      <c r="AA91" s="123">
        <f t="shared" si="34"/>
        <v>0</v>
      </c>
      <c r="AB91" s="123">
        <f t="shared" si="35"/>
        <v>0</v>
      </c>
      <c r="AC91" s="123">
        <f t="shared" si="36"/>
        <v>0</v>
      </c>
      <c r="AD91" s="123">
        <f t="shared" si="37"/>
        <v>0</v>
      </c>
      <c r="AE91" s="123">
        <f t="shared" si="38"/>
        <v>0</v>
      </c>
      <c r="AF91" s="123">
        <f t="shared" si="39"/>
        <v>0.5</v>
      </c>
      <c r="AG91" s="123">
        <f t="shared" si="40"/>
        <v>0.5</v>
      </c>
      <c r="AH91" s="120">
        <f t="shared" si="41"/>
        <v>0.5</v>
      </c>
      <c r="AI91" s="118"/>
      <c r="AJ91" s="89"/>
      <c r="AK91" s="119"/>
      <c r="AN91" s="101"/>
      <c r="AO91" s="147"/>
      <c r="AS91" s="89">
        <f t="shared" si="42"/>
        <v>0.5</v>
      </c>
      <c r="AT91" s="236">
        <f t="shared" si="43"/>
        <v>8.8632713284480822</v>
      </c>
      <c r="AU91" s="229">
        <f t="shared" si="44"/>
        <v>53.179627970688493</v>
      </c>
      <c r="AV91" s="229">
        <f t="shared" si="45"/>
        <v>37.179627970688493</v>
      </c>
    </row>
    <row r="92" spans="1:48" s="107" customFormat="1" ht="12" customHeight="1">
      <c r="A92" s="107" t="str">
        <f t="shared" si="27"/>
        <v>PA-CSP1.5-COM</v>
      </c>
      <c r="B92" s="264" t="s">
        <v>396</v>
      </c>
      <c r="C92" s="264" t="s">
        <v>397</v>
      </c>
      <c r="D92" s="149">
        <v>34</v>
      </c>
      <c r="E92" s="148" t="s">
        <v>161</v>
      </c>
      <c r="F92" s="122"/>
      <c r="G92" s="120">
        <v>34</v>
      </c>
      <c r="H92" s="120">
        <v>68</v>
      </c>
      <c r="I92" s="120">
        <v>68</v>
      </c>
      <c r="J92" s="120">
        <v>34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68</v>
      </c>
      <c r="R92" s="120">
        <v>0</v>
      </c>
      <c r="S92" s="265">
        <f t="shared" si="28"/>
        <v>272</v>
      </c>
      <c r="T92" s="107">
        <v>33010</v>
      </c>
      <c r="V92" s="123">
        <f t="shared" si="29"/>
        <v>1</v>
      </c>
      <c r="W92" s="123">
        <f t="shared" si="30"/>
        <v>2</v>
      </c>
      <c r="X92" s="123">
        <f t="shared" si="31"/>
        <v>2</v>
      </c>
      <c r="Y92" s="123">
        <f t="shared" si="32"/>
        <v>1</v>
      </c>
      <c r="Z92" s="123">
        <f t="shared" si="33"/>
        <v>0</v>
      </c>
      <c r="AA92" s="123">
        <f t="shared" si="34"/>
        <v>0</v>
      </c>
      <c r="AB92" s="123">
        <f t="shared" si="35"/>
        <v>0</v>
      </c>
      <c r="AC92" s="123">
        <f t="shared" si="36"/>
        <v>0</v>
      </c>
      <c r="AD92" s="123">
        <f t="shared" si="37"/>
        <v>0</v>
      </c>
      <c r="AE92" s="123">
        <f t="shared" si="38"/>
        <v>0</v>
      </c>
      <c r="AF92" s="123">
        <f t="shared" si="39"/>
        <v>2</v>
      </c>
      <c r="AG92" s="123">
        <f t="shared" si="40"/>
        <v>0</v>
      </c>
      <c r="AH92" s="120">
        <f t="shared" si="41"/>
        <v>1.6</v>
      </c>
      <c r="AI92" s="118"/>
      <c r="AJ92" s="89"/>
      <c r="AK92" s="119"/>
      <c r="AN92" s="101"/>
      <c r="AO92" s="147"/>
      <c r="AS92" s="89">
        <f t="shared" si="42"/>
        <v>1.6</v>
      </c>
      <c r="AT92" s="236">
        <f t="shared" si="43"/>
        <v>37.668903145904352</v>
      </c>
      <c r="AU92" s="229">
        <f t="shared" si="44"/>
        <v>723.24294040136363</v>
      </c>
      <c r="AV92" s="229">
        <f t="shared" si="45"/>
        <v>451.24294040136363</v>
      </c>
    </row>
    <row r="93" spans="1:48" s="144" customFormat="1" ht="12" customHeight="1">
      <c r="A93" s="107" t="str">
        <f t="shared" ref="A93:A124" si="47">"PA-C"&amp;B93</f>
        <v>PA-CSP2-COM</v>
      </c>
      <c r="B93" s="264" t="s">
        <v>398</v>
      </c>
      <c r="C93" s="264" t="s">
        <v>399</v>
      </c>
      <c r="D93" s="149">
        <v>45.82</v>
      </c>
      <c r="E93" s="148" t="s">
        <v>161</v>
      </c>
      <c r="F93" s="122"/>
      <c r="G93" s="120">
        <v>137.46</v>
      </c>
      <c r="H93" s="120">
        <v>45.82</v>
      </c>
      <c r="I93" s="120">
        <v>91.64</v>
      </c>
      <c r="J93" s="120">
        <v>45.82</v>
      </c>
      <c r="K93" s="120">
        <v>0</v>
      </c>
      <c r="L93" s="120">
        <v>45.82</v>
      </c>
      <c r="M93" s="120">
        <v>45.82</v>
      </c>
      <c r="N93" s="120">
        <v>45.82</v>
      </c>
      <c r="O93" s="120">
        <v>45.82</v>
      </c>
      <c r="P93" s="120">
        <v>183.28</v>
      </c>
      <c r="Q93" s="120">
        <v>137.46</v>
      </c>
      <c r="R93" s="120">
        <v>137.46</v>
      </c>
      <c r="S93" s="265">
        <f t="shared" ref="S93:S124" si="48">SUM(G93:R93)</f>
        <v>962.22</v>
      </c>
      <c r="T93" s="107">
        <v>33010</v>
      </c>
      <c r="V93" s="123">
        <f t="shared" ref="V93:V124" si="49">IFERROR(G93/$D93,0)</f>
        <v>3</v>
      </c>
      <c r="W93" s="123">
        <f t="shared" ref="W93:W124" si="50">IFERROR(H93/$D93,0)</f>
        <v>1</v>
      </c>
      <c r="X93" s="123">
        <f t="shared" ref="X93:X124" si="51">IFERROR(I93/$D93,0)</f>
        <v>2</v>
      </c>
      <c r="Y93" s="123">
        <f t="shared" ref="Y93:Y124" si="52">IFERROR(J93/$D93,0)</f>
        <v>1</v>
      </c>
      <c r="Z93" s="123">
        <f t="shared" ref="Z93:Z124" si="53">IFERROR(K93/$D93,0)</f>
        <v>0</v>
      </c>
      <c r="AA93" s="123">
        <f t="shared" ref="AA93:AA124" si="54">IFERROR(L93/$D93,0)</f>
        <v>1</v>
      </c>
      <c r="AB93" s="123">
        <f t="shared" ref="AB93:AB124" si="55">IFERROR(M93/$D93,0)</f>
        <v>1</v>
      </c>
      <c r="AC93" s="123">
        <f t="shared" ref="AC93:AC124" si="56">IFERROR(N93/$D93,0)</f>
        <v>1</v>
      </c>
      <c r="AD93" s="123">
        <f t="shared" ref="AD93:AD124" si="57">IFERROR(O93/$D93,0)</f>
        <v>1</v>
      </c>
      <c r="AE93" s="123">
        <f t="shared" ref="AE93:AE124" si="58">IFERROR(P93/$D93,0)</f>
        <v>4</v>
      </c>
      <c r="AF93" s="123">
        <f t="shared" ref="AF93:AF124" si="59">IFERROR(Q93/$D93,0)</f>
        <v>3</v>
      </c>
      <c r="AG93" s="123">
        <f t="shared" ref="AG93:AG124" si="60">IFERROR(R93/$D93,0)</f>
        <v>3</v>
      </c>
      <c r="AH93" s="120">
        <f t="shared" si="41"/>
        <v>1.9090909090909092</v>
      </c>
      <c r="AI93" s="118"/>
      <c r="AJ93" s="89"/>
      <c r="AK93" s="119"/>
      <c r="AL93" s="107"/>
      <c r="AM93" s="107"/>
      <c r="AN93" s="101"/>
      <c r="AO93" s="147"/>
      <c r="AP93" s="107"/>
      <c r="AQ93" s="107"/>
      <c r="AR93" s="107"/>
      <c r="AS93" s="89">
        <f t="shared" ref="AS93:AS112" si="61">+AH93</f>
        <v>1.9090909090909092</v>
      </c>
      <c r="AT93" s="236">
        <f t="shared" ref="AT93:AT124" si="62">+D93*(1+$AZ$2)</f>
        <v>50.764386533686391</v>
      </c>
      <c r="AU93" s="229">
        <f t="shared" ref="AU93:AU112" si="63">+AT93*AH93*12</f>
        <v>1162.9659460444518</v>
      </c>
      <c r="AV93" s="229">
        <f t="shared" ref="AV93:AV124" si="64">+AU93-S93</f>
        <v>200.74594604445178</v>
      </c>
    </row>
    <row r="94" spans="1:48" s="144" customFormat="1" ht="12" customHeight="1">
      <c r="A94" s="107" t="str">
        <f t="shared" si="47"/>
        <v>PA-CDEL1.5TEMP-COM</v>
      </c>
      <c r="B94" s="99" t="s">
        <v>493</v>
      </c>
      <c r="C94" s="99" t="s">
        <v>492</v>
      </c>
      <c r="D94" s="149">
        <v>26.04</v>
      </c>
      <c r="E94" s="148" t="s">
        <v>161</v>
      </c>
      <c r="F94" s="122"/>
      <c r="G94" s="120">
        <v>0</v>
      </c>
      <c r="H94" s="120">
        <v>26.04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26.04</v>
      </c>
      <c r="O94" s="120">
        <v>0</v>
      </c>
      <c r="P94" s="120">
        <v>0</v>
      </c>
      <c r="Q94" s="120">
        <v>0</v>
      </c>
      <c r="R94" s="120">
        <v>52.08</v>
      </c>
      <c r="S94" s="120">
        <f t="shared" si="48"/>
        <v>104.16</v>
      </c>
      <c r="T94" s="107">
        <v>33010</v>
      </c>
      <c r="V94" s="123">
        <f t="shared" si="49"/>
        <v>0</v>
      </c>
      <c r="W94" s="123">
        <f t="shared" si="50"/>
        <v>1</v>
      </c>
      <c r="X94" s="123">
        <f t="shared" si="51"/>
        <v>0</v>
      </c>
      <c r="Y94" s="123">
        <f t="shared" si="52"/>
        <v>0</v>
      </c>
      <c r="Z94" s="123">
        <f t="shared" si="53"/>
        <v>0</v>
      </c>
      <c r="AA94" s="123">
        <f t="shared" si="54"/>
        <v>0</v>
      </c>
      <c r="AB94" s="123">
        <f t="shared" si="55"/>
        <v>0</v>
      </c>
      <c r="AC94" s="123">
        <f t="shared" si="56"/>
        <v>1</v>
      </c>
      <c r="AD94" s="123">
        <f t="shared" si="57"/>
        <v>0</v>
      </c>
      <c r="AE94" s="123">
        <f t="shared" si="58"/>
        <v>0</v>
      </c>
      <c r="AF94" s="123">
        <f t="shared" si="59"/>
        <v>0</v>
      </c>
      <c r="AG94" s="123">
        <f t="shared" si="60"/>
        <v>2</v>
      </c>
      <c r="AH94" s="120">
        <f t="shared" si="41"/>
        <v>1.3333333333333333</v>
      </c>
      <c r="AI94" s="118"/>
      <c r="AJ94" s="89"/>
      <c r="AK94" s="119"/>
      <c r="AL94" s="107"/>
      <c r="AM94" s="107"/>
      <c r="AN94" s="101"/>
      <c r="AO94" s="147"/>
      <c r="AP94" s="107"/>
      <c r="AQ94" s="107"/>
      <c r="AR94" s="107"/>
      <c r="AS94" s="89">
        <f t="shared" si="61"/>
        <v>1.3333333333333333</v>
      </c>
      <c r="AT94" s="236">
        <f t="shared" si="62"/>
        <v>28.849948174098508</v>
      </c>
      <c r="AU94" s="229">
        <f t="shared" si="63"/>
        <v>461.59917078557612</v>
      </c>
      <c r="AV94" s="229">
        <f t="shared" si="64"/>
        <v>357.43917078557615</v>
      </c>
    </row>
    <row r="95" spans="1:48" s="144" customFormat="1" ht="12" customHeight="1">
      <c r="A95" s="107" t="str">
        <f t="shared" si="47"/>
        <v>PA-CDEL1TEMP-COM</v>
      </c>
      <c r="B95" s="99" t="s">
        <v>491</v>
      </c>
      <c r="C95" s="99" t="s">
        <v>490</v>
      </c>
      <c r="D95" s="149">
        <v>19.78</v>
      </c>
      <c r="E95" s="148" t="s">
        <v>161</v>
      </c>
      <c r="F95" s="122"/>
      <c r="G95" s="120">
        <v>0</v>
      </c>
      <c r="H95" s="120">
        <v>19.78</v>
      </c>
      <c r="I95" s="120">
        <v>0</v>
      </c>
      <c r="J95" s="120">
        <v>0</v>
      </c>
      <c r="K95" s="120">
        <v>0</v>
      </c>
      <c r="L95" s="120">
        <v>19.78</v>
      </c>
      <c r="M95" s="120">
        <v>0</v>
      </c>
      <c r="N95" s="120">
        <v>0</v>
      </c>
      <c r="O95" s="120">
        <v>0</v>
      </c>
      <c r="P95" s="120">
        <v>0</v>
      </c>
      <c r="Q95" s="120">
        <v>39.56</v>
      </c>
      <c r="R95" s="120">
        <v>0</v>
      </c>
      <c r="S95" s="120">
        <f t="shared" si="48"/>
        <v>79.12</v>
      </c>
      <c r="T95" s="107">
        <v>33010</v>
      </c>
      <c r="V95" s="123">
        <f t="shared" si="49"/>
        <v>0</v>
      </c>
      <c r="W95" s="123">
        <f t="shared" si="50"/>
        <v>1</v>
      </c>
      <c r="X95" s="123">
        <f t="shared" si="51"/>
        <v>0</v>
      </c>
      <c r="Y95" s="123">
        <f t="shared" si="52"/>
        <v>0</v>
      </c>
      <c r="Z95" s="123">
        <f t="shared" si="53"/>
        <v>0</v>
      </c>
      <c r="AA95" s="123">
        <f t="shared" si="54"/>
        <v>1</v>
      </c>
      <c r="AB95" s="123">
        <f t="shared" si="55"/>
        <v>0</v>
      </c>
      <c r="AC95" s="123">
        <f t="shared" si="56"/>
        <v>0</v>
      </c>
      <c r="AD95" s="123">
        <f t="shared" si="57"/>
        <v>0</v>
      </c>
      <c r="AE95" s="123">
        <f t="shared" si="58"/>
        <v>0</v>
      </c>
      <c r="AF95" s="123">
        <f t="shared" si="59"/>
        <v>2</v>
      </c>
      <c r="AG95" s="123">
        <f t="shared" si="60"/>
        <v>0</v>
      </c>
      <c r="AH95" s="120">
        <f t="shared" si="41"/>
        <v>1.3333333333333333</v>
      </c>
      <c r="AI95" s="118"/>
      <c r="AJ95" s="89"/>
      <c r="AK95" s="119"/>
      <c r="AL95" s="107"/>
      <c r="AM95" s="107"/>
      <c r="AN95" s="101"/>
      <c r="AO95" s="147"/>
      <c r="AP95" s="107"/>
      <c r="AQ95" s="107"/>
      <c r="AR95" s="107"/>
      <c r="AS95" s="89">
        <f t="shared" si="61"/>
        <v>1.3333333333333333</v>
      </c>
      <c r="AT95" s="236">
        <f t="shared" si="62"/>
        <v>21.914438359587884</v>
      </c>
      <c r="AU95" s="229">
        <f t="shared" si="63"/>
        <v>350.63101375340614</v>
      </c>
      <c r="AV95" s="229">
        <f t="shared" si="64"/>
        <v>271.51101375340613</v>
      </c>
    </row>
    <row r="96" spans="1:48" s="144" customFormat="1" ht="12" customHeight="1">
      <c r="A96" s="107" t="str">
        <f t="shared" si="47"/>
        <v>PA-CSP1-COM</v>
      </c>
      <c r="B96" s="264" t="s">
        <v>400</v>
      </c>
      <c r="C96" s="264" t="s">
        <v>401</v>
      </c>
      <c r="D96" s="149">
        <v>24.69</v>
      </c>
      <c r="E96" s="148" t="s">
        <v>161</v>
      </c>
      <c r="F96" s="122"/>
      <c r="G96" s="120">
        <v>148.13999999999999</v>
      </c>
      <c r="H96" s="120">
        <v>197.52</v>
      </c>
      <c r="I96" s="120">
        <v>74.069999999999993</v>
      </c>
      <c r="J96" s="120">
        <v>49.38</v>
      </c>
      <c r="K96" s="120">
        <v>98.76</v>
      </c>
      <c r="L96" s="120">
        <v>49.38</v>
      </c>
      <c r="M96" s="120">
        <v>24.69</v>
      </c>
      <c r="N96" s="120">
        <v>24.69</v>
      </c>
      <c r="O96" s="120">
        <v>0</v>
      </c>
      <c r="P96" s="120">
        <v>123.45</v>
      </c>
      <c r="Q96" s="120">
        <v>197.52</v>
      </c>
      <c r="R96" s="120">
        <v>98.76</v>
      </c>
      <c r="S96" s="265">
        <f t="shared" si="48"/>
        <v>1086.3600000000001</v>
      </c>
      <c r="T96" s="107">
        <v>33010</v>
      </c>
      <c r="V96" s="123">
        <f t="shared" si="49"/>
        <v>5.9999999999999991</v>
      </c>
      <c r="W96" s="123">
        <f t="shared" si="50"/>
        <v>8</v>
      </c>
      <c r="X96" s="123">
        <f t="shared" si="51"/>
        <v>2.9999999999999996</v>
      </c>
      <c r="Y96" s="123">
        <f t="shared" si="52"/>
        <v>2</v>
      </c>
      <c r="Z96" s="123">
        <f t="shared" si="53"/>
        <v>4</v>
      </c>
      <c r="AA96" s="123">
        <f t="shared" si="54"/>
        <v>2</v>
      </c>
      <c r="AB96" s="123">
        <f t="shared" si="55"/>
        <v>1</v>
      </c>
      <c r="AC96" s="123">
        <f t="shared" si="56"/>
        <v>1</v>
      </c>
      <c r="AD96" s="123">
        <f t="shared" si="57"/>
        <v>0</v>
      </c>
      <c r="AE96" s="123">
        <f t="shared" si="58"/>
        <v>5</v>
      </c>
      <c r="AF96" s="123">
        <f t="shared" si="59"/>
        <v>8</v>
      </c>
      <c r="AG96" s="123">
        <f t="shared" si="60"/>
        <v>4</v>
      </c>
      <c r="AH96" s="265">
        <f t="shared" si="41"/>
        <v>4</v>
      </c>
      <c r="AI96" s="118"/>
      <c r="AJ96" s="89"/>
      <c r="AK96" s="119"/>
      <c r="AL96" s="107"/>
      <c r="AM96" s="107"/>
      <c r="AN96" s="101"/>
      <c r="AO96" s="147"/>
      <c r="AP96" s="107"/>
      <c r="AQ96" s="107"/>
      <c r="AR96" s="107"/>
      <c r="AS96" s="268">
        <f t="shared" si="61"/>
        <v>4</v>
      </c>
      <c r="AT96" s="236">
        <f t="shared" si="62"/>
        <v>27.354271137422895</v>
      </c>
      <c r="AU96" s="229">
        <f t="shared" si="63"/>
        <v>1313.0050145962989</v>
      </c>
      <c r="AV96" s="229">
        <f t="shared" si="64"/>
        <v>226.64501459629878</v>
      </c>
    </row>
    <row r="97" spans="1:48" s="144" customFormat="1" ht="12" customHeight="1">
      <c r="A97" s="107" t="str">
        <f t="shared" si="47"/>
        <v>PA-CF2YDEX</v>
      </c>
      <c r="B97" s="264" t="s">
        <v>227</v>
      </c>
      <c r="C97" s="264" t="s">
        <v>149</v>
      </c>
      <c r="D97" s="149">
        <v>42.82</v>
      </c>
      <c r="E97" s="148" t="s">
        <v>161</v>
      </c>
      <c r="F97" s="122"/>
      <c r="G97" s="120">
        <v>0</v>
      </c>
      <c r="H97" s="120">
        <v>0</v>
      </c>
      <c r="I97" s="120">
        <v>0</v>
      </c>
      <c r="J97" s="120">
        <v>0</v>
      </c>
      <c r="K97" s="120">
        <v>0</v>
      </c>
      <c r="L97" s="120">
        <v>42.82</v>
      </c>
      <c r="M97" s="120">
        <v>0</v>
      </c>
      <c r="N97" s="120">
        <v>0</v>
      </c>
      <c r="O97" s="120">
        <v>85.64</v>
      </c>
      <c r="P97" s="120">
        <v>42.82</v>
      </c>
      <c r="Q97" s="120">
        <v>128.46</v>
      </c>
      <c r="R97" s="120">
        <v>0</v>
      </c>
      <c r="S97" s="265">
        <f t="shared" si="48"/>
        <v>299.74</v>
      </c>
      <c r="T97" s="107">
        <v>33011</v>
      </c>
      <c r="V97" s="123">
        <f t="shared" si="49"/>
        <v>0</v>
      </c>
      <c r="W97" s="123">
        <f t="shared" si="50"/>
        <v>0</v>
      </c>
      <c r="X97" s="123">
        <f t="shared" si="51"/>
        <v>0</v>
      </c>
      <c r="Y97" s="123">
        <f t="shared" si="52"/>
        <v>0</v>
      </c>
      <c r="Z97" s="123">
        <f t="shared" si="53"/>
        <v>0</v>
      </c>
      <c r="AA97" s="123">
        <f t="shared" si="54"/>
        <v>1</v>
      </c>
      <c r="AB97" s="123">
        <f t="shared" si="55"/>
        <v>0</v>
      </c>
      <c r="AC97" s="123">
        <f t="shared" si="56"/>
        <v>0</v>
      </c>
      <c r="AD97" s="123">
        <f t="shared" si="57"/>
        <v>2</v>
      </c>
      <c r="AE97" s="123">
        <f t="shared" si="58"/>
        <v>1</v>
      </c>
      <c r="AF97" s="123">
        <f t="shared" si="59"/>
        <v>3</v>
      </c>
      <c r="AG97" s="123">
        <f t="shared" si="60"/>
        <v>0</v>
      </c>
      <c r="AH97" s="265">
        <f t="shared" si="41"/>
        <v>1.75</v>
      </c>
      <c r="AI97" s="118"/>
      <c r="AJ97" s="89"/>
      <c r="AK97" s="119"/>
      <c r="AL97" s="107"/>
      <c r="AM97" s="107"/>
      <c r="AN97" s="101"/>
      <c r="AO97" s="147"/>
      <c r="AP97" s="107"/>
      <c r="AQ97" s="107"/>
      <c r="AR97" s="107"/>
      <c r="AS97" s="268">
        <f t="shared" si="61"/>
        <v>1.75</v>
      </c>
      <c r="AT97" s="236">
        <f t="shared" si="62"/>
        <v>47.440659785518363</v>
      </c>
      <c r="AU97" s="229">
        <f t="shared" si="63"/>
        <v>996.25385549588555</v>
      </c>
      <c r="AV97" s="229">
        <f t="shared" si="64"/>
        <v>696.51385549588554</v>
      </c>
    </row>
    <row r="98" spans="1:48" s="107" customFormat="1" ht="12" customHeight="1">
      <c r="A98" s="107" t="str">
        <f t="shared" si="47"/>
        <v>PA-CF2YDEXCO</v>
      </c>
      <c r="B98" s="264" t="s">
        <v>402</v>
      </c>
      <c r="C98" s="264" t="s">
        <v>403</v>
      </c>
      <c r="D98" s="149">
        <v>45.82</v>
      </c>
      <c r="E98" s="148" t="s">
        <v>162</v>
      </c>
      <c r="F98" s="122"/>
      <c r="G98" s="120">
        <v>45.82</v>
      </c>
      <c r="H98" s="120">
        <v>0</v>
      </c>
      <c r="I98" s="120">
        <v>45.82</v>
      </c>
      <c r="J98" s="120">
        <v>0</v>
      </c>
      <c r="K98" s="120">
        <v>0</v>
      </c>
      <c r="L98" s="120">
        <v>0</v>
      </c>
      <c r="M98" s="120">
        <v>45.82</v>
      </c>
      <c r="N98" s="120">
        <v>0</v>
      </c>
      <c r="O98" s="120">
        <v>45.82</v>
      </c>
      <c r="P98" s="120">
        <v>0</v>
      </c>
      <c r="Q98" s="120">
        <v>45.82</v>
      </c>
      <c r="R98" s="120">
        <v>0</v>
      </c>
      <c r="S98" s="265">
        <f t="shared" si="48"/>
        <v>229.1</v>
      </c>
      <c r="T98" s="107">
        <v>33011</v>
      </c>
      <c r="V98" s="123">
        <f t="shared" si="49"/>
        <v>1</v>
      </c>
      <c r="W98" s="123">
        <f t="shared" si="50"/>
        <v>0</v>
      </c>
      <c r="X98" s="123">
        <f t="shared" si="51"/>
        <v>1</v>
      </c>
      <c r="Y98" s="123">
        <f t="shared" si="52"/>
        <v>0</v>
      </c>
      <c r="Z98" s="123">
        <f t="shared" si="53"/>
        <v>0</v>
      </c>
      <c r="AA98" s="123">
        <f t="shared" si="54"/>
        <v>0</v>
      </c>
      <c r="AB98" s="123">
        <f t="shared" si="55"/>
        <v>1</v>
      </c>
      <c r="AC98" s="123">
        <f t="shared" si="56"/>
        <v>0</v>
      </c>
      <c r="AD98" s="123">
        <f t="shared" si="57"/>
        <v>1</v>
      </c>
      <c r="AE98" s="123">
        <f t="shared" si="58"/>
        <v>0</v>
      </c>
      <c r="AF98" s="123">
        <f t="shared" si="59"/>
        <v>1</v>
      </c>
      <c r="AG98" s="123">
        <f t="shared" si="60"/>
        <v>0</v>
      </c>
      <c r="AH98" s="265">
        <f t="shared" si="41"/>
        <v>1</v>
      </c>
      <c r="AI98" s="118"/>
      <c r="AJ98" s="89"/>
      <c r="AK98" s="119"/>
      <c r="AN98" s="101"/>
      <c r="AO98" s="147"/>
      <c r="AS98" s="268">
        <f t="shared" si="61"/>
        <v>1</v>
      </c>
      <c r="AT98" s="236">
        <f t="shared" si="62"/>
        <v>50.764386533686391</v>
      </c>
      <c r="AU98" s="229">
        <f t="shared" si="63"/>
        <v>609.17263840423675</v>
      </c>
      <c r="AV98" s="229">
        <f t="shared" si="64"/>
        <v>380.07263840423673</v>
      </c>
    </row>
    <row r="99" spans="1:48" s="106" customFormat="1" ht="12" customHeight="1">
      <c r="A99" s="131" t="str">
        <f t="shared" si="47"/>
        <v>PA-CF1YDTPU</v>
      </c>
      <c r="B99" s="264" t="s">
        <v>223</v>
      </c>
      <c r="C99" s="264" t="s">
        <v>145</v>
      </c>
      <c r="D99" s="149">
        <v>26.71</v>
      </c>
      <c r="E99" s="148" t="s">
        <v>161</v>
      </c>
      <c r="F99" s="122"/>
      <c r="G99" s="130">
        <v>53.42</v>
      </c>
      <c r="H99" s="130">
        <v>80.13</v>
      </c>
      <c r="I99" s="130">
        <v>213.68</v>
      </c>
      <c r="J99" s="130">
        <v>80.13</v>
      </c>
      <c r="K99" s="130">
        <v>26.71</v>
      </c>
      <c r="L99" s="130">
        <v>0</v>
      </c>
      <c r="M99" s="130">
        <v>0</v>
      </c>
      <c r="N99" s="130">
        <v>26.71</v>
      </c>
      <c r="O99" s="130">
        <v>26.71</v>
      </c>
      <c r="P99" s="130">
        <v>0</v>
      </c>
      <c r="Q99" s="130">
        <v>26.71</v>
      </c>
      <c r="R99" s="130">
        <v>80.13</v>
      </c>
      <c r="S99" s="265">
        <f t="shared" si="48"/>
        <v>614.32999999999993</v>
      </c>
      <c r="T99" s="131">
        <v>33010</v>
      </c>
      <c r="V99" s="130">
        <f t="shared" si="49"/>
        <v>2</v>
      </c>
      <c r="W99" s="130">
        <f t="shared" si="50"/>
        <v>2.9999999999999996</v>
      </c>
      <c r="X99" s="130">
        <f t="shared" si="51"/>
        <v>8</v>
      </c>
      <c r="Y99" s="130">
        <f t="shared" si="52"/>
        <v>2.9999999999999996</v>
      </c>
      <c r="Z99" s="130">
        <f t="shared" si="53"/>
        <v>1</v>
      </c>
      <c r="AA99" s="130">
        <f t="shared" si="54"/>
        <v>0</v>
      </c>
      <c r="AB99" s="130">
        <f t="shared" si="55"/>
        <v>0</v>
      </c>
      <c r="AC99" s="130">
        <f t="shared" si="56"/>
        <v>1</v>
      </c>
      <c r="AD99" s="130">
        <f t="shared" si="57"/>
        <v>1</v>
      </c>
      <c r="AE99" s="130">
        <f t="shared" si="58"/>
        <v>0</v>
      </c>
      <c r="AF99" s="130">
        <f t="shared" si="59"/>
        <v>1</v>
      </c>
      <c r="AG99" s="130">
        <f t="shared" si="60"/>
        <v>2.9999999999999996</v>
      </c>
      <c r="AH99" s="265">
        <f t="shared" si="41"/>
        <v>2.5555555555555554</v>
      </c>
      <c r="AI99" s="118"/>
      <c r="AJ99" s="89"/>
      <c r="AK99" s="119" t="s">
        <v>480</v>
      </c>
      <c r="AL99" s="107"/>
      <c r="AM99" s="107"/>
      <c r="AN99" s="101">
        <v>1</v>
      </c>
      <c r="AO99" s="127">
        <f>+AH99*AN99</f>
        <v>2.5555555555555554</v>
      </c>
      <c r="AP99" s="107"/>
      <c r="AQ99" s="107"/>
      <c r="AR99" s="107"/>
      <c r="AS99" s="268">
        <f t="shared" si="61"/>
        <v>2.5555555555555554</v>
      </c>
      <c r="AT99" s="236">
        <f t="shared" si="62"/>
        <v>29.592247147856035</v>
      </c>
      <c r="AU99" s="229">
        <f t="shared" si="63"/>
        <v>907.49557920091831</v>
      </c>
      <c r="AV99" s="229">
        <f t="shared" si="64"/>
        <v>293.16557920091839</v>
      </c>
    </row>
    <row r="100" spans="1:48" s="106" customFormat="1" ht="12" customHeight="1">
      <c r="A100" s="131" t="str">
        <f t="shared" si="47"/>
        <v>PA-CF1.5YDTPU</v>
      </c>
      <c r="B100" s="264" t="s">
        <v>226</v>
      </c>
      <c r="C100" s="264" t="s">
        <v>148</v>
      </c>
      <c r="D100" s="149">
        <v>31</v>
      </c>
      <c r="E100" s="148" t="s">
        <v>161</v>
      </c>
      <c r="F100" s="122"/>
      <c r="G100" s="130">
        <v>93</v>
      </c>
      <c r="H100" s="130">
        <v>93</v>
      </c>
      <c r="I100" s="130">
        <v>31</v>
      </c>
      <c r="J100" s="130">
        <v>31</v>
      </c>
      <c r="K100" s="130">
        <v>0</v>
      </c>
      <c r="L100" s="130">
        <v>62</v>
      </c>
      <c r="M100" s="130">
        <v>31</v>
      </c>
      <c r="N100" s="130">
        <v>0</v>
      </c>
      <c r="O100" s="130">
        <v>0</v>
      </c>
      <c r="P100" s="130">
        <v>0</v>
      </c>
      <c r="Q100" s="130">
        <v>31</v>
      </c>
      <c r="R100" s="130">
        <v>0</v>
      </c>
      <c r="S100" s="265">
        <f t="shared" si="48"/>
        <v>372</v>
      </c>
      <c r="T100" s="131">
        <v>33010</v>
      </c>
      <c r="V100" s="130">
        <f t="shared" si="49"/>
        <v>3</v>
      </c>
      <c r="W100" s="130">
        <f t="shared" si="50"/>
        <v>3</v>
      </c>
      <c r="X100" s="130">
        <f t="shared" si="51"/>
        <v>1</v>
      </c>
      <c r="Y100" s="130">
        <f t="shared" si="52"/>
        <v>1</v>
      </c>
      <c r="Z100" s="130">
        <f t="shared" si="53"/>
        <v>0</v>
      </c>
      <c r="AA100" s="130">
        <f t="shared" si="54"/>
        <v>2</v>
      </c>
      <c r="AB100" s="130">
        <f t="shared" si="55"/>
        <v>1</v>
      </c>
      <c r="AC100" s="130">
        <f t="shared" si="56"/>
        <v>0</v>
      </c>
      <c r="AD100" s="130">
        <f t="shared" si="57"/>
        <v>0</v>
      </c>
      <c r="AE100" s="130">
        <f t="shared" si="58"/>
        <v>0</v>
      </c>
      <c r="AF100" s="130">
        <f t="shared" si="59"/>
        <v>1</v>
      </c>
      <c r="AG100" s="130">
        <f t="shared" si="60"/>
        <v>0</v>
      </c>
      <c r="AH100" s="265">
        <f t="shared" si="41"/>
        <v>1.7142857142857142</v>
      </c>
      <c r="AI100" s="118"/>
      <c r="AJ100" s="89"/>
      <c r="AK100" s="119" t="s">
        <v>489</v>
      </c>
      <c r="AL100" s="107"/>
      <c r="AM100" s="107"/>
      <c r="AN100" s="101">
        <v>1</v>
      </c>
      <c r="AO100" s="127">
        <f>+AH100*AN100</f>
        <v>1.7142857142857142</v>
      </c>
      <c r="AP100" s="107"/>
      <c r="AQ100" s="107"/>
      <c r="AR100" s="107"/>
      <c r="AS100" s="268">
        <f t="shared" si="61"/>
        <v>1.7142857142857142</v>
      </c>
      <c r="AT100" s="236">
        <f t="shared" si="62"/>
        <v>34.345176397736317</v>
      </c>
      <c r="AU100" s="229">
        <f t="shared" si="63"/>
        <v>706.52934303914708</v>
      </c>
      <c r="AV100" s="229">
        <f t="shared" si="64"/>
        <v>334.52934303914708</v>
      </c>
    </row>
    <row r="101" spans="1:48" s="144" customFormat="1" ht="12" customHeight="1">
      <c r="A101" s="107" t="str">
        <f t="shared" si="47"/>
        <v>PA-CF1.5YDEX</v>
      </c>
      <c r="B101" s="264" t="s">
        <v>224</v>
      </c>
      <c r="C101" s="264" t="s">
        <v>146</v>
      </c>
      <c r="D101" s="149">
        <v>34</v>
      </c>
      <c r="E101" s="148" t="s">
        <v>161</v>
      </c>
      <c r="F101" s="122"/>
      <c r="G101" s="120">
        <v>34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34</v>
      </c>
      <c r="Q101" s="120">
        <v>34</v>
      </c>
      <c r="R101" s="120">
        <v>0</v>
      </c>
      <c r="S101" s="265">
        <f t="shared" si="48"/>
        <v>102</v>
      </c>
      <c r="T101" s="107">
        <v>33011</v>
      </c>
      <c r="V101" s="123">
        <f t="shared" si="49"/>
        <v>1</v>
      </c>
      <c r="W101" s="123">
        <f t="shared" si="50"/>
        <v>0</v>
      </c>
      <c r="X101" s="123">
        <f t="shared" si="51"/>
        <v>0</v>
      </c>
      <c r="Y101" s="123">
        <f t="shared" si="52"/>
        <v>0</v>
      </c>
      <c r="Z101" s="123">
        <f t="shared" si="53"/>
        <v>0</v>
      </c>
      <c r="AA101" s="123">
        <f t="shared" si="54"/>
        <v>0</v>
      </c>
      <c r="AB101" s="123">
        <f t="shared" si="55"/>
        <v>0</v>
      </c>
      <c r="AC101" s="123">
        <f t="shared" si="56"/>
        <v>0</v>
      </c>
      <c r="AD101" s="123">
        <f t="shared" si="57"/>
        <v>0</v>
      </c>
      <c r="AE101" s="123">
        <f t="shared" si="58"/>
        <v>1</v>
      </c>
      <c r="AF101" s="123">
        <f t="shared" si="59"/>
        <v>1</v>
      </c>
      <c r="AG101" s="123">
        <f t="shared" si="60"/>
        <v>0</v>
      </c>
      <c r="AH101" s="265">
        <f t="shared" si="41"/>
        <v>1</v>
      </c>
      <c r="AI101" s="118"/>
      <c r="AJ101" s="89"/>
      <c r="AK101" s="119"/>
      <c r="AL101" s="107"/>
      <c r="AM101" s="107"/>
      <c r="AN101" s="101"/>
      <c r="AO101" s="147"/>
      <c r="AP101" s="107"/>
      <c r="AQ101" s="107"/>
      <c r="AR101" s="107"/>
      <c r="AS101" s="268">
        <f t="shared" si="61"/>
        <v>1</v>
      </c>
      <c r="AT101" s="236">
        <f t="shared" si="62"/>
        <v>37.668903145904352</v>
      </c>
      <c r="AU101" s="229">
        <f t="shared" si="63"/>
        <v>452.02683775085222</v>
      </c>
      <c r="AV101" s="229">
        <f t="shared" si="64"/>
        <v>350.02683775085222</v>
      </c>
    </row>
    <row r="102" spans="1:48" s="144" customFormat="1" ht="12" customHeight="1">
      <c r="A102" s="107" t="str">
        <f t="shared" si="47"/>
        <v>PA-CF1YDEX</v>
      </c>
      <c r="B102" s="264" t="s">
        <v>221</v>
      </c>
      <c r="C102" s="264" t="s">
        <v>143</v>
      </c>
      <c r="D102" s="149">
        <v>24.69</v>
      </c>
      <c r="E102" s="148" t="s">
        <v>161</v>
      </c>
      <c r="F102" s="122"/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24.69</v>
      </c>
      <c r="Q102" s="120">
        <v>24.69</v>
      </c>
      <c r="R102" s="120">
        <v>24.69</v>
      </c>
      <c r="S102" s="265">
        <f t="shared" si="48"/>
        <v>74.070000000000007</v>
      </c>
      <c r="T102" s="107">
        <v>33011</v>
      </c>
      <c r="V102" s="123">
        <f t="shared" si="49"/>
        <v>0</v>
      </c>
      <c r="W102" s="123">
        <f t="shared" si="50"/>
        <v>0</v>
      </c>
      <c r="X102" s="123">
        <f t="shared" si="51"/>
        <v>0</v>
      </c>
      <c r="Y102" s="123">
        <f t="shared" si="52"/>
        <v>0</v>
      </c>
      <c r="Z102" s="123">
        <f t="shared" si="53"/>
        <v>0</v>
      </c>
      <c r="AA102" s="123">
        <f t="shared" si="54"/>
        <v>0</v>
      </c>
      <c r="AB102" s="123">
        <f t="shared" si="55"/>
        <v>0</v>
      </c>
      <c r="AC102" s="123">
        <f t="shared" si="56"/>
        <v>0</v>
      </c>
      <c r="AD102" s="123">
        <f t="shared" si="57"/>
        <v>0</v>
      </c>
      <c r="AE102" s="123">
        <f t="shared" si="58"/>
        <v>1</v>
      </c>
      <c r="AF102" s="123">
        <f t="shared" si="59"/>
        <v>1</v>
      </c>
      <c r="AG102" s="123">
        <f t="shared" si="60"/>
        <v>1</v>
      </c>
      <c r="AH102" s="265">
        <f t="shared" si="41"/>
        <v>1</v>
      </c>
      <c r="AI102" s="118"/>
      <c r="AJ102" s="89"/>
      <c r="AK102" s="119"/>
      <c r="AL102" s="107"/>
      <c r="AM102" s="107"/>
      <c r="AN102" s="101"/>
      <c r="AO102" s="147"/>
      <c r="AP102" s="107"/>
      <c r="AQ102" s="107"/>
      <c r="AR102" s="107"/>
      <c r="AS102" s="268">
        <f t="shared" si="61"/>
        <v>1</v>
      </c>
      <c r="AT102" s="236">
        <f t="shared" si="62"/>
        <v>27.354271137422895</v>
      </c>
      <c r="AU102" s="229">
        <f t="shared" si="63"/>
        <v>328.25125364907473</v>
      </c>
      <c r="AV102" s="229">
        <f t="shared" si="64"/>
        <v>254.18125364907473</v>
      </c>
    </row>
    <row r="103" spans="1:48" s="144" customFormat="1" ht="12" customHeight="1">
      <c r="A103" s="107" t="str">
        <f t="shared" si="47"/>
        <v>PA-CSP6-COM</v>
      </c>
      <c r="B103" s="264" t="s">
        <v>404</v>
      </c>
      <c r="C103" s="264" t="s">
        <v>405</v>
      </c>
      <c r="D103" s="149">
        <v>111.65</v>
      </c>
      <c r="E103" s="148" t="s">
        <v>161</v>
      </c>
      <c r="F103" s="122"/>
      <c r="G103" s="120">
        <v>111.65</v>
      </c>
      <c r="H103" s="120">
        <v>0</v>
      </c>
      <c r="I103" s="120">
        <v>0</v>
      </c>
      <c r="J103" s="120">
        <v>111.65</v>
      </c>
      <c r="K103" s="120">
        <v>0</v>
      </c>
      <c r="L103" s="120">
        <v>0</v>
      </c>
      <c r="M103" s="120">
        <v>111.65</v>
      </c>
      <c r="N103" s="120">
        <v>0</v>
      </c>
      <c r="O103" s="120">
        <v>0</v>
      </c>
      <c r="P103" s="120">
        <v>0</v>
      </c>
      <c r="Q103" s="120">
        <v>111.65</v>
      </c>
      <c r="R103" s="120">
        <v>223.3</v>
      </c>
      <c r="S103" s="265">
        <f t="shared" si="48"/>
        <v>669.90000000000009</v>
      </c>
      <c r="T103" s="107">
        <v>33010</v>
      </c>
      <c r="V103" s="123">
        <f t="shared" si="49"/>
        <v>1</v>
      </c>
      <c r="W103" s="123">
        <f t="shared" si="50"/>
        <v>0</v>
      </c>
      <c r="X103" s="123">
        <f t="shared" si="51"/>
        <v>0</v>
      </c>
      <c r="Y103" s="123">
        <f t="shared" si="52"/>
        <v>1</v>
      </c>
      <c r="Z103" s="123">
        <f t="shared" si="53"/>
        <v>0</v>
      </c>
      <c r="AA103" s="123">
        <f t="shared" si="54"/>
        <v>0</v>
      </c>
      <c r="AB103" s="123">
        <f t="shared" si="55"/>
        <v>1</v>
      </c>
      <c r="AC103" s="123">
        <f t="shared" si="56"/>
        <v>0</v>
      </c>
      <c r="AD103" s="123">
        <f t="shared" si="57"/>
        <v>0</v>
      </c>
      <c r="AE103" s="123">
        <f t="shared" si="58"/>
        <v>0</v>
      </c>
      <c r="AF103" s="123">
        <f t="shared" si="59"/>
        <v>1</v>
      </c>
      <c r="AG103" s="123">
        <f t="shared" si="60"/>
        <v>2</v>
      </c>
      <c r="AH103" s="265">
        <f t="shared" si="41"/>
        <v>1.2</v>
      </c>
      <c r="AI103" s="118"/>
      <c r="AJ103" s="89"/>
      <c r="AK103" s="119"/>
      <c r="AL103" s="107"/>
      <c r="AM103" s="107"/>
      <c r="AN103" s="101"/>
      <c r="AO103" s="147"/>
      <c r="AP103" s="107"/>
      <c r="AQ103" s="107"/>
      <c r="AR103" s="107"/>
      <c r="AS103" s="268">
        <f t="shared" si="61"/>
        <v>1.2</v>
      </c>
      <c r="AT103" s="236">
        <f t="shared" si="62"/>
        <v>123.69803047765356</v>
      </c>
      <c r="AU103" s="229">
        <f t="shared" si="63"/>
        <v>1781.2516388782115</v>
      </c>
      <c r="AV103" s="229">
        <f t="shared" si="64"/>
        <v>1111.3516388782114</v>
      </c>
    </row>
    <row r="104" spans="1:48" s="106" customFormat="1" ht="12" customHeight="1">
      <c r="A104" s="131" t="str">
        <f t="shared" si="47"/>
        <v>PA-CF3YD2W</v>
      </c>
      <c r="B104" s="264" t="s">
        <v>382</v>
      </c>
      <c r="C104" s="264" t="s">
        <v>383</v>
      </c>
      <c r="D104" s="149">
        <v>492.32</v>
      </c>
      <c r="E104" s="148" t="s">
        <v>161</v>
      </c>
      <c r="F104" s="122"/>
      <c r="G104" s="130">
        <v>492.32</v>
      </c>
      <c r="H104" s="130">
        <v>246.16</v>
      </c>
      <c r="I104" s="130">
        <v>0</v>
      </c>
      <c r="J104" s="130">
        <v>0</v>
      </c>
      <c r="K104" s="130">
        <v>0</v>
      </c>
      <c r="L104" s="130">
        <v>0</v>
      </c>
      <c r="M104" s="130">
        <v>0</v>
      </c>
      <c r="N104" s="130">
        <v>0</v>
      </c>
      <c r="O104" s="130">
        <v>0</v>
      </c>
      <c r="P104" s="130">
        <v>0</v>
      </c>
      <c r="Q104" s="130">
        <v>0</v>
      </c>
      <c r="R104" s="130">
        <v>0</v>
      </c>
      <c r="S104" s="265">
        <f t="shared" si="48"/>
        <v>738.48</v>
      </c>
      <c r="T104" s="131">
        <v>33010</v>
      </c>
      <c r="V104" s="130">
        <f t="shared" si="49"/>
        <v>1</v>
      </c>
      <c r="W104" s="130">
        <f t="shared" si="50"/>
        <v>0.5</v>
      </c>
      <c r="X104" s="130">
        <f t="shared" si="51"/>
        <v>0</v>
      </c>
      <c r="Y104" s="130">
        <f t="shared" si="52"/>
        <v>0</v>
      </c>
      <c r="Z104" s="130">
        <f t="shared" si="53"/>
        <v>0</v>
      </c>
      <c r="AA104" s="130">
        <f t="shared" si="54"/>
        <v>0</v>
      </c>
      <c r="AB104" s="130">
        <f t="shared" si="55"/>
        <v>0</v>
      </c>
      <c r="AC104" s="130">
        <f t="shared" si="56"/>
        <v>0</v>
      </c>
      <c r="AD104" s="130">
        <f t="shared" si="57"/>
        <v>0</v>
      </c>
      <c r="AE104" s="130">
        <f t="shared" si="58"/>
        <v>0</v>
      </c>
      <c r="AF104" s="130">
        <f t="shared" si="59"/>
        <v>0</v>
      </c>
      <c r="AG104" s="130">
        <f t="shared" si="60"/>
        <v>0</v>
      </c>
      <c r="AH104" s="285">
        <f>AVERAGE(V104:Z104)</f>
        <v>0.3</v>
      </c>
      <c r="AI104" s="118"/>
      <c r="AJ104" s="89"/>
      <c r="AK104" s="119" t="s">
        <v>488</v>
      </c>
      <c r="AL104" s="107"/>
      <c r="AM104" s="107"/>
      <c r="AN104" s="101">
        <v>1</v>
      </c>
      <c r="AO104" s="127">
        <f>+AH104*AN104</f>
        <v>0.3</v>
      </c>
      <c r="AP104" s="107"/>
      <c r="AQ104" s="107"/>
      <c r="AR104" s="440"/>
      <c r="AS104" s="268">
        <f t="shared" si="61"/>
        <v>0.3</v>
      </c>
      <c r="AT104" s="236">
        <f t="shared" si="62"/>
        <v>545.44571755269499</v>
      </c>
      <c r="AU104" s="229">
        <f t="shared" si="63"/>
        <v>1963.6045831897018</v>
      </c>
      <c r="AV104" s="229">
        <f t="shared" si="64"/>
        <v>1225.1245831897018</v>
      </c>
    </row>
    <row r="105" spans="1:48" s="144" customFormat="1" ht="12" customHeight="1">
      <c r="A105" s="107" t="str">
        <f t="shared" si="47"/>
        <v>PA-CF4YDEX</v>
      </c>
      <c r="B105" s="264" t="s">
        <v>232</v>
      </c>
      <c r="C105" s="264" t="s">
        <v>154</v>
      </c>
      <c r="D105" s="149">
        <v>80.709999999999994</v>
      </c>
      <c r="E105" s="148" t="s">
        <v>161</v>
      </c>
      <c r="F105" s="122"/>
      <c r="G105" s="120">
        <v>0</v>
      </c>
      <c r="H105" s="120">
        <v>80.709999999999994</v>
      </c>
      <c r="I105" s="120">
        <v>80.709999999999994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80.709999999999994</v>
      </c>
      <c r="Q105" s="120">
        <v>0</v>
      </c>
      <c r="R105" s="120">
        <v>403.55</v>
      </c>
      <c r="S105" s="265">
        <f t="shared" si="48"/>
        <v>645.68000000000006</v>
      </c>
      <c r="T105" s="107">
        <v>33011</v>
      </c>
      <c r="V105" s="123">
        <f t="shared" si="49"/>
        <v>0</v>
      </c>
      <c r="W105" s="123">
        <f t="shared" si="50"/>
        <v>1</v>
      </c>
      <c r="X105" s="123">
        <f t="shared" si="51"/>
        <v>1</v>
      </c>
      <c r="Y105" s="123">
        <f t="shared" si="52"/>
        <v>0</v>
      </c>
      <c r="Z105" s="123">
        <f t="shared" si="53"/>
        <v>0</v>
      </c>
      <c r="AA105" s="123">
        <f t="shared" si="54"/>
        <v>0</v>
      </c>
      <c r="AB105" s="123">
        <f t="shared" si="55"/>
        <v>0</v>
      </c>
      <c r="AC105" s="123">
        <f t="shared" si="56"/>
        <v>0</v>
      </c>
      <c r="AD105" s="123">
        <f t="shared" si="57"/>
        <v>0</v>
      </c>
      <c r="AE105" s="123">
        <f t="shared" si="58"/>
        <v>1</v>
      </c>
      <c r="AF105" s="123">
        <f t="shared" si="59"/>
        <v>0</v>
      </c>
      <c r="AG105" s="123">
        <f t="shared" si="60"/>
        <v>5.0000000000000009</v>
      </c>
      <c r="AH105" s="265">
        <f t="shared" ref="AH105:AH111" si="65">IFERROR(AVERAGEIF(V105:AG105,"&gt;0"),0)</f>
        <v>2</v>
      </c>
      <c r="AI105" s="118"/>
      <c r="AJ105" s="89"/>
      <c r="AK105" s="119"/>
      <c r="AL105" s="107"/>
      <c r="AM105" s="107"/>
      <c r="AN105" s="101"/>
      <c r="AO105" s="147"/>
      <c r="AP105" s="107"/>
      <c r="AQ105" s="107"/>
      <c r="AR105" s="107"/>
      <c r="AS105" s="268">
        <f t="shared" si="61"/>
        <v>2</v>
      </c>
      <c r="AT105" s="236">
        <f t="shared" si="62"/>
        <v>89.419328614880584</v>
      </c>
      <c r="AU105" s="229">
        <f t="shared" si="63"/>
        <v>2146.0638867571342</v>
      </c>
      <c r="AV105" s="229">
        <f t="shared" si="64"/>
        <v>1500.3838867571342</v>
      </c>
    </row>
    <row r="106" spans="1:48" s="144" customFormat="1" ht="12" customHeight="1">
      <c r="A106" s="107" t="str">
        <f t="shared" si="47"/>
        <v>PA-CSP3-COM</v>
      </c>
      <c r="B106" s="264" t="s">
        <v>406</v>
      </c>
      <c r="C106" s="264" t="s">
        <v>407</v>
      </c>
      <c r="D106" s="149">
        <v>59.85</v>
      </c>
      <c r="E106" s="148" t="s">
        <v>161</v>
      </c>
      <c r="F106" s="122"/>
      <c r="G106" s="120">
        <v>59.85</v>
      </c>
      <c r="H106" s="120">
        <v>0</v>
      </c>
      <c r="I106" s="120">
        <v>59.85</v>
      </c>
      <c r="J106" s="120">
        <v>0</v>
      </c>
      <c r="K106" s="120">
        <v>0</v>
      </c>
      <c r="L106" s="120">
        <v>0</v>
      </c>
      <c r="M106" s="120">
        <v>59.85</v>
      </c>
      <c r="N106" s="120">
        <v>119.7</v>
      </c>
      <c r="O106" s="120">
        <v>59.85</v>
      </c>
      <c r="P106" s="120">
        <v>59.85</v>
      </c>
      <c r="Q106" s="120">
        <v>59.85</v>
      </c>
      <c r="R106" s="120">
        <v>59.85</v>
      </c>
      <c r="S106" s="265">
        <f t="shared" si="48"/>
        <v>538.65000000000009</v>
      </c>
      <c r="T106" s="107">
        <v>33010</v>
      </c>
      <c r="V106" s="123">
        <f t="shared" si="49"/>
        <v>1</v>
      </c>
      <c r="W106" s="123">
        <f t="shared" si="50"/>
        <v>0</v>
      </c>
      <c r="X106" s="123">
        <f t="shared" si="51"/>
        <v>1</v>
      </c>
      <c r="Y106" s="123">
        <f t="shared" si="52"/>
        <v>0</v>
      </c>
      <c r="Z106" s="123">
        <f t="shared" si="53"/>
        <v>0</v>
      </c>
      <c r="AA106" s="123">
        <f t="shared" si="54"/>
        <v>0</v>
      </c>
      <c r="AB106" s="123">
        <f t="shared" si="55"/>
        <v>1</v>
      </c>
      <c r="AC106" s="123">
        <f t="shared" si="56"/>
        <v>2</v>
      </c>
      <c r="AD106" s="123">
        <f t="shared" si="57"/>
        <v>1</v>
      </c>
      <c r="AE106" s="123">
        <f t="shared" si="58"/>
        <v>1</v>
      </c>
      <c r="AF106" s="123">
        <f t="shared" si="59"/>
        <v>1</v>
      </c>
      <c r="AG106" s="123">
        <f t="shared" si="60"/>
        <v>1</v>
      </c>
      <c r="AH106" s="265">
        <f t="shared" si="65"/>
        <v>1.125</v>
      </c>
      <c r="AI106" s="118"/>
      <c r="AJ106" s="89"/>
      <c r="AK106" s="119"/>
      <c r="AL106" s="107"/>
      <c r="AM106" s="107"/>
      <c r="AN106" s="101"/>
      <c r="AO106" s="147"/>
      <c r="AP106" s="107"/>
      <c r="AQ106" s="107"/>
      <c r="AR106" s="107"/>
      <c r="AS106" s="268">
        <f t="shared" si="61"/>
        <v>1.125</v>
      </c>
      <c r="AT106" s="236">
        <f t="shared" si="62"/>
        <v>66.30834862595222</v>
      </c>
      <c r="AU106" s="229">
        <f t="shared" si="63"/>
        <v>895.16270645035502</v>
      </c>
      <c r="AV106" s="229">
        <f t="shared" si="64"/>
        <v>356.51270645035493</v>
      </c>
    </row>
    <row r="107" spans="1:48" s="144" customFormat="1" ht="12" customHeight="1">
      <c r="A107" s="107" t="str">
        <f t="shared" si="47"/>
        <v>PA-CF6YDEX</v>
      </c>
      <c r="B107" s="264" t="s">
        <v>234</v>
      </c>
      <c r="C107" s="264" t="s">
        <v>155</v>
      </c>
      <c r="D107" s="149">
        <v>111.65</v>
      </c>
      <c r="E107" s="148" t="s">
        <v>161</v>
      </c>
      <c r="F107" s="122"/>
      <c r="G107" s="120">
        <v>0</v>
      </c>
      <c r="H107" s="120">
        <v>0</v>
      </c>
      <c r="I107" s="120">
        <v>0</v>
      </c>
      <c r="J107" s="120">
        <v>0</v>
      </c>
      <c r="K107" s="120">
        <v>111.65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223.3</v>
      </c>
      <c r="R107" s="120">
        <v>334.95</v>
      </c>
      <c r="S107" s="265">
        <f t="shared" si="48"/>
        <v>669.90000000000009</v>
      </c>
      <c r="T107" s="107">
        <v>33011</v>
      </c>
      <c r="V107" s="123">
        <f t="shared" si="49"/>
        <v>0</v>
      </c>
      <c r="W107" s="123">
        <f t="shared" si="50"/>
        <v>0</v>
      </c>
      <c r="X107" s="123">
        <f t="shared" si="51"/>
        <v>0</v>
      </c>
      <c r="Y107" s="123">
        <f t="shared" si="52"/>
        <v>0</v>
      </c>
      <c r="Z107" s="123">
        <f t="shared" si="53"/>
        <v>1</v>
      </c>
      <c r="AA107" s="123">
        <f t="shared" si="54"/>
        <v>0</v>
      </c>
      <c r="AB107" s="123">
        <f t="shared" si="55"/>
        <v>0</v>
      </c>
      <c r="AC107" s="123">
        <f t="shared" si="56"/>
        <v>0</v>
      </c>
      <c r="AD107" s="123">
        <f t="shared" si="57"/>
        <v>0</v>
      </c>
      <c r="AE107" s="123">
        <f t="shared" si="58"/>
        <v>0</v>
      </c>
      <c r="AF107" s="123">
        <f t="shared" si="59"/>
        <v>2</v>
      </c>
      <c r="AG107" s="123">
        <f t="shared" si="60"/>
        <v>2.9999999999999996</v>
      </c>
      <c r="AH107" s="265">
        <f t="shared" si="65"/>
        <v>2</v>
      </c>
      <c r="AI107" s="118"/>
      <c r="AJ107" s="89"/>
      <c r="AK107" s="119"/>
      <c r="AL107" s="107"/>
      <c r="AM107" s="107"/>
      <c r="AN107" s="101"/>
      <c r="AO107" s="147"/>
      <c r="AP107" s="107"/>
      <c r="AQ107" s="107"/>
      <c r="AR107" s="107"/>
      <c r="AS107" s="268">
        <f t="shared" si="61"/>
        <v>2</v>
      </c>
      <c r="AT107" s="236">
        <f t="shared" si="62"/>
        <v>123.69803047765356</v>
      </c>
      <c r="AU107" s="229">
        <f t="shared" si="63"/>
        <v>2968.7527314636854</v>
      </c>
      <c r="AV107" s="229">
        <f t="shared" si="64"/>
        <v>2298.8527314636854</v>
      </c>
    </row>
    <row r="108" spans="1:48" s="106" customFormat="1" ht="12" customHeight="1">
      <c r="A108" s="131" t="str">
        <f t="shared" si="47"/>
        <v>PA-CF6YD1M</v>
      </c>
      <c r="B108" s="264" t="s">
        <v>220</v>
      </c>
      <c r="C108" s="264" t="s">
        <v>142</v>
      </c>
      <c r="D108" s="149">
        <v>108.65</v>
      </c>
      <c r="E108" s="148" t="s">
        <v>161</v>
      </c>
      <c r="F108" s="122"/>
      <c r="G108" s="130">
        <v>325.95</v>
      </c>
      <c r="H108" s="130">
        <v>325.95</v>
      </c>
      <c r="I108" s="130">
        <v>325.95</v>
      </c>
      <c r="J108" s="130">
        <v>434.6</v>
      </c>
      <c r="K108" s="130">
        <v>434.6</v>
      </c>
      <c r="L108" s="130">
        <v>434.6</v>
      </c>
      <c r="M108" s="130">
        <v>434.6</v>
      </c>
      <c r="N108" s="130">
        <v>434.6</v>
      </c>
      <c r="O108" s="130">
        <v>434.6</v>
      </c>
      <c r="P108" s="130">
        <v>434.6</v>
      </c>
      <c r="Q108" s="130">
        <v>434.6</v>
      </c>
      <c r="R108" s="130">
        <v>434.6</v>
      </c>
      <c r="S108" s="265">
        <f t="shared" si="48"/>
        <v>4889.25</v>
      </c>
      <c r="T108" s="131">
        <v>33010</v>
      </c>
      <c r="V108" s="130">
        <f t="shared" si="49"/>
        <v>2.9999999999999996</v>
      </c>
      <c r="W108" s="130">
        <f t="shared" si="50"/>
        <v>2.9999999999999996</v>
      </c>
      <c r="X108" s="130">
        <f t="shared" si="51"/>
        <v>2.9999999999999996</v>
      </c>
      <c r="Y108" s="130">
        <f t="shared" si="52"/>
        <v>4</v>
      </c>
      <c r="Z108" s="130">
        <f t="shared" si="53"/>
        <v>4</v>
      </c>
      <c r="AA108" s="130">
        <f t="shared" si="54"/>
        <v>4</v>
      </c>
      <c r="AB108" s="130">
        <f t="shared" si="55"/>
        <v>4</v>
      </c>
      <c r="AC108" s="130">
        <f t="shared" si="56"/>
        <v>4</v>
      </c>
      <c r="AD108" s="130">
        <f t="shared" si="57"/>
        <v>4</v>
      </c>
      <c r="AE108" s="130">
        <f t="shared" si="58"/>
        <v>4</v>
      </c>
      <c r="AF108" s="130">
        <f t="shared" si="59"/>
        <v>4</v>
      </c>
      <c r="AG108" s="130">
        <f t="shared" si="60"/>
        <v>4</v>
      </c>
      <c r="AH108" s="265">
        <f t="shared" si="65"/>
        <v>3.75</v>
      </c>
      <c r="AI108" s="118"/>
      <c r="AJ108" s="89"/>
      <c r="AK108" s="119" t="s">
        <v>482</v>
      </c>
      <c r="AL108" s="107"/>
      <c r="AM108" s="107"/>
      <c r="AN108" s="101">
        <v>1</v>
      </c>
      <c r="AO108" s="127">
        <f>+AH108*AN108</f>
        <v>3.75</v>
      </c>
      <c r="AP108" s="107"/>
      <c r="AQ108" s="107"/>
      <c r="AR108" s="107"/>
      <c r="AS108" s="268">
        <f t="shared" si="61"/>
        <v>3.75</v>
      </c>
      <c r="AT108" s="236">
        <f t="shared" si="62"/>
        <v>120.37430372948552</v>
      </c>
      <c r="AU108" s="229">
        <f t="shared" si="63"/>
        <v>5416.8436678268481</v>
      </c>
      <c r="AV108" s="229">
        <f t="shared" si="64"/>
        <v>527.5936678268481</v>
      </c>
    </row>
    <row r="109" spans="1:48" s="144" customFormat="1" ht="12" customHeight="1">
      <c r="A109" s="107" t="str">
        <f t="shared" si="47"/>
        <v>PA-CF3YDEX</v>
      </c>
      <c r="B109" s="264" t="s">
        <v>231</v>
      </c>
      <c r="C109" s="264" t="s">
        <v>153</v>
      </c>
      <c r="D109" s="149">
        <v>59.85</v>
      </c>
      <c r="E109" s="148" t="s">
        <v>161</v>
      </c>
      <c r="F109" s="122"/>
      <c r="G109" s="120">
        <v>0</v>
      </c>
      <c r="H109" s="120">
        <v>0</v>
      </c>
      <c r="I109" s="120">
        <v>0</v>
      </c>
      <c r="J109" s="120">
        <v>0</v>
      </c>
      <c r="K109" s="120">
        <v>59.85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59.85</v>
      </c>
      <c r="S109" s="265">
        <f t="shared" si="48"/>
        <v>119.7</v>
      </c>
      <c r="T109" s="107">
        <v>33011</v>
      </c>
      <c r="V109" s="123">
        <f t="shared" si="49"/>
        <v>0</v>
      </c>
      <c r="W109" s="123">
        <f t="shared" si="50"/>
        <v>0</v>
      </c>
      <c r="X109" s="123">
        <f t="shared" si="51"/>
        <v>0</v>
      </c>
      <c r="Y109" s="123">
        <f t="shared" si="52"/>
        <v>0</v>
      </c>
      <c r="Z109" s="123">
        <f t="shared" si="53"/>
        <v>1</v>
      </c>
      <c r="AA109" s="123">
        <f t="shared" si="54"/>
        <v>0</v>
      </c>
      <c r="AB109" s="123">
        <f t="shared" si="55"/>
        <v>0</v>
      </c>
      <c r="AC109" s="123">
        <f t="shared" si="56"/>
        <v>0</v>
      </c>
      <c r="AD109" s="123">
        <f t="shared" si="57"/>
        <v>0</v>
      </c>
      <c r="AE109" s="123">
        <f t="shared" si="58"/>
        <v>0</v>
      </c>
      <c r="AF109" s="123">
        <f t="shared" si="59"/>
        <v>0</v>
      </c>
      <c r="AG109" s="123">
        <f t="shared" si="60"/>
        <v>1</v>
      </c>
      <c r="AH109" s="265">
        <f t="shared" si="65"/>
        <v>1</v>
      </c>
      <c r="AI109" s="118"/>
      <c r="AJ109" s="89"/>
      <c r="AK109" s="119"/>
      <c r="AL109" s="107"/>
      <c r="AM109" s="107"/>
      <c r="AN109" s="101"/>
      <c r="AO109" s="147"/>
      <c r="AP109" s="107"/>
      <c r="AQ109" s="107"/>
      <c r="AR109" s="107"/>
      <c r="AS109" s="268">
        <f t="shared" si="61"/>
        <v>1</v>
      </c>
      <c r="AT109" s="236">
        <f t="shared" si="62"/>
        <v>66.30834862595222</v>
      </c>
      <c r="AU109" s="229">
        <f t="shared" si="63"/>
        <v>795.70018351142664</v>
      </c>
      <c r="AV109" s="229">
        <f t="shared" si="64"/>
        <v>676.0001835114266</v>
      </c>
    </row>
    <row r="110" spans="1:48" s="144" customFormat="1" ht="12" customHeight="1">
      <c r="A110" s="107" t="str">
        <f t="shared" si="47"/>
        <v>PA-CR6YDEX</v>
      </c>
      <c r="B110" s="264" t="s">
        <v>408</v>
      </c>
      <c r="C110" s="264" t="s">
        <v>409</v>
      </c>
      <c r="D110" s="149">
        <v>111.65</v>
      </c>
      <c r="E110" s="148" t="s">
        <v>161</v>
      </c>
      <c r="F110" s="122"/>
      <c r="G110" s="120">
        <v>0</v>
      </c>
      <c r="H110" s="120">
        <v>0</v>
      </c>
      <c r="I110" s="120">
        <v>0</v>
      </c>
      <c r="J110" s="120">
        <v>0</v>
      </c>
      <c r="K110" s="120">
        <v>111.65</v>
      </c>
      <c r="L110" s="120">
        <v>223.3</v>
      </c>
      <c r="M110" s="120">
        <v>0</v>
      </c>
      <c r="N110" s="120">
        <v>0</v>
      </c>
      <c r="O110" s="120">
        <v>0</v>
      </c>
      <c r="P110" s="120">
        <v>0</v>
      </c>
      <c r="Q110" s="120">
        <v>0</v>
      </c>
      <c r="R110" s="120">
        <v>0</v>
      </c>
      <c r="S110" s="265">
        <f t="shared" si="48"/>
        <v>334.95000000000005</v>
      </c>
      <c r="T110" s="107">
        <v>33011</v>
      </c>
      <c r="V110" s="123">
        <f t="shared" si="49"/>
        <v>0</v>
      </c>
      <c r="W110" s="123">
        <f t="shared" si="50"/>
        <v>0</v>
      </c>
      <c r="X110" s="123">
        <f t="shared" si="51"/>
        <v>0</v>
      </c>
      <c r="Y110" s="123">
        <f t="shared" si="52"/>
        <v>0</v>
      </c>
      <c r="Z110" s="123">
        <f t="shared" si="53"/>
        <v>1</v>
      </c>
      <c r="AA110" s="123">
        <f t="shared" si="54"/>
        <v>2</v>
      </c>
      <c r="AB110" s="123">
        <f t="shared" si="55"/>
        <v>0</v>
      </c>
      <c r="AC110" s="123">
        <f t="shared" si="56"/>
        <v>0</v>
      </c>
      <c r="AD110" s="123">
        <f t="shared" si="57"/>
        <v>0</v>
      </c>
      <c r="AE110" s="123">
        <f t="shared" si="58"/>
        <v>0</v>
      </c>
      <c r="AF110" s="123">
        <f t="shared" si="59"/>
        <v>0</v>
      </c>
      <c r="AG110" s="123">
        <f t="shared" si="60"/>
        <v>0</v>
      </c>
      <c r="AH110" s="265">
        <f t="shared" si="65"/>
        <v>1.5</v>
      </c>
      <c r="AI110" s="118"/>
      <c r="AJ110" s="89"/>
      <c r="AK110" s="119"/>
      <c r="AL110" s="107"/>
      <c r="AM110" s="107"/>
      <c r="AN110" s="101"/>
      <c r="AO110" s="147"/>
      <c r="AP110" s="107"/>
      <c r="AQ110" s="107"/>
      <c r="AR110" s="107"/>
      <c r="AS110" s="268">
        <f t="shared" si="61"/>
        <v>1.5</v>
      </c>
      <c r="AT110" s="236">
        <f t="shared" si="62"/>
        <v>123.69803047765356</v>
      </c>
      <c r="AU110" s="229">
        <f t="shared" si="63"/>
        <v>2226.5645485977639</v>
      </c>
      <c r="AV110" s="229">
        <f t="shared" si="64"/>
        <v>1891.6145485977638</v>
      </c>
    </row>
    <row r="111" spans="1:48" s="144" customFormat="1" ht="12" customHeight="1">
      <c r="A111" s="107" t="str">
        <f t="shared" si="47"/>
        <v>PA-CSP4-COM</v>
      </c>
      <c r="B111" s="264" t="s">
        <v>410</v>
      </c>
      <c r="C111" s="264" t="s">
        <v>411</v>
      </c>
      <c r="D111" s="149">
        <v>80.709999999999994</v>
      </c>
      <c r="E111" s="148" t="s">
        <v>161</v>
      </c>
      <c r="F111" s="122"/>
      <c r="G111" s="120">
        <v>161.41999999999999</v>
      </c>
      <c r="H111" s="120">
        <v>0</v>
      </c>
      <c r="I111" s="120">
        <v>0</v>
      </c>
      <c r="J111" s="120">
        <v>0</v>
      </c>
      <c r="K111" s="120">
        <v>80.709999999999994</v>
      </c>
      <c r="L111" s="120">
        <v>80.709999999999994</v>
      </c>
      <c r="M111" s="120">
        <v>0</v>
      </c>
      <c r="N111" s="120">
        <v>161.41999999999999</v>
      </c>
      <c r="O111" s="120">
        <v>0</v>
      </c>
      <c r="P111" s="120">
        <v>80.709999999999994</v>
      </c>
      <c r="Q111" s="120">
        <v>242.13</v>
      </c>
      <c r="R111" s="120">
        <v>80.709999999999994</v>
      </c>
      <c r="S111" s="265">
        <f t="shared" si="48"/>
        <v>887.81000000000006</v>
      </c>
      <c r="T111" s="107">
        <v>33010</v>
      </c>
      <c r="V111" s="123">
        <f t="shared" si="49"/>
        <v>2</v>
      </c>
      <c r="W111" s="123">
        <f t="shared" si="50"/>
        <v>0</v>
      </c>
      <c r="X111" s="123">
        <f t="shared" si="51"/>
        <v>0</v>
      </c>
      <c r="Y111" s="123">
        <f t="shared" si="52"/>
        <v>0</v>
      </c>
      <c r="Z111" s="123">
        <f t="shared" si="53"/>
        <v>1</v>
      </c>
      <c r="AA111" s="123">
        <f t="shared" si="54"/>
        <v>1</v>
      </c>
      <c r="AB111" s="123">
        <f t="shared" si="55"/>
        <v>0</v>
      </c>
      <c r="AC111" s="123">
        <f t="shared" si="56"/>
        <v>2</v>
      </c>
      <c r="AD111" s="123">
        <f t="shared" si="57"/>
        <v>0</v>
      </c>
      <c r="AE111" s="123">
        <f t="shared" si="58"/>
        <v>1</v>
      </c>
      <c r="AF111" s="123">
        <f t="shared" si="59"/>
        <v>3</v>
      </c>
      <c r="AG111" s="123">
        <f t="shared" si="60"/>
        <v>1</v>
      </c>
      <c r="AH111" s="265">
        <f t="shared" si="65"/>
        <v>1.5714285714285714</v>
      </c>
      <c r="AI111" s="118"/>
      <c r="AJ111" s="89"/>
      <c r="AK111" s="119"/>
      <c r="AL111" s="107"/>
      <c r="AM111" s="107"/>
      <c r="AN111" s="101"/>
      <c r="AO111" s="147"/>
      <c r="AP111" s="107"/>
      <c r="AQ111" s="107"/>
      <c r="AR111" s="107"/>
      <c r="AS111" s="268">
        <f t="shared" si="61"/>
        <v>1.5714285714285714</v>
      </c>
      <c r="AT111" s="236">
        <f t="shared" si="62"/>
        <v>89.419328614880584</v>
      </c>
      <c r="AU111" s="229">
        <f t="shared" si="63"/>
        <v>1686.1930538806052</v>
      </c>
      <c r="AV111" s="229">
        <f t="shared" si="64"/>
        <v>798.38305388060519</v>
      </c>
    </row>
    <row r="112" spans="1:48" s="106" customFormat="1" ht="12" customHeight="1">
      <c r="A112" s="131" t="str">
        <f t="shared" si="47"/>
        <v>PA-CF8YDEOW</v>
      </c>
      <c r="B112" s="264" t="s">
        <v>384</v>
      </c>
      <c r="C112" s="264" t="s">
        <v>385</v>
      </c>
      <c r="D112" s="149">
        <v>316.36</v>
      </c>
      <c r="E112" s="148" t="s">
        <v>161</v>
      </c>
      <c r="F112" s="122"/>
      <c r="G112" s="130">
        <v>0</v>
      </c>
      <c r="H112" s="130">
        <v>0</v>
      </c>
      <c r="I112" s="130">
        <v>0</v>
      </c>
      <c r="J112" s="130">
        <v>158.18</v>
      </c>
      <c r="K112" s="130">
        <v>316.36</v>
      </c>
      <c r="L112" s="130">
        <v>316.36</v>
      </c>
      <c r="M112" s="130">
        <v>316.36</v>
      </c>
      <c r="N112" s="130">
        <v>0</v>
      </c>
      <c r="O112" s="130">
        <v>0</v>
      </c>
      <c r="P112" s="130">
        <v>0</v>
      </c>
      <c r="Q112" s="130">
        <v>0</v>
      </c>
      <c r="R112" s="130">
        <v>0</v>
      </c>
      <c r="S112" s="265">
        <f t="shared" si="48"/>
        <v>1107.2600000000002</v>
      </c>
      <c r="T112" s="131">
        <v>33000</v>
      </c>
      <c r="V112" s="130">
        <f t="shared" si="49"/>
        <v>0</v>
      </c>
      <c r="W112" s="130">
        <f t="shared" si="50"/>
        <v>0</v>
      </c>
      <c r="X112" s="130">
        <f t="shared" si="51"/>
        <v>0</v>
      </c>
      <c r="Y112" s="130">
        <f t="shared" si="52"/>
        <v>0.5</v>
      </c>
      <c r="Z112" s="130">
        <f t="shared" si="53"/>
        <v>1</v>
      </c>
      <c r="AA112" s="130">
        <f t="shared" si="54"/>
        <v>1</v>
      </c>
      <c r="AB112" s="130">
        <f t="shared" si="55"/>
        <v>1</v>
      </c>
      <c r="AC112" s="130">
        <f t="shared" si="56"/>
        <v>0</v>
      </c>
      <c r="AD112" s="130">
        <f t="shared" si="57"/>
        <v>0</v>
      </c>
      <c r="AE112" s="130">
        <f t="shared" si="58"/>
        <v>0</v>
      </c>
      <c r="AF112" s="130">
        <f t="shared" si="59"/>
        <v>0</v>
      </c>
      <c r="AG112" s="130">
        <f t="shared" si="60"/>
        <v>0</v>
      </c>
      <c r="AH112" s="265">
        <f>AVERAGE(V112:AG112)</f>
        <v>0.29166666666666669</v>
      </c>
      <c r="AI112" s="118"/>
      <c r="AJ112" s="89"/>
      <c r="AK112" s="119" t="s">
        <v>487</v>
      </c>
      <c r="AL112" s="107"/>
      <c r="AM112" s="107"/>
      <c r="AN112" s="101">
        <v>1</v>
      </c>
      <c r="AO112" s="127">
        <f>+AH112*AN112</f>
        <v>0.29166666666666669</v>
      </c>
      <c r="AP112" s="107"/>
      <c r="AQ112" s="107"/>
      <c r="AR112" s="107"/>
      <c r="AS112" s="268">
        <f t="shared" si="61"/>
        <v>0.29166666666666669</v>
      </c>
      <c r="AT112" s="236">
        <f t="shared" si="62"/>
        <v>350.49806468347941</v>
      </c>
      <c r="AU112" s="229">
        <f t="shared" si="63"/>
        <v>1226.743226392178</v>
      </c>
      <c r="AV112" s="229">
        <f t="shared" si="64"/>
        <v>119.48322639217781</v>
      </c>
    </row>
    <row r="113" spans="1:48" s="106" customFormat="1" ht="12" customHeight="1">
      <c r="A113" s="131" t="str">
        <f t="shared" si="47"/>
        <v>PA-C32CW1</v>
      </c>
      <c r="B113" s="100" t="s">
        <v>236</v>
      </c>
      <c r="C113" s="100" t="s">
        <v>157</v>
      </c>
      <c r="D113" s="149">
        <v>22.99</v>
      </c>
      <c r="E113" s="148" t="s">
        <v>162</v>
      </c>
      <c r="F113" s="122"/>
      <c r="G113" s="130">
        <v>22.99</v>
      </c>
      <c r="H113" s="130">
        <v>22.99</v>
      </c>
      <c r="I113" s="130">
        <v>22.99</v>
      </c>
      <c r="J113" s="130">
        <v>22.99</v>
      </c>
      <c r="K113" s="130">
        <v>22.99</v>
      </c>
      <c r="L113" s="130">
        <v>22.99</v>
      </c>
      <c r="M113" s="130">
        <v>22.99</v>
      </c>
      <c r="N113" s="130">
        <v>22.99</v>
      </c>
      <c r="O113" s="130">
        <v>22.99</v>
      </c>
      <c r="P113" s="130">
        <v>22.99</v>
      </c>
      <c r="Q113" s="130">
        <v>22.99</v>
      </c>
      <c r="R113" s="130">
        <v>22.99</v>
      </c>
      <c r="S113" s="130">
        <f t="shared" si="48"/>
        <v>275.88000000000005</v>
      </c>
      <c r="T113" s="131">
        <v>33010</v>
      </c>
      <c r="V113" s="130">
        <f t="shared" si="49"/>
        <v>1</v>
      </c>
      <c r="W113" s="130">
        <f t="shared" si="50"/>
        <v>1</v>
      </c>
      <c r="X113" s="130">
        <f t="shared" si="51"/>
        <v>1</v>
      </c>
      <c r="Y113" s="130">
        <f t="shared" si="52"/>
        <v>1</v>
      </c>
      <c r="Z113" s="130">
        <f t="shared" si="53"/>
        <v>1</v>
      </c>
      <c r="AA113" s="130">
        <f t="shared" si="54"/>
        <v>1</v>
      </c>
      <c r="AB113" s="130">
        <f t="shared" si="55"/>
        <v>1</v>
      </c>
      <c r="AC113" s="130">
        <f t="shared" si="56"/>
        <v>1</v>
      </c>
      <c r="AD113" s="130">
        <f t="shared" si="57"/>
        <v>1</v>
      </c>
      <c r="AE113" s="130">
        <f t="shared" si="58"/>
        <v>1</v>
      </c>
      <c r="AF113" s="130">
        <f t="shared" si="59"/>
        <v>1</v>
      </c>
      <c r="AG113" s="130">
        <f t="shared" si="60"/>
        <v>1</v>
      </c>
      <c r="AH113" s="130">
        <f t="shared" ref="AH113:AH118" si="66">IFERROR(AVERAGEIF(V113:AG113,"&gt;0"),0)</f>
        <v>1</v>
      </c>
      <c r="AI113" s="118"/>
      <c r="AJ113" s="89"/>
      <c r="AK113" s="119">
        <v>32</v>
      </c>
      <c r="AL113" s="101">
        <v>0</v>
      </c>
      <c r="AM113" s="127">
        <f>+AH113*AL113</f>
        <v>0</v>
      </c>
      <c r="AN113" s="101"/>
      <c r="AO113" s="127"/>
      <c r="AP113" s="107"/>
      <c r="AQ113" s="107"/>
      <c r="AR113" s="107"/>
      <c r="AS113" s="237">
        <f>+AH113-AH113</f>
        <v>0</v>
      </c>
      <c r="AT113" s="236">
        <f t="shared" si="62"/>
        <v>25.470825980127675</v>
      </c>
      <c r="AU113" s="229">
        <f>+AT113*AS113*12</f>
        <v>0</v>
      </c>
      <c r="AV113" s="229">
        <f t="shared" si="64"/>
        <v>-275.88000000000005</v>
      </c>
    </row>
    <row r="114" spans="1:48" s="144" customFormat="1" ht="12" customHeight="1">
      <c r="A114" s="107" t="str">
        <f t="shared" si="47"/>
        <v>PA-CCCARRYOUT 5-25</v>
      </c>
      <c r="B114" s="99" t="s">
        <v>253</v>
      </c>
      <c r="C114" s="99" t="s">
        <v>254</v>
      </c>
      <c r="D114" s="149">
        <v>1.65</v>
      </c>
      <c r="E114" s="148">
        <v>19</v>
      </c>
      <c r="F114" s="122"/>
      <c r="G114" s="120">
        <v>3.3</v>
      </c>
      <c r="H114" s="120">
        <v>3.3</v>
      </c>
      <c r="I114" s="120">
        <v>3.3</v>
      </c>
      <c r="J114" s="120">
        <v>3.3</v>
      </c>
      <c r="K114" s="120">
        <v>3.3</v>
      </c>
      <c r="L114" s="120">
        <v>3.3</v>
      </c>
      <c r="M114" s="120">
        <v>3.3</v>
      </c>
      <c r="N114" s="120">
        <v>3.3</v>
      </c>
      <c r="O114" s="120">
        <v>3.3</v>
      </c>
      <c r="P114" s="120">
        <v>3.3</v>
      </c>
      <c r="Q114" s="120">
        <v>3.3</v>
      </c>
      <c r="R114" s="120">
        <v>3.3</v>
      </c>
      <c r="S114" s="120">
        <f t="shared" si="48"/>
        <v>39.599999999999994</v>
      </c>
      <c r="T114" s="107">
        <v>33011</v>
      </c>
      <c r="V114" s="123">
        <f t="shared" si="49"/>
        <v>2</v>
      </c>
      <c r="W114" s="123">
        <f t="shared" si="50"/>
        <v>2</v>
      </c>
      <c r="X114" s="123">
        <f t="shared" si="51"/>
        <v>2</v>
      </c>
      <c r="Y114" s="123">
        <f t="shared" si="52"/>
        <v>2</v>
      </c>
      <c r="Z114" s="123">
        <f t="shared" si="53"/>
        <v>2</v>
      </c>
      <c r="AA114" s="123">
        <f t="shared" si="54"/>
        <v>2</v>
      </c>
      <c r="AB114" s="123">
        <f t="shared" si="55"/>
        <v>2</v>
      </c>
      <c r="AC114" s="123">
        <f t="shared" si="56"/>
        <v>2</v>
      </c>
      <c r="AD114" s="123">
        <f t="shared" si="57"/>
        <v>2</v>
      </c>
      <c r="AE114" s="123">
        <f t="shared" si="58"/>
        <v>2</v>
      </c>
      <c r="AF114" s="123">
        <f t="shared" si="59"/>
        <v>2</v>
      </c>
      <c r="AG114" s="123">
        <f t="shared" si="60"/>
        <v>2</v>
      </c>
      <c r="AH114" s="120">
        <f t="shared" si="66"/>
        <v>2</v>
      </c>
      <c r="AI114" s="118"/>
      <c r="AJ114" s="89"/>
      <c r="AK114" s="119"/>
      <c r="AL114" s="107"/>
      <c r="AM114" s="107"/>
      <c r="AN114" s="101"/>
      <c r="AO114" s="147"/>
      <c r="AP114" s="107"/>
      <c r="AQ114" s="107"/>
      <c r="AR114" s="107"/>
      <c r="AS114" s="89">
        <f t="shared" ref="AS114:AS133" si="67">+AH114</f>
        <v>2</v>
      </c>
      <c r="AT114" s="236">
        <f t="shared" si="62"/>
        <v>1.8280497114924168</v>
      </c>
      <c r="AU114" s="229">
        <f t="shared" ref="AU114:AU133" si="68">+AT114*AH114*12</f>
        <v>43.873193075818001</v>
      </c>
      <c r="AV114" s="229">
        <f t="shared" si="64"/>
        <v>4.273193075818007</v>
      </c>
    </row>
    <row r="115" spans="1:48" s="144" customFormat="1" ht="12" customHeight="1">
      <c r="A115" s="107" t="str">
        <f t="shared" si="47"/>
        <v>PA-CCEXYD</v>
      </c>
      <c r="B115" s="264" t="s">
        <v>240</v>
      </c>
      <c r="C115" s="264" t="s">
        <v>241</v>
      </c>
      <c r="D115" s="149">
        <v>28.44</v>
      </c>
      <c r="E115" s="148" t="s">
        <v>162</v>
      </c>
      <c r="F115" s="122"/>
      <c r="G115" s="120">
        <v>156.41999999999999</v>
      </c>
      <c r="H115" s="120">
        <v>127.98</v>
      </c>
      <c r="I115" s="120">
        <v>149.31</v>
      </c>
      <c r="J115" s="120">
        <v>106.65</v>
      </c>
      <c r="K115" s="120">
        <v>99.54</v>
      </c>
      <c r="L115" s="120">
        <v>142.19999999999999</v>
      </c>
      <c r="M115" s="120">
        <v>120.87</v>
      </c>
      <c r="N115" s="120">
        <v>156.41999999999999</v>
      </c>
      <c r="O115" s="120">
        <v>106.65</v>
      </c>
      <c r="P115" s="120">
        <v>838.98</v>
      </c>
      <c r="Q115" s="120">
        <v>547.47</v>
      </c>
      <c r="R115" s="120">
        <v>348.39</v>
      </c>
      <c r="S115" s="265">
        <f t="shared" si="48"/>
        <v>2900.8799999999997</v>
      </c>
      <c r="T115" s="107">
        <v>33011</v>
      </c>
      <c r="V115" s="123">
        <f t="shared" si="49"/>
        <v>5.4999999999999991</v>
      </c>
      <c r="W115" s="123">
        <f t="shared" si="50"/>
        <v>4.5</v>
      </c>
      <c r="X115" s="123">
        <f t="shared" si="51"/>
        <v>5.25</v>
      </c>
      <c r="Y115" s="123">
        <f t="shared" si="52"/>
        <v>3.75</v>
      </c>
      <c r="Z115" s="123">
        <f t="shared" si="53"/>
        <v>3.5</v>
      </c>
      <c r="AA115" s="123">
        <f t="shared" si="54"/>
        <v>4.9999999999999991</v>
      </c>
      <c r="AB115" s="123">
        <f t="shared" si="55"/>
        <v>4.25</v>
      </c>
      <c r="AC115" s="123">
        <f t="shared" si="56"/>
        <v>5.4999999999999991</v>
      </c>
      <c r="AD115" s="123">
        <f t="shared" si="57"/>
        <v>3.75</v>
      </c>
      <c r="AE115" s="123">
        <f t="shared" si="58"/>
        <v>29.5</v>
      </c>
      <c r="AF115" s="123">
        <f t="shared" si="59"/>
        <v>19.25</v>
      </c>
      <c r="AG115" s="123">
        <f t="shared" si="60"/>
        <v>12.249999999999998</v>
      </c>
      <c r="AH115" s="265">
        <f t="shared" si="66"/>
        <v>8.5</v>
      </c>
      <c r="AI115" s="118"/>
      <c r="AJ115" s="89"/>
      <c r="AK115" s="119"/>
      <c r="AL115" s="107"/>
      <c r="AM115" s="107"/>
      <c r="AN115" s="101"/>
      <c r="AO115" s="147"/>
      <c r="AP115" s="107"/>
      <c r="AQ115" s="107"/>
      <c r="AR115" s="107"/>
      <c r="AS115" s="268">
        <f t="shared" si="67"/>
        <v>8.5</v>
      </c>
      <c r="AT115" s="236">
        <f t="shared" si="62"/>
        <v>31.508929572632933</v>
      </c>
      <c r="AU115" s="229">
        <f t="shared" si="68"/>
        <v>3213.9108164085592</v>
      </c>
      <c r="AV115" s="229">
        <f t="shared" si="64"/>
        <v>313.03081640855953</v>
      </c>
    </row>
    <row r="116" spans="1:48" s="107" customFormat="1" ht="12" customHeight="1">
      <c r="A116" s="107" t="str">
        <f t="shared" si="47"/>
        <v>PA-CCLOCKWKLY</v>
      </c>
      <c r="B116" s="99" t="s">
        <v>261</v>
      </c>
      <c r="C116" s="99" t="s">
        <v>262</v>
      </c>
      <c r="D116" s="149">
        <v>4.8499999999999996</v>
      </c>
      <c r="E116" s="148" t="s">
        <v>466</v>
      </c>
      <c r="F116" s="122"/>
      <c r="G116" s="120">
        <v>160.05000000000001</v>
      </c>
      <c r="H116" s="120">
        <v>160.05000000000001</v>
      </c>
      <c r="I116" s="120">
        <v>160.05000000000001</v>
      </c>
      <c r="J116" s="120">
        <v>157.62</v>
      </c>
      <c r="K116" s="120">
        <v>155.19999999999999</v>
      </c>
      <c r="L116" s="120">
        <v>160.05000000000001</v>
      </c>
      <c r="M116" s="120">
        <v>164.89</v>
      </c>
      <c r="N116" s="120">
        <v>166.11</v>
      </c>
      <c r="O116" s="120">
        <v>160.05000000000001</v>
      </c>
      <c r="P116" s="120">
        <v>166.1</v>
      </c>
      <c r="Q116" s="120">
        <v>164.9</v>
      </c>
      <c r="R116" s="120">
        <v>164.9</v>
      </c>
      <c r="S116" s="120">
        <f t="shared" si="48"/>
        <v>1939.97</v>
      </c>
      <c r="T116" s="107">
        <v>33011</v>
      </c>
      <c r="V116" s="123">
        <f t="shared" si="49"/>
        <v>33.000000000000007</v>
      </c>
      <c r="W116" s="123">
        <f t="shared" si="50"/>
        <v>33.000000000000007</v>
      </c>
      <c r="X116" s="123">
        <f t="shared" si="51"/>
        <v>33.000000000000007</v>
      </c>
      <c r="Y116" s="123">
        <f t="shared" si="52"/>
        <v>32.498969072164954</v>
      </c>
      <c r="Z116" s="123">
        <f t="shared" si="53"/>
        <v>32</v>
      </c>
      <c r="AA116" s="123">
        <f t="shared" si="54"/>
        <v>33.000000000000007</v>
      </c>
      <c r="AB116" s="123">
        <f t="shared" si="55"/>
        <v>33.997938144329893</v>
      </c>
      <c r="AC116" s="123">
        <f t="shared" si="56"/>
        <v>34.249484536082477</v>
      </c>
      <c r="AD116" s="123">
        <f t="shared" si="57"/>
        <v>33.000000000000007</v>
      </c>
      <c r="AE116" s="123">
        <f t="shared" si="58"/>
        <v>34.24742268041237</v>
      </c>
      <c r="AF116" s="123">
        <f t="shared" si="59"/>
        <v>34.000000000000007</v>
      </c>
      <c r="AG116" s="123">
        <f t="shared" si="60"/>
        <v>34.000000000000007</v>
      </c>
      <c r="AH116" s="120">
        <f t="shared" si="66"/>
        <v>33.332817869415813</v>
      </c>
      <c r="AI116" s="118"/>
      <c r="AJ116" s="89"/>
      <c r="AK116" s="119"/>
      <c r="AN116" s="101"/>
      <c r="AO116" s="147"/>
      <c r="AS116" s="89">
        <f t="shared" si="67"/>
        <v>33.332817869415813</v>
      </c>
      <c r="AT116" s="236">
        <f t="shared" si="62"/>
        <v>5.3733582428716495</v>
      </c>
      <c r="AU116" s="229">
        <f t="shared" si="68"/>
        <v>2149.3100598811784</v>
      </c>
      <c r="AV116" s="229">
        <f t="shared" si="64"/>
        <v>209.34005988117838</v>
      </c>
    </row>
    <row r="117" spans="1:48" s="144" customFormat="1" ht="12" customHeight="1">
      <c r="A117" s="107" t="str">
        <f t="shared" si="47"/>
        <v>PA-CR1.5YDEX</v>
      </c>
      <c r="B117" s="264" t="s">
        <v>225</v>
      </c>
      <c r="C117" s="264" t="s">
        <v>147</v>
      </c>
      <c r="D117" s="149">
        <v>34</v>
      </c>
      <c r="E117" s="148" t="s">
        <v>161</v>
      </c>
      <c r="F117" s="122"/>
      <c r="G117" s="120">
        <v>0</v>
      </c>
      <c r="H117" s="120">
        <v>34</v>
      </c>
      <c r="I117" s="120">
        <v>0</v>
      </c>
      <c r="J117" s="120">
        <v>34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265">
        <f t="shared" si="48"/>
        <v>68</v>
      </c>
      <c r="T117" s="270">
        <v>33011</v>
      </c>
      <c r="U117" s="282"/>
      <c r="V117" s="265">
        <f t="shared" si="49"/>
        <v>0</v>
      </c>
      <c r="W117" s="265">
        <f t="shared" si="50"/>
        <v>1</v>
      </c>
      <c r="X117" s="265">
        <f t="shared" si="51"/>
        <v>0</v>
      </c>
      <c r="Y117" s="265">
        <f t="shared" si="52"/>
        <v>1</v>
      </c>
      <c r="Z117" s="265">
        <f t="shared" si="53"/>
        <v>0</v>
      </c>
      <c r="AA117" s="265">
        <f t="shared" si="54"/>
        <v>0</v>
      </c>
      <c r="AB117" s="265">
        <f t="shared" si="55"/>
        <v>0</v>
      </c>
      <c r="AC117" s="265">
        <f t="shared" si="56"/>
        <v>0</v>
      </c>
      <c r="AD117" s="265">
        <f t="shared" si="57"/>
        <v>0</v>
      </c>
      <c r="AE117" s="265">
        <f t="shared" si="58"/>
        <v>0</v>
      </c>
      <c r="AF117" s="265">
        <f t="shared" si="59"/>
        <v>0</v>
      </c>
      <c r="AG117" s="265">
        <f t="shared" si="60"/>
        <v>0</v>
      </c>
      <c r="AH117" s="265">
        <f t="shared" si="66"/>
        <v>1</v>
      </c>
      <c r="AI117" s="118"/>
      <c r="AJ117" s="89"/>
      <c r="AK117" s="119"/>
      <c r="AL117" s="107"/>
      <c r="AM117" s="107"/>
      <c r="AN117" s="101"/>
      <c r="AO117" s="147"/>
      <c r="AP117" s="107"/>
      <c r="AQ117" s="107"/>
      <c r="AR117" s="107"/>
      <c r="AS117" s="268">
        <f t="shared" si="67"/>
        <v>1</v>
      </c>
      <c r="AT117" s="236">
        <f t="shared" si="62"/>
        <v>37.668903145904352</v>
      </c>
      <c r="AU117" s="229">
        <f t="shared" si="68"/>
        <v>452.02683775085222</v>
      </c>
      <c r="AV117" s="229">
        <f t="shared" si="64"/>
        <v>384.02683775085222</v>
      </c>
    </row>
    <row r="118" spans="1:48" s="144" customFormat="1" ht="12" customHeight="1">
      <c r="A118" s="107" t="str">
        <f t="shared" si="47"/>
        <v>PA-CR1.5YDRENTM</v>
      </c>
      <c r="B118" s="99" t="s">
        <v>412</v>
      </c>
      <c r="C118" s="99" t="s">
        <v>413</v>
      </c>
      <c r="D118" s="149">
        <v>6.75</v>
      </c>
      <c r="E118" s="148" t="s">
        <v>161</v>
      </c>
      <c r="F118" s="122"/>
      <c r="G118" s="120">
        <v>44.41</v>
      </c>
      <c r="H118" s="120">
        <v>54</v>
      </c>
      <c r="I118" s="120">
        <v>60.75</v>
      </c>
      <c r="J118" s="120">
        <v>60.75</v>
      </c>
      <c r="K118" s="120">
        <v>60.75</v>
      </c>
      <c r="L118" s="120">
        <v>60.75</v>
      </c>
      <c r="M118" s="120">
        <v>64.13</v>
      </c>
      <c r="N118" s="120">
        <v>64.12</v>
      </c>
      <c r="O118" s="120">
        <v>60.75</v>
      </c>
      <c r="P118" s="120">
        <v>60.75</v>
      </c>
      <c r="Q118" s="120">
        <v>60.75</v>
      </c>
      <c r="R118" s="120">
        <v>60.75</v>
      </c>
      <c r="S118" s="120">
        <f t="shared" si="48"/>
        <v>712.66</v>
      </c>
      <c r="T118" s="107">
        <v>33010</v>
      </c>
      <c r="V118" s="120">
        <f t="shared" si="49"/>
        <v>6.5792592592592589</v>
      </c>
      <c r="W118" s="120">
        <f t="shared" si="50"/>
        <v>8</v>
      </c>
      <c r="X118" s="120">
        <f t="shared" si="51"/>
        <v>9</v>
      </c>
      <c r="Y118" s="120">
        <f t="shared" si="52"/>
        <v>9</v>
      </c>
      <c r="Z118" s="120">
        <f t="shared" si="53"/>
        <v>9</v>
      </c>
      <c r="AA118" s="120">
        <f t="shared" si="54"/>
        <v>9</v>
      </c>
      <c r="AB118" s="120">
        <f t="shared" si="55"/>
        <v>9.5007407407407403</v>
      </c>
      <c r="AC118" s="120">
        <f t="shared" si="56"/>
        <v>9.4992592592592597</v>
      </c>
      <c r="AD118" s="120">
        <f t="shared" si="57"/>
        <v>9</v>
      </c>
      <c r="AE118" s="120">
        <f t="shared" si="58"/>
        <v>9</v>
      </c>
      <c r="AF118" s="120">
        <f t="shared" si="59"/>
        <v>9</v>
      </c>
      <c r="AG118" s="120">
        <f t="shared" si="60"/>
        <v>9</v>
      </c>
      <c r="AH118" s="120">
        <f t="shared" si="66"/>
        <v>8.7982716049382717</v>
      </c>
      <c r="AI118" s="118"/>
      <c r="AJ118" s="89"/>
      <c r="AK118" s="157"/>
      <c r="AL118" s="107"/>
      <c r="AM118" s="107"/>
      <c r="AN118" s="101"/>
      <c r="AO118" s="147"/>
      <c r="AP118" s="107"/>
      <c r="AQ118" s="107"/>
      <c r="AR118" s="107"/>
      <c r="AS118" s="89">
        <f t="shared" si="67"/>
        <v>8.7982716049382717</v>
      </c>
      <c r="AT118" s="236">
        <f t="shared" si="62"/>
        <v>7.4783851833780695</v>
      </c>
      <c r="AU118" s="229">
        <f t="shared" si="68"/>
        <v>789.56236811647625</v>
      </c>
      <c r="AV118" s="229">
        <f t="shared" si="64"/>
        <v>76.902368116476282</v>
      </c>
    </row>
    <row r="119" spans="1:48" s="106" customFormat="1" ht="12" customHeight="1">
      <c r="A119" s="131" t="str">
        <f t="shared" si="47"/>
        <v>PA-CR1YD1W</v>
      </c>
      <c r="B119" s="264" t="s">
        <v>197</v>
      </c>
      <c r="C119" s="264" t="s">
        <v>120</v>
      </c>
      <c r="D119" s="149">
        <v>93.92</v>
      </c>
      <c r="E119" s="148" t="s">
        <v>161</v>
      </c>
      <c r="F119" s="122"/>
      <c r="G119" s="130">
        <v>0</v>
      </c>
      <c r="H119" s="130">
        <v>0</v>
      </c>
      <c r="I119" s="130">
        <v>0</v>
      </c>
      <c r="J119" s="130">
        <v>0</v>
      </c>
      <c r="K119" s="130">
        <v>0</v>
      </c>
      <c r="L119" s="130">
        <v>0</v>
      </c>
      <c r="M119" s="130">
        <v>0</v>
      </c>
      <c r="N119" s="130">
        <v>0</v>
      </c>
      <c r="O119" s="130">
        <v>0</v>
      </c>
      <c r="P119" s="130">
        <v>0</v>
      </c>
      <c r="Q119" s="130">
        <v>46.96</v>
      </c>
      <c r="R119" s="130">
        <v>93.92</v>
      </c>
      <c r="S119" s="265">
        <f t="shared" si="48"/>
        <v>140.88</v>
      </c>
      <c r="T119" s="266">
        <v>33010</v>
      </c>
      <c r="U119" s="266"/>
      <c r="V119" s="265">
        <f t="shared" si="49"/>
        <v>0</v>
      </c>
      <c r="W119" s="265">
        <f t="shared" si="50"/>
        <v>0</v>
      </c>
      <c r="X119" s="265">
        <f t="shared" si="51"/>
        <v>0</v>
      </c>
      <c r="Y119" s="265">
        <f t="shared" si="52"/>
        <v>0</v>
      </c>
      <c r="Z119" s="265">
        <f t="shared" si="53"/>
        <v>0</v>
      </c>
      <c r="AA119" s="265">
        <f t="shared" si="54"/>
        <v>0</v>
      </c>
      <c r="AB119" s="265">
        <f t="shared" si="55"/>
        <v>0</v>
      </c>
      <c r="AC119" s="265">
        <f t="shared" si="56"/>
        <v>0</v>
      </c>
      <c r="AD119" s="265">
        <f t="shared" si="57"/>
        <v>0</v>
      </c>
      <c r="AE119" s="265">
        <f t="shared" si="58"/>
        <v>0</v>
      </c>
      <c r="AF119" s="265">
        <f t="shared" si="59"/>
        <v>0.5</v>
      </c>
      <c r="AG119" s="265">
        <f t="shared" si="60"/>
        <v>1</v>
      </c>
      <c r="AH119" s="265">
        <f>AVERAGE(V119:AG119)</f>
        <v>0.125</v>
      </c>
      <c r="AI119" s="118"/>
      <c r="AJ119" s="89"/>
      <c r="AK119" s="119" t="s">
        <v>480</v>
      </c>
      <c r="AL119" s="107"/>
      <c r="AM119" s="107"/>
      <c r="AN119" s="101">
        <v>1</v>
      </c>
      <c r="AO119" s="127">
        <f>+AH119*AN119</f>
        <v>0.125</v>
      </c>
      <c r="AP119" s="107"/>
      <c r="AQ119" s="107"/>
      <c r="AR119" s="107"/>
      <c r="AS119" s="283">
        <f t="shared" si="67"/>
        <v>0.125</v>
      </c>
      <c r="AT119" s="236">
        <f t="shared" si="62"/>
        <v>104.05480539598048</v>
      </c>
      <c r="AU119" s="229">
        <f t="shared" si="68"/>
        <v>156.08220809397073</v>
      </c>
      <c r="AV119" s="229">
        <f t="shared" si="64"/>
        <v>15.202208093970739</v>
      </c>
    </row>
    <row r="120" spans="1:48" s="107" customFormat="1" ht="12" customHeight="1">
      <c r="A120" s="107" t="str">
        <f t="shared" si="47"/>
        <v>PA-CR1YDEX</v>
      </c>
      <c r="B120" s="264" t="s">
        <v>222</v>
      </c>
      <c r="C120" s="264" t="s">
        <v>144</v>
      </c>
      <c r="D120" s="149">
        <v>24.69</v>
      </c>
      <c r="E120" s="148" t="s">
        <v>161</v>
      </c>
      <c r="F120" s="122"/>
      <c r="G120" s="120">
        <v>0</v>
      </c>
      <c r="H120" s="120">
        <v>0</v>
      </c>
      <c r="I120" s="120">
        <v>24.69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265">
        <f t="shared" si="48"/>
        <v>24.69</v>
      </c>
      <c r="T120" s="270">
        <v>33011</v>
      </c>
      <c r="U120" s="270"/>
      <c r="V120" s="265">
        <f t="shared" si="49"/>
        <v>0</v>
      </c>
      <c r="W120" s="265">
        <f t="shared" si="50"/>
        <v>0</v>
      </c>
      <c r="X120" s="265">
        <f t="shared" si="51"/>
        <v>1</v>
      </c>
      <c r="Y120" s="265">
        <f t="shared" si="52"/>
        <v>0</v>
      </c>
      <c r="Z120" s="265">
        <f t="shared" si="53"/>
        <v>0</v>
      </c>
      <c r="AA120" s="265">
        <f t="shared" si="54"/>
        <v>0</v>
      </c>
      <c r="AB120" s="265">
        <f t="shared" si="55"/>
        <v>0</v>
      </c>
      <c r="AC120" s="265">
        <f t="shared" si="56"/>
        <v>0</v>
      </c>
      <c r="AD120" s="265">
        <f t="shared" si="57"/>
        <v>0</v>
      </c>
      <c r="AE120" s="265">
        <f t="shared" si="58"/>
        <v>0</v>
      </c>
      <c r="AF120" s="265">
        <f t="shared" si="59"/>
        <v>0</v>
      </c>
      <c r="AG120" s="265">
        <f t="shared" si="60"/>
        <v>0</v>
      </c>
      <c r="AH120" s="265">
        <f t="shared" ref="AH120:AH154" si="69">IFERROR(AVERAGEIF(V120:AG120,"&gt;0"),0)</f>
        <v>1</v>
      </c>
      <c r="AI120" s="118"/>
      <c r="AJ120" s="89"/>
      <c r="AK120" s="119"/>
      <c r="AN120" s="101"/>
      <c r="AO120" s="147"/>
      <c r="AS120" s="268">
        <f t="shared" si="67"/>
        <v>1</v>
      </c>
      <c r="AT120" s="236">
        <f t="shared" si="62"/>
        <v>27.354271137422895</v>
      </c>
      <c r="AU120" s="229">
        <f t="shared" si="68"/>
        <v>328.25125364907473</v>
      </c>
      <c r="AV120" s="229">
        <f t="shared" si="64"/>
        <v>303.56125364907473</v>
      </c>
    </row>
    <row r="121" spans="1:48" s="144" customFormat="1" ht="12" customHeight="1">
      <c r="A121" s="107" t="str">
        <f t="shared" si="47"/>
        <v>PA-CR1YDRENTM</v>
      </c>
      <c r="B121" s="99" t="s">
        <v>242</v>
      </c>
      <c r="C121" s="99" t="s">
        <v>243</v>
      </c>
      <c r="D121" s="149">
        <v>5.0599999999999996</v>
      </c>
      <c r="E121" s="148" t="s">
        <v>161</v>
      </c>
      <c r="F121" s="122"/>
      <c r="G121" s="120">
        <v>91.07</v>
      </c>
      <c r="H121" s="120">
        <v>89.56</v>
      </c>
      <c r="I121" s="120">
        <v>90.42</v>
      </c>
      <c r="J121" s="120">
        <v>92.26</v>
      </c>
      <c r="K121" s="120">
        <v>96.14</v>
      </c>
      <c r="L121" s="120">
        <v>86.5</v>
      </c>
      <c r="M121" s="120">
        <v>94.99</v>
      </c>
      <c r="N121" s="120">
        <v>92.87</v>
      </c>
      <c r="O121" s="120">
        <v>96.14</v>
      </c>
      <c r="P121" s="120">
        <v>89.77</v>
      </c>
      <c r="Q121" s="120">
        <v>88.21</v>
      </c>
      <c r="R121" s="120">
        <v>91.08</v>
      </c>
      <c r="S121" s="120">
        <f t="shared" si="48"/>
        <v>1099.01</v>
      </c>
      <c r="T121" s="107">
        <v>33010</v>
      </c>
      <c r="U121" s="107"/>
      <c r="V121" s="123">
        <f t="shared" si="49"/>
        <v>17.99802371541502</v>
      </c>
      <c r="W121" s="123">
        <f t="shared" si="50"/>
        <v>17.699604743083007</v>
      </c>
      <c r="X121" s="123">
        <f t="shared" si="51"/>
        <v>17.869565217391305</v>
      </c>
      <c r="Y121" s="123">
        <f t="shared" si="52"/>
        <v>18.233201581027672</v>
      </c>
      <c r="Z121" s="123">
        <f t="shared" si="53"/>
        <v>19</v>
      </c>
      <c r="AA121" s="123">
        <f t="shared" si="54"/>
        <v>17.094861660079054</v>
      </c>
      <c r="AB121" s="123">
        <f t="shared" si="55"/>
        <v>18.772727272727273</v>
      </c>
      <c r="AC121" s="123">
        <f t="shared" si="56"/>
        <v>18.353754940711465</v>
      </c>
      <c r="AD121" s="123">
        <f t="shared" si="57"/>
        <v>19</v>
      </c>
      <c r="AE121" s="123">
        <f t="shared" si="58"/>
        <v>17.74110671936759</v>
      </c>
      <c r="AF121" s="123">
        <f t="shared" si="59"/>
        <v>17.432806324110672</v>
      </c>
      <c r="AG121" s="123">
        <f t="shared" si="60"/>
        <v>18</v>
      </c>
      <c r="AH121" s="120">
        <f t="shared" si="69"/>
        <v>18.099637681159422</v>
      </c>
      <c r="AI121" s="118"/>
      <c r="AJ121" s="89"/>
      <c r="AK121" s="119"/>
      <c r="AL121" s="107"/>
      <c r="AM121" s="107"/>
      <c r="AN121" s="101"/>
      <c r="AO121" s="147"/>
      <c r="AP121" s="107"/>
      <c r="AQ121" s="107"/>
      <c r="AR121" s="107"/>
      <c r="AS121" s="89">
        <f t="shared" si="67"/>
        <v>18.099637681159422</v>
      </c>
      <c r="AT121" s="236">
        <f t="shared" si="62"/>
        <v>5.6060191152434111</v>
      </c>
      <c r="AU121" s="229">
        <f t="shared" si="68"/>
        <v>1217.6029778347158</v>
      </c>
      <c r="AV121" s="229">
        <f t="shared" si="64"/>
        <v>118.59297783471584</v>
      </c>
    </row>
    <row r="122" spans="1:48" s="106" customFormat="1" ht="12" customHeight="1">
      <c r="A122" s="131" t="str">
        <f t="shared" si="47"/>
        <v>PA-CR2YD1W</v>
      </c>
      <c r="B122" s="264" t="s">
        <v>201</v>
      </c>
      <c r="C122" s="264" t="s">
        <v>124</v>
      </c>
      <c r="D122" s="149">
        <v>185.41</v>
      </c>
      <c r="E122" s="148" t="s">
        <v>161</v>
      </c>
      <c r="F122" s="122"/>
      <c r="G122" s="130">
        <v>185.41</v>
      </c>
      <c r="H122" s="130">
        <v>139.05000000000001</v>
      </c>
      <c r="I122" s="130">
        <v>92.7</v>
      </c>
      <c r="J122" s="130">
        <v>0</v>
      </c>
      <c r="K122" s="130">
        <v>0</v>
      </c>
      <c r="L122" s="130">
        <v>0</v>
      </c>
      <c r="M122" s="130">
        <v>0</v>
      </c>
      <c r="N122" s="130">
        <v>0</v>
      </c>
      <c r="O122" s="130">
        <v>185.4</v>
      </c>
      <c r="P122" s="130">
        <v>741.64</v>
      </c>
      <c r="Q122" s="130">
        <v>0</v>
      </c>
      <c r="R122" s="130">
        <v>0</v>
      </c>
      <c r="S122" s="265">
        <f t="shared" si="48"/>
        <v>1344.2</v>
      </c>
      <c r="T122" s="131">
        <v>33010</v>
      </c>
      <c r="V122" s="130">
        <f t="shared" si="49"/>
        <v>1</v>
      </c>
      <c r="W122" s="130">
        <f t="shared" si="50"/>
        <v>0.74995954910738372</v>
      </c>
      <c r="X122" s="130">
        <f t="shared" si="51"/>
        <v>0.49997303273825577</v>
      </c>
      <c r="Y122" s="130">
        <f t="shared" si="52"/>
        <v>0</v>
      </c>
      <c r="Z122" s="130">
        <f t="shared" si="53"/>
        <v>0</v>
      </c>
      <c r="AA122" s="130">
        <f t="shared" si="54"/>
        <v>0</v>
      </c>
      <c r="AB122" s="130">
        <f t="shared" si="55"/>
        <v>0</v>
      </c>
      <c r="AC122" s="130">
        <f t="shared" si="56"/>
        <v>0</v>
      </c>
      <c r="AD122" s="130">
        <f t="shared" si="57"/>
        <v>0.99994606547651155</v>
      </c>
      <c r="AE122" s="130">
        <f t="shared" si="58"/>
        <v>4</v>
      </c>
      <c r="AF122" s="130">
        <f t="shared" si="59"/>
        <v>0</v>
      </c>
      <c r="AG122" s="130">
        <f t="shared" si="60"/>
        <v>0</v>
      </c>
      <c r="AH122" s="265">
        <f t="shared" si="69"/>
        <v>1.4499757294644302</v>
      </c>
      <c r="AI122" s="118"/>
      <c r="AJ122" s="89"/>
      <c r="AK122" s="119" t="s">
        <v>479</v>
      </c>
      <c r="AL122" s="107"/>
      <c r="AM122" s="107"/>
      <c r="AN122" s="101">
        <v>1</v>
      </c>
      <c r="AO122" s="127">
        <f>+AH122*AN122</f>
        <v>1.4499757294644302</v>
      </c>
      <c r="AP122" s="107"/>
      <c r="AQ122" s="107"/>
      <c r="AR122" s="107"/>
      <c r="AS122" s="268">
        <f t="shared" si="67"/>
        <v>1.4499757294644302</v>
      </c>
      <c r="AT122" s="236">
        <f t="shared" si="62"/>
        <v>205.41739212594487</v>
      </c>
      <c r="AU122" s="229">
        <f t="shared" si="68"/>
        <v>3574.2027959099737</v>
      </c>
      <c r="AV122" s="229">
        <f t="shared" si="64"/>
        <v>2230.0027959099734</v>
      </c>
    </row>
    <row r="123" spans="1:48" s="144" customFormat="1" ht="12" customHeight="1">
      <c r="A123" s="107" t="str">
        <f t="shared" si="47"/>
        <v>PA-CR2YDEX</v>
      </c>
      <c r="B123" s="264" t="s">
        <v>228</v>
      </c>
      <c r="C123" s="264" t="s">
        <v>150</v>
      </c>
      <c r="D123" s="149">
        <v>45.82</v>
      </c>
      <c r="E123" s="148" t="s">
        <v>161</v>
      </c>
      <c r="F123" s="122"/>
      <c r="G123" s="120">
        <v>0</v>
      </c>
      <c r="H123" s="120">
        <v>0</v>
      </c>
      <c r="I123" s="120">
        <v>0</v>
      </c>
      <c r="J123" s="120">
        <v>0</v>
      </c>
      <c r="K123" s="120">
        <v>0</v>
      </c>
      <c r="L123" s="120">
        <v>45.82</v>
      </c>
      <c r="M123" s="120">
        <v>0</v>
      </c>
      <c r="N123" s="120">
        <v>0</v>
      </c>
      <c r="O123" s="120">
        <v>45.82</v>
      </c>
      <c r="P123" s="120">
        <v>0</v>
      </c>
      <c r="Q123" s="120">
        <v>0</v>
      </c>
      <c r="R123" s="120">
        <v>91.64</v>
      </c>
      <c r="S123" s="265">
        <f t="shared" si="48"/>
        <v>183.28</v>
      </c>
      <c r="T123" s="107">
        <v>33011</v>
      </c>
      <c r="V123" s="123">
        <f t="shared" si="49"/>
        <v>0</v>
      </c>
      <c r="W123" s="123">
        <f t="shared" si="50"/>
        <v>0</v>
      </c>
      <c r="X123" s="123">
        <f t="shared" si="51"/>
        <v>0</v>
      </c>
      <c r="Y123" s="123">
        <f t="shared" si="52"/>
        <v>0</v>
      </c>
      <c r="Z123" s="123">
        <f t="shared" si="53"/>
        <v>0</v>
      </c>
      <c r="AA123" s="123">
        <f t="shared" si="54"/>
        <v>1</v>
      </c>
      <c r="AB123" s="123">
        <f t="shared" si="55"/>
        <v>0</v>
      </c>
      <c r="AC123" s="123">
        <f t="shared" si="56"/>
        <v>0</v>
      </c>
      <c r="AD123" s="123">
        <f t="shared" si="57"/>
        <v>1</v>
      </c>
      <c r="AE123" s="123">
        <f t="shared" si="58"/>
        <v>0</v>
      </c>
      <c r="AF123" s="123">
        <f t="shared" si="59"/>
        <v>0</v>
      </c>
      <c r="AG123" s="123">
        <f t="shared" si="60"/>
        <v>2</v>
      </c>
      <c r="AH123" s="265">
        <f t="shared" si="69"/>
        <v>1.3333333333333333</v>
      </c>
      <c r="AI123" s="118"/>
      <c r="AJ123" s="89"/>
      <c r="AK123" s="119"/>
      <c r="AL123" s="107"/>
      <c r="AM123" s="107"/>
      <c r="AN123" s="101"/>
      <c r="AO123" s="147"/>
      <c r="AP123" s="107"/>
      <c r="AQ123" s="107"/>
      <c r="AR123" s="107"/>
      <c r="AS123" s="268">
        <f t="shared" si="67"/>
        <v>1.3333333333333333</v>
      </c>
      <c r="AT123" s="236">
        <f t="shared" si="62"/>
        <v>50.764386533686391</v>
      </c>
      <c r="AU123" s="229">
        <f t="shared" si="68"/>
        <v>812.23018453898226</v>
      </c>
      <c r="AV123" s="229">
        <f t="shared" si="64"/>
        <v>628.95018453898228</v>
      </c>
    </row>
    <row r="124" spans="1:48" s="107" customFormat="1" ht="12" customHeight="1">
      <c r="A124" s="107" t="str">
        <f t="shared" si="47"/>
        <v>PA-CR2YDRENTM</v>
      </c>
      <c r="B124" s="99" t="s">
        <v>249</v>
      </c>
      <c r="C124" s="99" t="s">
        <v>250</v>
      </c>
      <c r="D124" s="149">
        <v>9.0299999999999994</v>
      </c>
      <c r="E124" s="148" t="s">
        <v>161</v>
      </c>
      <c r="F124" s="122"/>
      <c r="G124" s="120">
        <v>240.02</v>
      </c>
      <c r="H124" s="120">
        <v>243.81</v>
      </c>
      <c r="I124" s="120">
        <v>241.76</v>
      </c>
      <c r="J124" s="120">
        <v>250.43</v>
      </c>
      <c r="K124" s="120">
        <v>252.84</v>
      </c>
      <c r="L124" s="120">
        <v>261.57</v>
      </c>
      <c r="M124" s="120">
        <v>255.09</v>
      </c>
      <c r="N124" s="120">
        <v>271.18</v>
      </c>
      <c r="O124" s="120">
        <v>284.14</v>
      </c>
      <c r="P124" s="120">
        <v>291.58</v>
      </c>
      <c r="Q124" s="120">
        <v>316.05</v>
      </c>
      <c r="R124" s="120">
        <v>302.94</v>
      </c>
      <c r="S124" s="120">
        <f t="shared" si="48"/>
        <v>3211.41</v>
      </c>
      <c r="T124" s="107">
        <v>33010</v>
      </c>
      <c r="U124" s="144"/>
      <c r="V124" s="123">
        <f t="shared" si="49"/>
        <v>26.580287929125141</v>
      </c>
      <c r="W124" s="123">
        <f t="shared" si="50"/>
        <v>27.000000000000004</v>
      </c>
      <c r="X124" s="123">
        <f t="shared" si="51"/>
        <v>26.772978959025473</v>
      </c>
      <c r="Y124" s="123">
        <f t="shared" si="52"/>
        <v>27.733111849390923</v>
      </c>
      <c r="Z124" s="123">
        <f t="shared" si="53"/>
        <v>28.000000000000004</v>
      </c>
      <c r="AA124" s="123">
        <f t="shared" si="54"/>
        <v>28.966777408637874</v>
      </c>
      <c r="AB124" s="123">
        <f t="shared" si="55"/>
        <v>28.249169435215951</v>
      </c>
      <c r="AC124" s="123">
        <f t="shared" si="56"/>
        <v>30.031007751937988</v>
      </c>
      <c r="AD124" s="123">
        <f t="shared" si="57"/>
        <v>31.466223698781839</v>
      </c>
      <c r="AE124" s="123">
        <f t="shared" si="58"/>
        <v>32.290143964562567</v>
      </c>
      <c r="AF124" s="123">
        <f t="shared" si="59"/>
        <v>35.000000000000007</v>
      </c>
      <c r="AG124" s="123">
        <f t="shared" si="60"/>
        <v>33.548172757475086</v>
      </c>
      <c r="AH124" s="120">
        <f t="shared" si="69"/>
        <v>29.636489479512736</v>
      </c>
      <c r="AI124" s="118"/>
      <c r="AJ124" s="89"/>
      <c r="AK124" s="119"/>
      <c r="AN124" s="101"/>
      <c r="AO124" s="147"/>
      <c r="AS124" s="89">
        <f t="shared" si="67"/>
        <v>29.636489479512736</v>
      </c>
      <c r="AT124" s="236">
        <f t="shared" si="62"/>
        <v>10.004417511985771</v>
      </c>
      <c r="AU124" s="229">
        <f t="shared" si="68"/>
        <v>3557.9497721114312</v>
      </c>
      <c r="AV124" s="229">
        <f t="shared" si="64"/>
        <v>346.53977211143138</v>
      </c>
    </row>
    <row r="125" spans="1:48" s="106" customFormat="1" ht="12" customHeight="1">
      <c r="A125" s="131" t="str">
        <f t="shared" ref="A125:A153" si="70">"PA-C"&amp;B125</f>
        <v>PA-CR2YDTPU</v>
      </c>
      <c r="B125" s="264" t="s">
        <v>230</v>
      </c>
      <c r="C125" s="264" t="s">
        <v>152</v>
      </c>
      <c r="D125" s="149">
        <v>40.36</v>
      </c>
      <c r="E125" s="148" t="s">
        <v>161</v>
      </c>
      <c r="F125" s="122"/>
      <c r="G125" s="130">
        <v>0</v>
      </c>
      <c r="H125" s="130">
        <v>0</v>
      </c>
      <c r="I125" s="130">
        <v>0</v>
      </c>
      <c r="J125" s="130">
        <v>40.36</v>
      </c>
      <c r="K125" s="130">
        <v>0</v>
      </c>
      <c r="L125" s="130">
        <v>0</v>
      </c>
      <c r="M125" s="130">
        <v>0</v>
      </c>
      <c r="N125" s="130">
        <v>0</v>
      </c>
      <c r="O125" s="130">
        <v>0</v>
      </c>
      <c r="P125" s="130">
        <v>121.08</v>
      </c>
      <c r="Q125" s="130">
        <v>0</v>
      </c>
      <c r="R125" s="130">
        <v>40.36</v>
      </c>
      <c r="S125" s="265">
        <f t="shared" ref="S125:S153" si="71">SUM(G125:R125)</f>
        <v>201.8</v>
      </c>
      <c r="T125" s="131">
        <v>33010</v>
      </c>
      <c r="V125" s="130">
        <f t="shared" ref="V125:V153" si="72">IFERROR(G125/$D125,0)</f>
        <v>0</v>
      </c>
      <c r="W125" s="130">
        <f t="shared" ref="W125:W153" si="73">IFERROR(H125/$D125,0)</f>
        <v>0</v>
      </c>
      <c r="X125" s="130">
        <f t="shared" ref="X125:X153" si="74">IFERROR(I125/$D125,0)</f>
        <v>0</v>
      </c>
      <c r="Y125" s="130">
        <f t="shared" ref="Y125:Y153" si="75">IFERROR(J125/$D125,0)</f>
        <v>1</v>
      </c>
      <c r="Z125" s="130">
        <f t="shared" ref="Z125:Z153" si="76">IFERROR(K125/$D125,0)</f>
        <v>0</v>
      </c>
      <c r="AA125" s="130">
        <f t="shared" ref="AA125:AA153" si="77">IFERROR(L125/$D125,0)</f>
        <v>0</v>
      </c>
      <c r="AB125" s="130">
        <f t="shared" ref="AB125:AB153" si="78">IFERROR(M125/$D125,0)</f>
        <v>0</v>
      </c>
      <c r="AC125" s="130">
        <f t="shared" ref="AC125:AC153" si="79">IFERROR(N125/$D125,0)</f>
        <v>0</v>
      </c>
      <c r="AD125" s="130">
        <f t="shared" ref="AD125:AD153" si="80">IFERROR(O125/$D125,0)</f>
        <v>0</v>
      </c>
      <c r="AE125" s="130">
        <f t="shared" ref="AE125:AE153" si="81">IFERROR(P125/$D125,0)</f>
        <v>3</v>
      </c>
      <c r="AF125" s="130">
        <f t="shared" ref="AF125:AF153" si="82">IFERROR(Q125/$D125,0)</f>
        <v>0</v>
      </c>
      <c r="AG125" s="130">
        <f t="shared" ref="AG125:AG153" si="83">IFERROR(R125/$D125,0)</f>
        <v>1</v>
      </c>
      <c r="AH125" s="265">
        <f t="shared" si="69"/>
        <v>1.6666666666666667</v>
      </c>
      <c r="AI125" s="118"/>
      <c r="AJ125" s="89"/>
      <c r="AK125" s="119" t="s">
        <v>479</v>
      </c>
      <c r="AL125" s="107"/>
      <c r="AM125" s="107"/>
      <c r="AN125" s="101">
        <v>1</v>
      </c>
      <c r="AO125" s="127">
        <f>+AH125*AN125</f>
        <v>1.6666666666666667</v>
      </c>
      <c r="AP125" s="107"/>
      <c r="AQ125" s="107"/>
      <c r="AR125" s="107"/>
      <c r="AS125" s="268">
        <f t="shared" si="67"/>
        <v>1.6666666666666667</v>
      </c>
      <c r="AT125" s="236">
        <f t="shared" ref="AT125:AT154" si="84">+D125*(1+$AZ$2)</f>
        <v>44.715203852020572</v>
      </c>
      <c r="AU125" s="229">
        <f t="shared" si="68"/>
        <v>894.30407704041136</v>
      </c>
      <c r="AV125" s="229">
        <f t="shared" ref="AV125:AV154" si="85">+AU125-S125</f>
        <v>692.5040770404114</v>
      </c>
    </row>
    <row r="126" spans="1:48" s="144" customFormat="1" ht="12" customHeight="1">
      <c r="A126" s="107" t="str">
        <f t="shared" si="70"/>
        <v>PA-CR3YDRENTM</v>
      </c>
      <c r="B126" s="99" t="s">
        <v>486</v>
      </c>
      <c r="C126" s="99" t="s">
        <v>485</v>
      </c>
      <c r="D126" s="149">
        <v>10.119999999999999</v>
      </c>
      <c r="E126" s="148" t="s">
        <v>161</v>
      </c>
      <c r="F126" s="122"/>
      <c r="G126" s="120">
        <v>60.72</v>
      </c>
      <c r="H126" s="120">
        <v>62.4</v>
      </c>
      <c r="I126" s="120">
        <v>60.72</v>
      </c>
      <c r="J126" s="120">
        <v>60.72</v>
      </c>
      <c r="K126" s="120">
        <v>60.72</v>
      </c>
      <c r="L126" s="120">
        <v>70.84</v>
      </c>
      <c r="M126" s="120">
        <v>78.790000000000006</v>
      </c>
      <c r="N126" s="120">
        <v>72.790000000000006</v>
      </c>
      <c r="O126" s="120">
        <v>70.84</v>
      </c>
      <c r="P126" s="120">
        <v>70.84</v>
      </c>
      <c r="Q126" s="120">
        <v>70.84</v>
      </c>
      <c r="R126" s="120">
        <v>80.959999999999994</v>
      </c>
      <c r="S126" s="120">
        <f t="shared" si="71"/>
        <v>821.18000000000018</v>
      </c>
      <c r="T126" s="107">
        <v>33010</v>
      </c>
      <c r="V126" s="123">
        <f t="shared" si="72"/>
        <v>6</v>
      </c>
      <c r="W126" s="123">
        <f t="shared" si="73"/>
        <v>6.1660079051383399</v>
      </c>
      <c r="X126" s="123">
        <f t="shared" si="74"/>
        <v>6</v>
      </c>
      <c r="Y126" s="123">
        <f t="shared" si="75"/>
        <v>6</v>
      </c>
      <c r="Z126" s="123">
        <f t="shared" si="76"/>
        <v>6</v>
      </c>
      <c r="AA126" s="123">
        <f t="shared" si="77"/>
        <v>7.0000000000000009</v>
      </c>
      <c r="AB126" s="123">
        <f t="shared" si="78"/>
        <v>7.7855731225296454</v>
      </c>
      <c r="AC126" s="123">
        <f t="shared" si="79"/>
        <v>7.1926877470355741</v>
      </c>
      <c r="AD126" s="123">
        <f t="shared" si="80"/>
        <v>7.0000000000000009</v>
      </c>
      <c r="AE126" s="123">
        <f t="shared" si="81"/>
        <v>7.0000000000000009</v>
      </c>
      <c r="AF126" s="123">
        <f t="shared" si="82"/>
        <v>7.0000000000000009</v>
      </c>
      <c r="AG126" s="123">
        <f t="shared" si="83"/>
        <v>8</v>
      </c>
      <c r="AH126" s="120">
        <f t="shared" si="69"/>
        <v>6.7620223978919638</v>
      </c>
      <c r="AI126" s="118"/>
      <c r="AJ126" s="89"/>
      <c r="AK126" s="119"/>
      <c r="AL126" s="107"/>
      <c r="AM126" s="107"/>
      <c r="AN126" s="101"/>
      <c r="AO126" s="147"/>
      <c r="AP126" s="107"/>
      <c r="AQ126" s="107"/>
      <c r="AR126" s="107"/>
      <c r="AS126" s="89">
        <f t="shared" si="67"/>
        <v>6.7620223978919638</v>
      </c>
      <c r="AT126" s="236">
        <f t="shared" si="84"/>
        <v>11.212038230486822</v>
      </c>
      <c r="AU126" s="229">
        <f t="shared" si="68"/>
        <v>909.7926436868745</v>
      </c>
      <c r="AV126" s="229">
        <f t="shared" si="85"/>
        <v>88.612643686874321</v>
      </c>
    </row>
    <row r="127" spans="1:48" s="106" customFormat="1" ht="12" customHeight="1">
      <c r="A127" s="131" t="str">
        <f t="shared" si="70"/>
        <v>PA-CR4YD1W</v>
      </c>
      <c r="B127" s="264" t="s">
        <v>386</v>
      </c>
      <c r="C127" s="264" t="s">
        <v>387</v>
      </c>
      <c r="D127" s="149">
        <v>336.48</v>
      </c>
      <c r="E127" s="148" t="s">
        <v>161</v>
      </c>
      <c r="F127" s="122"/>
      <c r="G127" s="130">
        <v>0</v>
      </c>
      <c r="H127" s="130">
        <v>0</v>
      </c>
      <c r="I127" s="130">
        <v>0</v>
      </c>
      <c r="J127" s="130">
        <v>0</v>
      </c>
      <c r="K127" s="130">
        <v>0</v>
      </c>
      <c r="L127" s="130">
        <v>0</v>
      </c>
      <c r="M127" s="130">
        <v>84.12</v>
      </c>
      <c r="N127" s="130">
        <v>0</v>
      </c>
      <c r="O127" s="130">
        <v>0</v>
      </c>
      <c r="P127" s="130">
        <v>0</v>
      </c>
      <c r="Q127" s="130">
        <v>0</v>
      </c>
      <c r="R127" s="130">
        <v>0</v>
      </c>
      <c r="S127" s="265">
        <f t="shared" si="71"/>
        <v>84.12</v>
      </c>
      <c r="T127" s="131">
        <v>33010</v>
      </c>
      <c r="V127" s="130">
        <f t="shared" si="72"/>
        <v>0</v>
      </c>
      <c r="W127" s="130">
        <f t="shared" si="73"/>
        <v>0</v>
      </c>
      <c r="X127" s="130">
        <f t="shared" si="74"/>
        <v>0</v>
      </c>
      <c r="Y127" s="130">
        <f t="shared" si="75"/>
        <v>0</v>
      </c>
      <c r="Z127" s="130">
        <f t="shared" si="76"/>
        <v>0</v>
      </c>
      <c r="AA127" s="130">
        <f t="shared" si="77"/>
        <v>0</v>
      </c>
      <c r="AB127" s="130">
        <f t="shared" si="78"/>
        <v>0.25</v>
      </c>
      <c r="AC127" s="130">
        <f t="shared" si="79"/>
        <v>0</v>
      </c>
      <c r="AD127" s="130">
        <f t="shared" si="80"/>
        <v>0</v>
      </c>
      <c r="AE127" s="130">
        <f t="shared" si="81"/>
        <v>0</v>
      </c>
      <c r="AF127" s="130">
        <f t="shared" si="82"/>
        <v>0</v>
      </c>
      <c r="AG127" s="130">
        <f t="shared" si="83"/>
        <v>0</v>
      </c>
      <c r="AH127" s="265">
        <f t="shared" si="69"/>
        <v>0.25</v>
      </c>
      <c r="AI127" s="118"/>
      <c r="AJ127" s="89"/>
      <c r="AK127" s="119" t="s">
        <v>478</v>
      </c>
      <c r="AL127" s="107"/>
      <c r="AM127" s="107"/>
      <c r="AN127" s="101">
        <v>1</v>
      </c>
      <c r="AO127" s="127">
        <f>+AH127*AN127</f>
        <v>0.25</v>
      </c>
      <c r="AP127" s="107"/>
      <c r="AQ127" s="107"/>
      <c r="AR127" s="441"/>
      <c r="AS127" s="268">
        <f t="shared" si="67"/>
        <v>0.25</v>
      </c>
      <c r="AT127" s="236">
        <f t="shared" si="84"/>
        <v>372.78919207452634</v>
      </c>
      <c r="AU127" s="229">
        <f t="shared" si="68"/>
        <v>1118.3675762235789</v>
      </c>
      <c r="AV127" s="229">
        <f t="shared" si="85"/>
        <v>1034.247576223579</v>
      </c>
    </row>
    <row r="128" spans="1:48" s="144" customFormat="1" ht="12" customHeight="1">
      <c r="A128" s="107" t="str">
        <f t="shared" si="70"/>
        <v>PA-CR4YDRENTM</v>
      </c>
      <c r="B128" s="99" t="s">
        <v>484</v>
      </c>
      <c r="C128" s="99" t="s">
        <v>483</v>
      </c>
      <c r="D128" s="149">
        <v>11.25</v>
      </c>
      <c r="E128" s="148" t="s">
        <v>161</v>
      </c>
      <c r="F128" s="122"/>
      <c r="G128" s="120">
        <v>112.5</v>
      </c>
      <c r="H128" s="120">
        <v>118.3</v>
      </c>
      <c r="I128" s="120">
        <v>123.75</v>
      </c>
      <c r="J128" s="120">
        <v>112.5</v>
      </c>
      <c r="K128" s="120">
        <v>135</v>
      </c>
      <c r="L128" s="120">
        <v>135</v>
      </c>
      <c r="M128" s="120">
        <v>123.75</v>
      </c>
      <c r="N128" s="120">
        <v>123.75</v>
      </c>
      <c r="O128" s="120">
        <v>135</v>
      </c>
      <c r="P128" s="120">
        <v>146.25</v>
      </c>
      <c r="Q128" s="120">
        <v>146.25</v>
      </c>
      <c r="R128" s="120">
        <v>136.44999999999999</v>
      </c>
      <c r="S128" s="120">
        <f t="shared" si="71"/>
        <v>1548.5</v>
      </c>
      <c r="T128" s="107">
        <v>33010</v>
      </c>
      <c r="V128" s="123">
        <f t="shared" si="72"/>
        <v>10</v>
      </c>
      <c r="W128" s="123">
        <f t="shared" si="73"/>
        <v>10.515555555555554</v>
      </c>
      <c r="X128" s="123">
        <f t="shared" si="74"/>
        <v>11</v>
      </c>
      <c r="Y128" s="123">
        <f t="shared" si="75"/>
        <v>10</v>
      </c>
      <c r="Z128" s="123">
        <f t="shared" si="76"/>
        <v>12</v>
      </c>
      <c r="AA128" s="123">
        <f t="shared" si="77"/>
        <v>12</v>
      </c>
      <c r="AB128" s="123">
        <f t="shared" si="78"/>
        <v>11</v>
      </c>
      <c r="AC128" s="123">
        <f t="shared" si="79"/>
        <v>11</v>
      </c>
      <c r="AD128" s="123">
        <f t="shared" si="80"/>
        <v>12</v>
      </c>
      <c r="AE128" s="123">
        <f t="shared" si="81"/>
        <v>13</v>
      </c>
      <c r="AF128" s="123">
        <f t="shared" si="82"/>
        <v>13</v>
      </c>
      <c r="AG128" s="123">
        <f t="shared" si="83"/>
        <v>12.128888888888888</v>
      </c>
      <c r="AH128" s="120">
        <f t="shared" si="69"/>
        <v>11.47037037037037</v>
      </c>
      <c r="AI128" s="118"/>
      <c r="AJ128" s="89"/>
      <c r="AK128" s="119"/>
      <c r="AL128" s="107"/>
      <c r="AM128" s="107"/>
      <c r="AN128" s="101"/>
      <c r="AO128" s="147"/>
      <c r="AP128" s="107"/>
      <c r="AQ128" s="107"/>
      <c r="AR128" s="107"/>
      <c r="AS128" s="89">
        <f t="shared" si="67"/>
        <v>11.47037037037037</v>
      </c>
      <c r="AT128" s="236">
        <f t="shared" si="84"/>
        <v>12.463975305630116</v>
      </c>
      <c r="AU128" s="229">
        <f t="shared" si="68"/>
        <v>1715.5969565127318</v>
      </c>
      <c r="AV128" s="229">
        <f t="shared" si="85"/>
        <v>167.09695651273182</v>
      </c>
    </row>
    <row r="129" spans="1:48" s="106" customFormat="1" ht="12" customHeight="1">
      <c r="A129" s="131" t="str">
        <f t="shared" si="70"/>
        <v>PA-CR6YD1W</v>
      </c>
      <c r="B129" s="264" t="s">
        <v>205</v>
      </c>
      <c r="C129" s="264" t="s">
        <v>128</v>
      </c>
      <c r="D129" s="149">
        <v>470.45</v>
      </c>
      <c r="E129" s="148" t="s">
        <v>161</v>
      </c>
      <c r="F129" s="122"/>
      <c r="G129" s="130">
        <v>0</v>
      </c>
      <c r="H129" s="130">
        <v>0</v>
      </c>
      <c r="I129" s="130">
        <v>0</v>
      </c>
      <c r="J129" s="130">
        <v>0</v>
      </c>
      <c r="K129" s="130">
        <v>117.61</v>
      </c>
      <c r="L129" s="130">
        <v>470.45</v>
      </c>
      <c r="M129" s="130">
        <v>470.45</v>
      </c>
      <c r="N129" s="130">
        <v>470.45</v>
      </c>
      <c r="O129" s="130">
        <v>470.45</v>
      </c>
      <c r="P129" s="130">
        <v>470.45</v>
      </c>
      <c r="Q129" s="130">
        <v>470.45</v>
      </c>
      <c r="R129" s="130">
        <v>470.45</v>
      </c>
      <c r="S129" s="265">
        <f t="shared" si="71"/>
        <v>3410.7599999999998</v>
      </c>
      <c r="T129" s="131">
        <v>33010</v>
      </c>
      <c r="V129" s="130">
        <f t="shared" si="72"/>
        <v>0</v>
      </c>
      <c r="W129" s="130">
        <f t="shared" si="73"/>
        <v>0</v>
      </c>
      <c r="X129" s="130">
        <f t="shared" si="74"/>
        <v>0</v>
      </c>
      <c r="Y129" s="130">
        <f t="shared" si="75"/>
        <v>0</v>
      </c>
      <c r="Z129" s="130">
        <f t="shared" si="76"/>
        <v>0.24999468593899457</v>
      </c>
      <c r="AA129" s="130">
        <f t="shared" si="77"/>
        <v>1</v>
      </c>
      <c r="AB129" s="130">
        <f t="shared" si="78"/>
        <v>1</v>
      </c>
      <c r="AC129" s="130">
        <f t="shared" si="79"/>
        <v>1</v>
      </c>
      <c r="AD129" s="130">
        <f t="shared" si="80"/>
        <v>1</v>
      </c>
      <c r="AE129" s="130">
        <f t="shared" si="81"/>
        <v>1</v>
      </c>
      <c r="AF129" s="130">
        <f t="shared" si="82"/>
        <v>1</v>
      </c>
      <c r="AG129" s="130">
        <f t="shared" si="83"/>
        <v>1</v>
      </c>
      <c r="AH129" s="265">
        <f t="shared" si="69"/>
        <v>0.90624933574237432</v>
      </c>
      <c r="AI129" s="118"/>
      <c r="AJ129" s="89"/>
      <c r="AK129" s="119" t="s">
        <v>482</v>
      </c>
      <c r="AL129" s="107"/>
      <c r="AM129" s="107"/>
      <c r="AN129" s="101">
        <v>1</v>
      </c>
      <c r="AO129" s="127">
        <f>+AH129*AN129</f>
        <v>0.90624933574237432</v>
      </c>
      <c r="AP129" s="107"/>
      <c r="AQ129" s="107"/>
      <c r="AR129" s="107"/>
      <c r="AS129" s="268">
        <f t="shared" si="67"/>
        <v>0.90624933574237432</v>
      </c>
      <c r="AT129" s="236">
        <f t="shared" si="84"/>
        <v>521.21574955854999</v>
      </c>
      <c r="AU129" s="229">
        <f t="shared" si="68"/>
        <v>5668.2171217907953</v>
      </c>
      <c r="AV129" s="229">
        <f t="shared" si="85"/>
        <v>2257.4571217907956</v>
      </c>
    </row>
    <row r="130" spans="1:48" s="107" customFormat="1" ht="12" customHeight="1">
      <c r="A130" s="107" t="str">
        <f t="shared" si="70"/>
        <v>PA-CRDELTO8</v>
      </c>
      <c r="B130" s="99" t="s">
        <v>263</v>
      </c>
      <c r="C130" s="99" t="s">
        <v>264</v>
      </c>
      <c r="D130" s="149">
        <v>30.85</v>
      </c>
      <c r="E130" s="148">
        <v>15</v>
      </c>
      <c r="F130" s="122"/>
      <c r="G130" s="120">
        <v>0</v>
      </c>
      <c r="H130" s="120">
        <v>92.55</v>
      </c>
      <c r="I130" s="120">
        <v>30.85</v>
      </c>
      <c r="J130" s="120">
        <v>30.85</v>
      </c>
      <c r="K130" s="120">
        <v>123.4</v>
      </c>
      <c r="L130" s="120">
        <v>0</v>
      </c>
      <c r="M130" s="120">
        <v>30.85</v>
      </c>
      <c r="N130" s="120">
        <v>61.7</v>
      </c>
      <c r="O130" s="120">
        <v>0</v>
      </c>
      <c r="P130" s="120">
        <v>61.7</v>
      </c>
      <c r="Q130" s="120">
        <v>0</v>
      </c>
      <c r="R130" s="120">
        <v>30.85</v>
      </c>
      <c r="S130" s="120">
        <f t="shared" si="71"/>
        <v>462.75</v>
      </c>
      <c r="T130" s="107">
        <v>33010</v>
      </c>
      <c r="V130" s="123">
        <f t="shared" si="72"/>
        <v>0</v>
      </c>
      <c r="W130" s="123">
        <f t="shared" si="73"/>
        <v>2.9999999999999996</v>
      </c>
      <c r="X130" s="123">
        <f t="shared" si="74"/>
        <v>1</v>
      </c>
      <c r="Y130" s="123">
        <f t="shared" si="75"/>
        <v>1</v>
      </c>
      <c r="Z130" s="123">
        <f t="shared" si="76"/>
        <v>4</v>
      </c>
      <c r="AA130" s="123">
        <f t="shared" si="77"/>
        <v>0</v>
      </c>
      <c r="AB130" s="123">
        <f t="shared" si="78"/>
        <v>1</v>
      </c>
      <c r="AC130" s="123">
        <f t="shared" si="79"/>
        <v>2</v>
      </c>
      <c r="AD130" s="123">
        <f t="shared" si="80"/>
        <v>0</v>
      </c>
      <c r="AE130" s="123">
        <f t="shared" si="81"/>
        <v>2</v>
      </c>
      <c r="AF130" s="123">
        <f t="shared" si="82"/>
        <v>0</v>
      </c>
      <c r="AG130" s="123">
        <f t="shared" si="83"/>
        <v>1</v>
      </c>
      <c r="AH130" s="120">
        <f t="shared" si="69"/>
        <v>1.875</v>
      </c>
      <c r="AI130" s="118"/>
      <c r="AJ130" s="89"/>
      <c r="AK130" s="119"/>
      <c r="AN130" s="101"/>
      <c r="AO130" s="147"/>
      <c r="AS130" s="89">
        <f t="shared" si="67"/>
        <v>1.875</v>
      </c>
      <c r="AT130" s="236">
        <f t="shared" si="84"/>
        <v>34.178990060327919</v>
      </c>
      <c r="AU130" s="229">
        <f t="shared" si="68"/>
        <v>769.02727635737824</v>
      </c>
      <c r="AV130" s="229">
        <f t="shared" si="85"/>
        <v>306.27727635737824</v>
      </c>
    </row>
    <row r="131" spans="1:48" s="144" customFormat="1" ht="12" customHeight="1">
      <c r="A131" s="107" t="str">
        <f t="shared" si="70"/>
        <v>PA-CCLOCKEOW</v>
      </c>
      <c r="B131" s="99" t="s">
        <v>259</v>
      </c>
      <c r="C131" s="99" t="s">
        <v>260</v>
      </c>
      <c r="D131" s="149">
        <v>2.4300000000000002</v>
      </c>
      <c r="E131" s="148" t="s">
        <v>161</v>
      </c>
      <c r="F131" s="122"/>
      <c r="G131" s="120">
        <v>70.47</v>
      </c>
      <c r="H131" s="120">
        <v>70.47</v>
      </c>
      <c r="I131" s="120">
        <v>68.040000000000006</v>
      </c>
      <c r="J131" s="120">
        <v>66.819999999999993</v>
      </c>
      <c r="K131" s="120">
        <v>68.040000000000006</v>
      </c>
      <c r="L131" s="120">
        <v>70.47</v>
      </c>
      <c r="M131" s="120">
        <v>71.680000000000007</v>
      </c>
      <c r="N131" s="120">
        <v>68.040000000000006</v>
      </c>
      <c r="O131" s="120">
        <v>68.040000000000006</v>
      </c>
      <c r="P131" s="120">
        <v>65.61</v>
      </c>
      <c r="Q131" s="120">
        <v>65.61</v>
      </c>
      <c r="R131" s="120">
        <v>66.819999999999993</v>
      </c>
      <c r="S131" s="120">
        <f t="shared" si="71"/>
        <v>820.11000000000013</v>
      </c>
      <c r="T131" s="107">
        <v>33011</v>
      </c>
      <c r="V131" s="123">
        <f t="shared" si="72"/>
        <v>28.999999999999996</v>
      </c>
      <c r="W131" s="123">
        <f t="shared" si="73"/>
        <v>28.999999999999996</v>
      </c>
      <c r="X131" s="123">
        <f t="shared" si="74"/>
        <v>28</v>
      </c>
      <c r="Y131" s="123">
        <f t="shared" si="75"/>
        <v>27.497942386831269</v>
      </c>
      <c r="Z131" s="123">
        <f t="shared" si="76"/>
        <v>28</v>
      </c>
      <c r="AA131" s="123">
        <f t="shared" si="77"/>
        <v>28.999999999999996</v>
      </c>
      <c r="AB131" s="123">
        <f t="shared" si="78"/>
        <v>29.497942386831276</v>
      </c>
      <c r="AC131" s="123">
        <f t="shared" si="79"/>
        <v>28</v>
      </c>
      <c r="AD131" s="123">
        <f t="shared" si="80"/>
        <v>28</v>
      </c>
      <c r="AE131" s="123">
        <f t="shared" si="81"/>
        <v>26.999999999999996</v>
      </c>
      <c r="AF131" s="123">
        <f t="shared" si="82"/>
        <v>26.999999999999996</v>
      </c>
      <c r="AG131" s="123">
        <f t="shared" si="83"/>
        <v>27.497942386831269</v>
      </c>
      <c r="AH131" s="120">
        <f t="shared" si="69"/>
        <v>28.124485596707814</v>
      </c>
      <c r="AI131" s="118"/>
      <c r="AJ131" s="89"/>
      <c r="AK131" s="119"/>
      <c r="AL131" s="107"/>
      <c r="AM131" s="107"/>
      <c r="AN131" s="101"/>
      <c r="AO131" s="147"/>
      <c r="AP131" s="107"/>
      <c r="AQ131" s="107"/>
      <c r="AR131" s="107"/>
      <c r="AS131" s="89">
        <f t="shared" si="67"/>
        <v>28.124485596707814</v>
      </c>
      <c r="AT131" s="236">
        <f t="shared" si="84"/>
        <v>2.6922186660161049</v>
      </c>
      <c r="AU131" s="229">
        <f t="shared" si="68"/>
        <v>908.6071811466943</v>
      </c>
      <c r="AV131" s="229">
        <f t="shared" si="85"/>
        <v>88.497181146694174</v>
      </c>
    </row>
    <row r="132" spans="1:48" s="106" customFormat="1" ht="12" customHeight="1">
      <c r="A132" s="131" t="str">
        <f t="shared" si="70"/>
        <v>PA-C96CW1</v>
      </c>
      <c r="B132" s="264" t="s">
        <v>388</v>
      </c>
      <c r="C132" s="264" t="s">
        <v>389</v>
      </c>
      <c r="D132" s="149">
        <v>43.2</v>
      </c>
      <c r="E132" s="148" t="s">
        <v>466</v>
      </c>
      <c r="F132" s="122"/>
      <c r="G132" s="130">
        <v>1425.86</v>
      </c>
      <c r="H132" s="130">
        <v>1425.86</v>
      </c>
      <c r="I132" s="130">
        <v>1468.8</v>
      </c>
      <c r="J132" s="130">
        <v>1468.8</v>
      </c>
      <c r="K132" s="130">
        <v>1436.4</v>
      </c>
      <c r="L132" s="130">
        <v>1414.8</v>
      </c>
      <c r="M132" s="130">
        <v>1425.6</v>
      </c>
      <c r="N132" s="130">
        <v>1425.6</v>
      </c>
      <c r="O132" s="130">
        <v>1425.6</v>
      </c>
      <c r="P132" s="130">
        <v>1425.6</v>
      </c>
      <c r="Q132" s="130">
        <v>1404</v>
      </c>
      <c r="R132" s="130">
        <v>1425.6</v>
      </c>
      <c r="S132" s="265">
        <f t="shared" si="71"/>
        <v>17172.52</v>
      </c>
      <c r="T132" s="131">
        <v>33010</v>
      </c>
      <c r="V132" s="130">
        <f t="shared" si="72"/>
        <v>33.006018518518516</v>
      </c>
      <c r="W132" s="130">
        <f t="shared" si="73"/>
        <v>33.006018518518516</v>
      </c>
      <c r="X132" s="130">
        <f t="shared" si="74"/>
        <v>34</v>
      </c>
      <c r="Y132" s="130">
        <f t="shared" si="75"/>
        <v>34</v>
      </c>
      <c r="Z132" s="130">
        <f t="shared" si="76"/>
        <v>33.25</v>
      </c>
      <c r="AA132" s="130">
        <f t="shared" si="77"/>
        <v>32.75</v>
      </c>
      <c r="AB132" s="130">
        <f t="shared" si="78"/>
        <v>32.999999999999993</v>
      </c>
      <c r="AC132" s="130">
        <f t="shared" si="79"/>
        <v>32.999999999999993</v>
      </c>
      <c r="AD132" s="130">
        <f t="shared" si="80"/>
        <v>32.999999999999993</v>
      </c>
      <c r="AE132" s="130">
        <f t="shared" si="81"/>
        <v>32.999999999999993</v>
      </c>
      <c r="AF132" s="130">
        <f t="shared" si="82"/>
        <v>32.5</v>
      </c>
      <c r="AG132" s="130">
        <f t="shared" si="83"/>
        <v>32.999999999999993</v>
      </c>
      <c r="AH132" s="265">
        <f t="shared" si="69"/>
        <v>33.12600308641975</v>
      </c>
      <c r="AI132" s="118"/>
      <c r="AJ132" s="89"/>
      <c r="AK132" s="119">
        <v>96</v>
      </c>
      <c r="AL132" s="107">
        <v>1</v>
      </c>
      <c r="AM132" s="107">
        <f>+AH132*AL132</f>
        <v>33.12600308641975</v>
      </c>
      <c r="AN132" s="101"/>
      <c r="AO132" s="127"/>
      <c r="AP132" s="107"/>
      <c r="AQ132" s="107"/>
      <c r="AR132" s="107"/>
      <c r="AS132" s="268">
        <f t="shared" si="67"/>
        <v>33.12600308641975</v>
      </c>
      <c r="AT132" s="236">
        <f t="shared" si="84"/>
        <v>47.861665173619649</v>
      </c>
      <c r="AU132" s="229">
        <f t="shared" si="68"/>
        <v>19025.588019150156</v>
      </c>
      <c r="AV132" s="229">
        <f t="shared" si="85"/>
        <v>1853.068019150156</v>
      </c>
    </row>
    <row r="133" spans="1:48" s="144" customFormat="1" ht="12" customHeight="1">
      <c r="A133" s="107" t="str">
        <f t="shared" si="70"/>
        <v>PA-CCGATE</v>
      </c>
      <c r="B133" s="99" t="s">
        <v>257</v>
      </c>
      <c r="C133" s="99" t="s">
        <v>258</v>
      </c>
      <c r="D133" s="149">
        <v>2.5299999999999998</v>
      </c>
      <c r="E133" s="148">
        <v>19</v>
      </c>
      <c r="F133" s="122"/>
      <c r="G133" s="120">
        <v>68.3</v>
      </c>
      <c r="H133" s="120">
        <v>68.31</v>
      </c>
      <c r="I133" s="120">
        <v>70.84</v>
      </c>
      <c r="J133" s="120">
        <v>74.63</v>
      </c>
      <c r="K133" s="120">
        <v>75.900000000000006</v>
      </c>
      <c r="L133" s="120">
        <v>75.900000000000006</v>
      </c>
      <c r="M133" s="120">
        <v>75.900000000000006</v>
      </c>
      <c r="N133" s="120">
        <v>75.900000000000006</v>
      </c>
      <c r="O133" s="120">
        <v>75.900000000000006</v>
      </c>
      <c r="P133" s="120">
        <v>75.900000000000006</v>
      </c>
      <c r="Q133" s="120">
        <v>77.790000000000006</v>
      </c>
      <c r="R133" s="120">
        <v>79.69</v>
      </c>
      <c r="S133" s="120">
        <f t="shared" si="71"/>
        <v>894.95999999999981</v>
      </c>
      <c r="T133" s="107">
        <v>33011</v>
      </c>
      <c r="V133" s="123">
        <f t="shared" si="72"/>
        <v>26.996047430830039</v>
      </c>
      <c r="W133" s="123">
        <f t="shared" si="73"/>
        <v>27.000000000000004</v>
      </c>
      <c r="X133" s="123">
        <f t="shared" si="74"/>
        <v>28.000000000000004</v>
      </c>
      <c r="Y133" s="123">
        <f t="shared" si="75"/>
        <v>29.49802371541502</v>
      </c>
      <c r="Z133" s="123">
        <f t="shared" si="76"/>
        <v>30.000000000000004</v>
      </c>
      <c r="AA133" s="123">
        <f t="shared" si="77"/>
        <v>30.000000000000004</v>
      </c>
      <c r="AB133" s="123">
        <f t="shared" si="78"/>
        <v>30.000000000000004</v>
      </c>
      <c r="AC133" s="123">
        <f t="shared" si="79"/>
        <v>30.000000000000004</v>
      </c>
      <c r="AD133" s="123">
        <f t="shared" si="80"/>
        <v>30.000000000000004</v>
      </c>
      <c r="AE133" s="123">
        <f t="shared" si="81"/>
        <v>30.000000000000004</v>
      </c>
      <c r="AF133" s="123">
        <f t="shared" si="82"/>
        <v>30.747035573122535</v>
      </c>
      <c r="AG133" s="123">
        <f t="shared" si="83"/>
        <v>31.49802371541502</v>
      </c>
      <c r="AH133" s="120">
        <f t="shared" si="69"/>
        <v>29.478260869565219</v>
      </c>
      <c r="AI133" s="118"/>
      <c r="AJ133" s="89"/>
      <c r="AK133" s="119"/>
      <c r="AL133" s="107"/>
      <c r="AM133" s="107"/>
      <c r="AN133" s="101"/>
      <c r="AO133" s="147"/>
      <c r="AP133" s="107"/>
      <c r="AQ133" s="107"/>
      <c r="AR133" s="107"/>
      <c r="AS133" s="89">
        <f t="shared" si="67"/>
        <v>29.478260869565219</v>
      </c>
      <c r="AT133" s="236">
        <f t="shared" si="84"/>
        <v>2.8030095576217056</v>
      </c>
      <c r="AU133" s="229">
        <f t="shared" si="68"/>
        <v>991.53416351348676</v>
      </c>
      <c r="AV133" s="229">
        <f t="shared" si="85"/>
        <v>96.574163513486951</v>
      </c>
    </row>
    <row r="134" spans="1:48" s="106" customFormat="1" ht="12" customHeight="1">
      <c r="A134" s="131" t="str">
        <f t="shared" si="70"/>
        <v>PA-C35CW1</v>
      </c>
      <c r="B134" s="264" t="s">
        <v>237</v>
      </c>
      <c r="C134" s="264" t="s">
        <v>158</v>
      </c>
      <c r="D134" s="149">
        <v>25.98</v>
      </c>
      <c r="E134" s="148" t="s">
        <v>466</v>
      </c>
      <c r="F134" s="122"/>
      <c r="G134" s="130">
        <v>279.27999999999997</v>
      </c>
      <c r="H134" s="130">
        <v>285.77999999999997</v>
      </c>
      <c r="I134" s="130">
        <v>285.77999999999997</v>
      </c>
      <c r="J134" s="130">
        <v>285.77999999999997</v>
      </c>
      <c r="K134" s="130">
        <v>285.77999999999997</v>
      </c>
      <c r="L134" s="130">
        <v>285.77999999999997</v>
      </c>
      <c r="M134" s="130">
        <v>285.77999999999997</v>
      </c>
      <c r="N134" s="130">
        <v>285.77999999999997</v>
      </c>
      <c r="O134" s="130">
        <v>285.77999999999997</v>
      </c>
      <c r="P134" s="130">
        <v>285.77999999999997</v>
      </c>
      <c r="Q134" s="130">
        <v>285.77999999999997</v>
      </c>
      <c r="R134" s="130">
        <v>292.27</v>
      </c>
      <c r="S134" s="265">
        <f t="shared" si="71"/>
        <v>3429.349999999999</v>
      </c>
      <c r="T134" s="131">
        <v>33010</v>
      </c>
      <c r="V134" s="130">
        <f t="shared" si="72"/>
        <v>10.749807544264819</v>
      </c>
      <c r="W134" s="130">
        <f t="shared" si="73"/>
        <v>10.999999999999998</v>
      </c>
      <c r="X134" s="130">
        <f t="shared" si="74"/>
        <v>10.999999999999998</v>
      </c>
      <c r="Y134" s="130">
        <f t="shared" si="75"/>
        <v>10.999999999999998</v>
      </c>
      <c r="Z134" s="130">
        <f t="shared" si="76"/>
        <v>10.999999999999998</v>
      </c>
      <c r="AA134" s="130">
        <f t="shared" si="77"/>
        <v>10.999999999999998</v>
      </c>
      <c r="AB134" s="130">
        <f t="shared" si="78"/>
        <v>10.999999999999998</v>
      </c>
      <c r="AC134" s="130">
        <f t="shared" si="79"/>
        <v>10.999999999999998</v>
      </c>
      <c r="AD134" s="130">
        <f t="shared" si="80"/>
        <v>10.999999999999998</v>
      </c>
      <c r="AE134" s="130">
        <f t="shared" si="81"/>
        <v>10.999999999999998</v>
      </c>
      <c r="AF134" s="130">
        <f t="shared" si="82"/>
        <v>10.999999999999998</v>
      </c>
      <c r="AG134" s="130">
        <f t="shared" si="83"/>
        <v>11.249807544264819</v>
      </c>
      <c r="AH134" s="265">
        <f t="shared" si="69"/>
        <v>10.999967924044135</v>
      </c>
      <c r="AI134" s="118"/>
      <c r="AJ134" s="89"/>
      <c r="AK134" s="102">
        <v>35</v>
      </c>
      <c r="AL134" s="101">
        <v>1</v>
      </c>
      <c r="AM134" s="127">
        <f>+AL134*AH134</f>
        <v>10.999967924044135</v>
      </c>
      <c r="AN134" s="101"/>
      <c r="AO134" s="127"/>
      <c r="AP134"/>
      <c r="AQ134" s="146"/>
      <c r="AR134" s="107"/>
      <c r="AS134" s="268">
        <f>+AH134+AH113</f>
        <v>11.999967924044135</v>
      </c>
      <c r="AT134" s="236">
        <f t="shared" si="84"/>
        <v>28.783473639135149</v>
      </c>
      <c r="AU134" s="229">
        <f>+AT134*AS134*12</f>
        <v>4144.8091249463005</v>
      </c>
      <c r="AV134" s="229">
        <f t="shared" si="85"/>
        <v>715.45912494630147</v>
      </c>
    </row>
    <row r="135" spans="1:48" s="106" customFormat="1" ht="12" customHeight="1">
      <c r="A135" s="131" t="str">
        <f t="shared" si="70"/>
        <v>PA-C60CW1</v>
      </c>
      <c r="B135" s="264" t="s">
        <v>238</v>
      </c>
      <c r="C135" s="264" t="s">
        <v>159</v>
      </c>
      <c r="D135" s="149">
        <v>33.21</v>
      </c>
      <c r="E135" s="148" t="s">
        <v>466</v>
      </c>
      <c r="F135" s="122"/>
      <c r="G135" s="130">
        <v>1062.72</v>
      </c>
      <c r="H135" s="130">
        <v>1087.6199999999999</v>
      </c>
      <c r="I135" s="130">
        <v>1112.53</v>
      </c>
      <c r="J135" s="130">
        <v>1129.1400000000001</v>
      </c>
      <c r="K135" s="130">
        <v>1129.1400000000001</v>
      </c>
      <c r="L135" s="130">
        <v>1129.1400000000001</v>
      </c>
      <c r="M135" s="130">
        <v>1129.1400000000001</v>
      </c>
      <c r="N135" s="130">
        <v>1129.1400000000001</v>
      </c>
      <c r="O135" s="130">
        <v>1129.1400000000001</v>
      </c>
      <c r="P135" s="130">
        <v>1129.1400000000001</v>
      </c>
      <c r="Q135" s="130">
        <v>1129.1400000000001</v>
      </c>
      <c r="R135" s="130">
        <v>1095.93</v>
      </c>
      <c r="S135" s="265">
        <f t="shared" si="71"/>
        <v>13391.92</v>
      </c>
      <c r="T135" s="131">
        <v>33010</v>
      </c>
      <c r="V135" s="130">
        <f t="shared" si="72"/>
        <v>32</v>
      </c>
      <c r="W135" s="130">
        <f t="shared" si="73"/>
        <v>32.749774164408308</v>
      </c>
      <c r="X135" s="130">
        <f t="shared" si="74"/>
        <v>33.499849442938874</v>
      </c>
      <c r="Y135" s="130">
        <f t="shared" si="75"/>
        <v>34</v>
      </c>
      <c r="Z135" s="130">
        <f t="shared" si="76"/>
        <v>34</v>
      </c>
      <c r="AA135" s="130">
        <f t="shared" si="77"/>
        <v>34</v>
      </c>
      <c r="AB135" s="130">
        <f t="shared" si="78"/>
        <v>34</v>
      </c>
      <c r="AC135" s="130">
        <f t="shared" si="79"/>
        <v>34</v>
      </c>
      <c r="AD135" s="130">
        <f t="shared" si="80"/>
        <v>34</v>
      </c>
      <c r="AE135" s="130">
        <f t="shared" si="81"/>
        <v>34</v>
      </c>
      <c r="AF135" s="130">
        <f t="shared" si="82"/>
        <v>34</v>
      </c>
      <c r="AG135" s="130">
        <f t="shared" si="83"/>
        <v>33</v>
      </c>
      <c r="AH135" s="265">
        <f t="shared" si="69"/>
        <v>33.604135300612263</v>
      </c>
      <c r="AI135" s="118"/>
      <c r="AJ135" s="89"/>
      <c r="AK135" s="102">
        <v>60</v>
      </c>
      <c r="AL135" s="101">
        <v>1</v>
      </c>
      <c r="AM135" s="127">
        <f>+AL135*AH135</f>
        <v>33.604135300612263</v>
      </c>
      <c r="AN135" s="101"/>
      <c r="AO135" s="127"/>
      <c r="AP135" s="107"/>
      <c r="AQ135" s="107"/>
      <c r="AR135" s="107"/>
      <c r="AS135" s="268">
        <f t="shared" ref="AS135:AS153" si="86">+AH135</f>
        <v>33.604135300612263</v>
      </c>
      <c r="AT135" s="236">
        <f t="shared" si="84"/>
        <v>36.7936551022201</v>
      </c>
      <c r="AU135" s="229">
        <f t="shared" ref="AU135:AU154" si="87">+AT135*AH135*12</f>
        <v>14837.027571108803</v>
      </c>
      <c r="AV135" s="229">
        <f t="shared" si="85"/>
        <v>1445.1075711088033</v>
      </c>
    </row>
    <row r="136" spans="1:48" s="106" customFormat="1" ht="12" customHeight="1">
      <c r="A136" s="131" t="str">
        <f t="shared" si="70"/>
        <v>PA-C60CW2</v>
      </c>
      <c r="B136" s="264" t="s">
        <v>239</v>
      </c>
      <c r="C136" s="264" t="s">
        <v>160</v>
      </c>
      <c r="D136" s="149">
        <v>66.42</v>
      </c>
      <c r="E136" s="148" t="s">
        <v>466</v>
      </c>
      <c r="F136" s="122"/>
      <c r="G136" s="130">
        <v>66.42</v>
      </c>
      <c r="H136" s="130">
        <v>66.42</v>
      </c>
      <c r="I136" s="130">
        <v>66.42</v>
      </c>
      <c r="J136" s="130">
        <v>66.42</v>
      </c>
      <c r="K136" s="130">
        <v>66.42</v>
      </c>
      <c r="L136" s="130">
        <v>66.42</v>
      </c>
      <c r="M136" s="130">
        <v>66.42</v>
      </c>
      <c r="N136" s="130">
        <v>66.42</v>
      </c>
      <c r="O136" s="130">
        <v>66.42</v>
      </c>
      <c r="P136" s="130">
        <v>66.42</v>
      </c>
      <c r="Q136" s="130">
        <v>66.42</v>
      </c>
      <c r="R136" s="130">
        <v>66.42</v>
      </c>
      <c r="S136" s="265">
        <f t="shared" si="71"/>
        <v>797.03999999999985</v>
      </c>
      <c r="T136" s="131">
        <v>33010</v>
      </c>
      <c r="V136" s="130">
        <f t="shared" si="72"/>
        <v>1</v>
      </c>
      <c r="W136" s="130">
        <f t="shared" si="73"/>
        <v>1</v>
      </c>
      <c r="X136" s="130">
        <f t="shared" si="74"/>
        <v>1</v>
      </c>
      <c r="Y136" s="130">
        <f t="shared" si="75"/>
        <v>1</v>
      </c>
      <c r="Z136" s="130">
        <f t="shared" si="76"/>
        <v>1</v>
      </c>
      <c r="AA136" s="130">
        <f t="shared" si="77"/>
        <v>1</v>
      </c>
      <c r="AB136" s="130">
        <f t="shared" si="78"/>
        <v>1</v>
      </c>
      <c r="AC136" s="130">
        <f t="shared" si="79"/>
        <v>1</v>
      </c>
      <c r="AD136" s="130">
        <f t="shared" si="80"/>
        <v>1</v>
      </c>
      <c r="AE136" s="130">
        <f t="shared" si="81"/>
        <v>1</v>
      </c>
      <c r="AF136" s="130">
        <f t="shared" si="82"/>
        <v>1</v>
      </c>
      <c r="AG136" s="130">
        <f t="shared" si="83"/>
        <v>1</v>
      </c>
      <c r="AH136" s="265">
        <f t="shared" si="69"/>
        <v>1</v>
      </c>
      <c r="AI136" s="118"/>
      <c r="AJ136" s="89"/>
      <c r="AK136" s="102">
        <v>60</v>
      </c>
      <c r="AL136" s="101">
        <v>2</v>
      </c>
      <c r="AM136" s="127">
        <f>+AL136*AH136</f>
        <v>2</v>
      </c>
      <c r="AN136" s="101"/>
      <c r="AO136" s="127"/>
      <c r="AP136" s="101"/>
      <c r="AQ136" s="101"/>
      <c r="AR136" s="107"/>
      <c r="AS136" s="268">
        <f t="shared" si="86"/>
        <v>1</v>
      </c>
      <c r="AT136" s="236">
        <f t="shared" si="84"/>
        <v>73.5873102044402</v>
      </c>
      <c r="AU136" s="229">
        <f t="shared" si="87"/>
        <v>883.0477224532824</v>
      </c>
      <c r="AV136" s="229">
        <f t="shared" si="85"/>
        <v>86.007722453282554</v>
      </c>
    </row>
    <row r="137" spans="1:48" s="107" customFormat="1" ht="12" customHeight="1">
      <c r="A137" s="107" t="str">
        <f t="shared" si="70"/>
        <v>PA-CCCARRYOUT OVER 25</v>
      </c>
      <c r="B137" s="100" t="s">
        <v>251</v>
      </c>
      <c r="C137" s="100" t="s">
        <v>252</v>
      </c>
      <c r="D137" s="149">
        <v>0.83</v>
      </c>
      <c r="E137" s="148">
        <v>19</v>
      </c>
      <c r="F137" s="122"/>
      <c r="G137" s="120">
        <v>3.32</v>
      </c>
      <c r="H137" s="120">
        <v>3.32</v>
      </c>
      <c r="I137" s="120">
        <v>3.32</v>
      </c>
      <c r="J137" s="120">
        <v>3.32</v>
      </c>
      <c r="K137" s="120">
        <v>3.32</v>
      </c>
      <c r="L137" s="120">
        <v>3.32</v>
      </c>
      <c r="M137" s="120">
        <v>3.32</v>
      </c>
      <c r="N137" s="120">
        <v>3.32</v>
      </c>
      <c r="O137" s="120">
        <v>3.32</v>
      </c>
      <c r="P137" s="120">
        <v>3.32</v>
      </c>
      <c r="Q137" s="120">
        <v>3.32</v>
      </c>
      <c r="R137" s="120">
        <v>3.32</v>
      </c>
      <c r="S137" s="120">
        <f t="shared" si="71"/>
        <v>39.839999999999996</v>
      </c>
      <c r="T137" s="107">
        <v>33010</v>
      </c>
      <c r="V137" s="123">
        <f t="shared" si="72"/>
        <v>4</v>
      </c>
      <c r="W137" s="123">
        <f t="shared" si="73"/>
        <v>4</v>
      </c>
      <c r="X137" s="123">
        <f t="shared" si="74"/>
        <v>4</v>
      </c>
      <c r="Y137" s="123">
        <f t="shared" si="75"/>
        <v>4</v>
      </c>
      <c r="Z137" s="123">
        <f t="shared" si="76"/>
        <v>4</v>
      </c>
      <c r="AA137" s="123">
        <f t="shared" si="77"/>
        <v>4</v>
      </c>
      <c r="AB137" s="123">
        <f t="shared" si="78"/>
        <v>4</v>
      </c>
      <c r="AC137" s="123">
        <f t="shared" si="79"/>
        <v>4</v>
      </c>
      <c r="AD137" s="123">
        <f t="shared" si="80"/>
        <v>4</v>
      </c>
      <c r="AE137" s="123">
        <f t="shared" si="81"/>
        <v>4</v>
      </c>
      <c r="AF137" s="123">
        <f t="shared" si="82"/>
        <v>4</v>
      </c>
      <c r="AG137" s="123">
        <f t="shared" si="83"/>
        <v>4</v>
      </c>
      <c r="AH137" s="120">
        <f t="shared" si="69"/>
        <v>4</v>
      </c>
      <c r="AI137" s="118"/>
      <c r="AJ137" s="89"/>
      <c r="AK137" s="102"/>
      <c r="AL137" s="101"/>
      <c r="AM137" s="101"/>
      <c r="AN137" s="15"/>
      <c r="AO137" s="136"/>
      <c r="AP137" s="101"/>
      <c r="AQ137" s="101"/>
      <c r="AR137" s="101"/>
      <c r="AS137" s="89">
        <f t="shared" si="86"/>
        <v>4</v>
      </c>
      <c r="AT137" s="236">
        <f t="shared" si="84"/>
        <v>0.91956440032648845</v>
      </c>
      <c r="AU137" s="229">
        <f t="shared" si="87"/>
        <v>44.139091215671442</v>
      </c>
      <c r="AV137" s="229">
        <f t="shared" si="85"/>
        <v>4.2990912156714458</v>
      </c>
    </row>
    <row r="138" spans="1:48" s="144" customFormat="1" ht="12" customHeight="1">
      <c r="A138" s="107" t="str">
        <f t="shared" si="70"/>
        <v>PA-CCGATEEOW</v>
      </c>
      <c r="B138" s="100" t="s">
        <v>481</v>
      </c>
      <c r="C138" s="100" t="s">
        <v>558</v>
      </c>
      <c r="D138" s="149">
        <f>1.12*2.17</f>
        <v>2.4304000000000001</v>
      </c>
      <c r="E138" s="148" t="s">
        <v>466</v>
      </c>
      <c r="F138" s="122"/>
      <c r="G138" s="120">
        <v>9.7200000000000006</v>
      </c>
      <c r="H138" s="120">
        <v>9.7200000000000006</v>
      </c>
      <c r="I138" s="120">
        <v>9.7200000000000006</v>
      </c>
      <c r="J138" s="120">
        <v>9.7200000000000006</v>
      </c>
      <c r="K138" s="120">
        <v>9.7200000000000006</v>
      </c>
      <c r="L138" s="120">
        <v>9.7200000000000006</v>
      </c>
      <c r="M138" s="120">
        <v>9.7200000000000006</v>
      </c>
      <c r="N138" s="120">
        <v>9.7200000000000006</v>
      </c>
      <c r="O138" s="120">
        <v>9.7200000000000006</v>
      </c>
      <c r="P138" s="120">
        <v>9.7200000000000006</v>
      </c>
      <c r="Q138" s="120">
        <v>10.93</v>
      </c>
      <c r="R138" s="120">
        <v>12.15</v>
      </c>
      <c r="S138" s="120">
        <f t="shared" si="71"/>
        <v>120.28</v>
      </c>
      <c r="T138" s="107">
        <v>33010</v>
      </c>
      <c r="U138" s="107"/>
      <c r="V138" s="123">
        <f t="shared" si="72"/>
        <v>3.999341672152732</v>
      </c>
      <c r="W138" s="123">
        <f t="shared" si="73"/>
        <v>3.999341672152732</v>
      </c>
      <c r="X138" s="123">
        <f t="shared" si="74"/>
        <v>3.999341672152732</v>
      </c>
      <c r="Y138" s="123">
        <f t="shared" si="75"/>
        <v>3.999341672152732</v>
      </c>
      <c r="Z138" s="123">
        <f t="shared" si="76"/>
        <v>3.999341672152732</v>
      </c>
      <c r="AA138" s="123">
        <f t="shared" si="77"/>
        <v>3.999341672152732</v>
      </c>
      <c r="AB138" s="123">
        <f t="shared" si="78"/>
        <v>3.999341672152732</v>
      </c>
      <c r="AC138" s="123">
        <f t="shared" si="79"/>
        <v>3.999341672152732</v>
      </c>
      <c r="AD138" s="123">
        <f t="shared" si="80"/>
        <v>3.999341672152732</v>
      </c>
      <c r="AE138" s="123">
        <f t="shared" si="81"/>
        <v>3.999341672152732</v>
      </c>
      <c r="AF138" s="123">
        <f t="shared" si="82"/>
        <v>4.4972021066491106</v>
      </c>
      <c r="AG138" s="123">
        <f t="shared" si="83"/>
        <v>4.9991770901909147</v>
      </c>
      <c r="AH138" s="120">
        <f t="shared" si="69"/>
        <v>4.1241496598639449</v>
      </c>
      <c r="AI138" s="118"/>
      <c r="AJ138" s="89"/>
      <c r="AK138" s="102"/>
      <c r="AL138" s="101"/>
      <c r="AM138" s="101"/>
      <c r="AN138" s="15"/>
      <c r="AO138" s="136"/>
      <c r="AP138" s="101"/>
      <c r="AQ138" s="101"/>
      <c r="AR138" s="101"/>
      <c r="AS138" s="89">
        <f t="shared" si="86"/>
        <v>4.1241496598639449</v>
      </c>
      <c r="AT138" s="236">
        <f t="shared" si="84"/>
        <v>2.6926618295825273</v>
      </c>
      <c r="AU138" s="229">
        <f t="shared" si="87"/>
        <v>133.25928442321691</v>
      </c>
      <c r="AV138" s="229">
        <f t="shared" si="85"/>
        <v>12.97928442321691</v>
      </c>
    </row>
    <row r="139" spans="1:48" s="106" customFormat="1" ht="12" customHeight="1">
      <c r="A139" s="131" t="str">
        <f t="shared" si="70"/>
        <v>PA-CR1YDEOW</v>
      </c>
      <c r="B139" s="264" t="s">
        <v>208</v>
      </c>
      <c r="C139" s="264" t="s">
        <v>131</v>
      </c>
      <c r="D139" s="149">
        <v>47.07</v>
      </c>
      <c r="E139" s="148" t="s">
        <v>161</v>
      </c>
      <c r="F139" s="122"/>
      <c r="G139" s="130">
        <v>47.07</v>
      </c>
      <c r="H139" s="130">
        <v>47.07</v>
      </c>
      <c r="I139" s="130">
        <v>0</v>
      </c>
      <c r="J139" s="130">
        <v>94.14</v>
      </c>
      <c r="K139" s="130">
        <v>94.14</v>
      </c>
      <c r="L139" s="130">
        <v>94.14</v>
      </c>
      <c r="M139" s="130">
        <v>94.14</v>
      </c>
      <c r="N139" s="130">
        <v>94.14</v>
      </c>
      <c r="O139" s="130">
        <v>94.14</v>
      </c>
      <c r="P139" s="130">
        <v>94.14</v>
      </c>
      <c r="Q139" s="130">
        <v>94.14</v>
      </c>
      <c r="R139" s="130">
        <v>117.67</v>
      </c>
      <c r="S139" s="265">
        <f t="shared" si="71"/>
        <v>964.93</v>
      </c>
      <c r="T139" s="131">
        <v>33010</v>
      </c>
      <c r="V139" s="130">
        <f t="shared" si="72"/>
        <v>1</v>
      </c>
      <c r="W139" s="130">
        <f t="shared" si="73"/>
        <v>1</v>
      </c>
      <c r="X139" s="130">
        <f t="shared" si="74"/>
        <v>0</v>
      </c>
      <c r="Y139" s="130">
        <f t="shared" si="75"/>
        <v>2</v>
      </c>
      <c r="Z139" s="130">
        <f t="shared" si="76"/>
        <v>2</v>
      </c>
      <c r="AA139" s="130">
        <f t="shared" si="77"/>
        <v>2</v>
      </c>
      <c r="AB139" s="130">
        <f t="shared" si="78"/>
        <v>2</v>
      </c>
      <c r="AC139" s="130">
        <f t="shared" si="79"/>
        <v>2</v>
      </c>
      <c r="AD139" s="130">
        <f t="shared" si="80"/>
        <v>2</v>
      </c>
      <c r="AE139" s="130">
        <f t="shared" si="81"/>
        <v>2</v>
      </c>
      <c r="AF139" s="130">
        <f t="shared" si="82"/>
        <v>2</v>
      </c>
      <c r="AG139" s="130">
        <f t="shared" si="83"/>
        <v>2.4998937752283834</v>
      </c>
      <c r="AH139" s="265">
        <f t="shared" si="69"/>
        <v>1.8636267068389438</v>
      </c>
      <c r="AI139" s="118"/>
      <c r="AJ139" s="89"/>
      <c r="AK139" s="102" t="s">
        <v>480</v>
      </c>
      <c r="AL139" s="136"/>
      <c r="AM139" s="101"/>
      <c r="AN139" s="101">
        <v>1</v>
      </c>
      <c r="AO139" s="127">
        <f>+AH139*AN139</f>
        <v>1.8636267068389438</v>
      </c>
      <c r="AP139" s="101"/>
      <c r="AQ139" s="101"/>
      <c r="AR139" s="107"/>
      <c r="AS139" s="268">
        <f t="shared" si="86"/>
        <v>1.8636267068389438</v>
      </c>
      <c r="AT139" s="236">
        <f t="shared" si="84"/>
        <v>52.149272678756404</v>
      </c>
      <c r="AU139" s="229">
        <f t="shared" si="87"/>
        <v>1166.2413276762827</v>
      </c>
      <c r="AV139" s="229">
        <f t="shared" si="85"/>
        <v>201.31132767628276</v>
      </c>
    </row>
    <row r="140" spans="1:48" s="106" customFormat="1" ht="12" customHeight="1">
      <c r="A140" s="131" t="str">
        <f t="shared" si="70"/>
        <v>PA-CR2YD1M</v>
      </c>
      <c r="B140" s="264" t="s">
        <v>218</v>
      </c>
      <c r="C140" s="264" t="s">
        <v>140</v>
      </c>
      <c r="D140" s="149">
        <v>42.82</v>
      </c>
      <c r="E140" s="148" t="s">
        <v>161</v>
      </c>
      <c r="F140" s="122"/>
      <c r="G140" s="130">
        <v>0</v>
      </c>
      <c r="H140" s="130">
        <v>42.82</v>
      </c>
      <c r="I140" s="130">
        <v>42.82</v>
      </c>
      <c r="J140" s="130">
        <v>42.82</v>
      </c>
      <c r="K140" s="130">
        <v>42.82</v>
      </c>
      <c r="L140" s="130">
        <v>42.82</v>
      </c>
      <c r="M140" s="130">
        <v>42.82</v>
      </c>
      <c r="N140" s="130">
        <v>42.82</v>
      </c>
      <c r="O140" s="130">
        <v>85.64</v>
      </c>
      <c r="P140" s="130">
        <v>85.64</v>
      </c>
      <c r="Q140" s="130">
        <v>128.46</v>
      </c>
      <c r="R140" s="130">
        <v>128.46</v>
      </c>
      <c r="S140" s="265">
        <f t="shared" si="71"/>
        <v>727.94</v>
      </c>
      <c r="T140" s="131">
        <v>33010</v>
      </c>
      <c r="V140" s="130">
        <f t="shared" si="72"/>
        <v>0</v>
      </c>
      <c r="W140" s="130">
        <f t="shared" si="73"/>
        <v>1</v>
      </c>
      <c r="X140" s="130">
        <f t="shared" si="74"/>
        <v>1</v>
      </c>
      <c r="Y140" s="130">
        <f t="shared" si="75"/>
        <v>1</v>
      </c>
      <c r="Z140" s="130">
        <f t="shared" si="76"/>
        <v>1</v>
      </c>
      <c r="AA140" s="130">
        <f t="shared" si="77"/>
        <v>1</v>
      </c>
      <c r="AB140" s="130">
        <f t="shared" si="78"/>
        <v>1</v>
      </c>
      <c r="AC140" s="130">
        <f t="shared" si="79"/>
        <v>1</v>
      </c>
      <c r="AD140" s="130">
        <f t="shared" si="80"/>
        <v>2</v>
      </c>
      <c r="AE140" s="130">
        <f t="shared" si="81"/>
        <v>2</v>
      </c>
      <c r="AF140" s="130">
        <f t="shared" si="82"/>
        <v>3</v>
      </c>
      <c r="AG140" s="130">
        <f t="shared" si="83"/>
        <v>3</v>
      </c>
      <c r="AH140" s="265">
        <f t="shared" si="69"/>
        <v>1.5454545454545454</v>
      </c>
      <c r="AI140" s="118"/>
      <c r="AJ140" s="89"/>
      <c r="AK140" s="102" t="s">
        <v>479</v>
      </c>
      <c r="AL140" s="136"/>
      <c r="AM140" s="101"/>
      <c r="AN140" s="101">
        <v>1</v>
      </c>
      <c r="AO140" s="127">
        <f>+AH140*AN140</f>
        <v>1.5454545454545454</v>
      </c>
      <c r="AP140" s="101"/>
      <c r="AQ140" s="101"/>
      <c r="AR140" s="107"/>
      <c r="AS140" s="268">
        <f t="shared" si="86"/>
        <v>1.5454545454545454</v>
      </c>
      <c r="AT140" s="236">
        <f t="shared" si="84"/>
        <v>47.440659785518363</v>
      </c>
      <c r="AU140" s="229">
        <f t="shared" si="87"/>
        <v>879.80859965870422</v>
      </c>
      <c r="AV140" s="229">
        <f t="shared" si="85"/>
        <v>151.86859965870417</v>
      </c>
    </row>
    <row r="141" spans="1:48" s="106" customFormat="1" ht="12" customHeight="1">
      <c r="A141" s="131" t="str">
        <f t="shared" si="70"/>
        <v>PA-CR2YDEOW</v>
      </c>
      <c r="B141" s="264" t="s">
        <v>211</v>
      </c>
      <c r="C141" s="264" t="s">
        <v>134</v>
      </c>
      <c r="D141" s="149">
        <v>92.92</v>
      </c>
      <c r="E141" s="148" t="s">
        <v>161</v>
      </c>
      <c r="F141" s="122"/>
      <c r="G141" s="130">
        <v>0</v>
      </c>
      <c r="H141" s="130">
        <v>0</v>
      </c>
      <c r="I141" s="130">
        <v>0</v>
      </c>
      <c r="J141" s="130">
        <v>0</v>
      </c>
      <c r="K141" s="130">
        <v>0</v>
      </c>
      <c r="L141" s="130">
        <v>0</v>
      </c>
      <c r="M141" s="130">
        <v>0</v>
      </c>
      <c r="N141" s="130">
        <v>0</v>
      </c>
      <c r="O141" s="130">
        <v>0</v>
      </c>
      <c r="P141" s="130">
        <v>0</v>
      </c>
      <c r="Q141" s="130">
        <v>0</v>
      </c>
      <c r="R141" s="130">
        <v>46.46</v>
      </c>
      <c r="S141" s="265">
        <f t="shared" si="71"/>
        <v>46.46</v>
      </c>
      <c r="T141" s="131">
        <v>33010</v>
      </c>
      <c r="V141" s="130">
        <f t="shared" si="72"/>
        <v>0</v>
      </c>
      <c r="W141" s="130">
        <f t="shared" si="73"/>
        <v>0</v>
      </c>
      <c r="X141" s="130">
        <f t="shared" si="74"/>
        <v>0</v>
      </c>
      <c r="Y141" s="130">
        <f t="shared" si="75"/>
        <v>0</v>
      </c>
      <c r="Z141" s="130">
        <f t="shared" si="76"/>
        <v>0</v>
      </c>
      <c r="AA141" s="130">
        <f t="shared" si="77"/>
        <v>0</v>
      </c>
      <c r="AB141" s="130">
        <f t="shared" si="78"/>
        <v>0</v>
      </c>
      <c r="AC141" s="130">
        <f t="shared" si="79"/>
        <v>0</v>
      </c>
      <c r="AD141" s="130">
        <f t="shared" si="80"/>
        <v>0</v>
      </c>
      <c r="AE141" s="130">
        <f t="shared" si="81"/>
        <v>0</v>
      </c>
      <c r="AF141" s="130">
        <f t="shared" si="82"/>
        <v>0</v>
      </c>
      <c r="AG141" s="130">
        <f t="shared" si="83"/>
        <v>0.5</v>
      </c>
      <c r="AH141" s="265">
        <f t="shared" si="69"/>
        <v>0.5</v>
      </c>
      <c r="AI141" s="118"/>
      <c r="AJ141" s="89"/>
      <c r="AK141" s="102" t="s">
        <v>479</v>
      </c>
      <c r="AL141" s="136"/>
      <c r="AM141" s="101"/>
      <c r="AN141" s="101">
        <v>1</v>
      </c>
      <c r="AO141" s="127">
        <f>+AH141*AN141</f>
        <v>0.5</v>
      </c>
      <c r="AP141" s="101"/>
      <c r="AQ141" s="101"/>
      <c r="AR141" s="107"/>
      <c r="AS141" s="268">
        <f t="shared" si="86"/>
        <v>0.5</v>
      </c>
      <c r="AT141" s="236">
        <f t="shared" si="84"/>
        <v>102.94689647992448</v>
      </c>
      <c r="AU141" s="229">
        <f t="shared" si="87"/>
        <v>617.68137887954686</v>
      </c>
      <c r="AV141" s="229">
        <f t="shared" si="85"/>
        <v>571.22137887954682</v>
      </c>
    </row>
    <row r="142" spans="1:48" s="106" customFormat="1" ht="12" customHeight="1">
      <c r="A142" s="131" t="str">
        <f t="shared" si="70"/>
        <v>PA-CR4YDEOW</v>
      </c>
      <c r="B142" s="264" t="s">
        <v>390</v>
      </c>
      <c r="C142" s="264" t="s">
        <v>391</v>
      </c>
      <c r="D142" s="149">
        <v>168.63</v>
      </c>
      <c r="E142" s="148" t="s">
        <v>161</v>
      </c>
      <c r="F142" s="122"/>
      <c r="G142" s="130">
        <v>168.63</v>
      </c>
      <c r="H142" s="130">
        <v>0</v>
      </c>
      <c r="I142" s="130">
        <v>0</v>
      </c>
      <c r="J142" s="130">
        <v>0</v>
      </c>
      <c r="K142" s="130">
        <v>0</v>
      </c>
      <c r="L142" s="130">
        <v>0</v>
      </c>
      <c r="M142" s="130">
        <v>0</v>
      </c>
      <c r="N142" s="130">
        <v>0</v>
      </c>
      <c r="O142" s="130">
        <v>0</v>
      </c>
      <c r="P142" s="130">
        <v>0</v>
      </c>
      <c r="Q142" s="130">
        <v>0</v>
      </c>
      <c r="R142" s="130">
        <v>0</v>
      </c>
      <c r="S142" s="265">
        <f t="shared" si="71"/>
        <v>168.63</v>
      </c>
      <c r="T142" s="131">
        <v>33010</v>
      </c>
      <c r="V142" s="130">
        <f t="shared" si="72"/>
        <v>1</v>
      </c>
      <c r="W142" s="130">
        <f t="shared" si="73"/>
        <v>0</v>
      </c>
      <c r="X142" s="130">
        <f t="shared" si="74"/>
        <v>0</v>
      </c>
      <c r="Y142" s="130">
        <f t="shared" si="75"/>
        <v>0</v>
      </c>
      <c r="Z142" s="130">
        <f t="shared" si="76"/>
        <v>0</v>
      </c>
      <c r="AA142" s="130">
        <f t="shared" si="77"/>
        <v>0</v>
      </c>
      <c r="AB142" s="130">
        <f t="shared" si="78"/>
        <v>0</v>
      </c>
      <c r="AC142" s="130">
        <f t="shared" si="79"/>
        <v>0</v>
      </c>
      <c r="AD142" s="130">
        <f t="shared" si="80"/>
        <v>0</v>
      </c>
      <c r="AE142" s="130">
        <f t="shared" si="81"/>
        <v>0</v>
      </c>
      <c r="AF142" s="130">
        <f t="shared" si="82"/>
        <v>0</v>
      </c>
      <c r="AG142" s="130">
        <f t="shared" si="83"/>
        <v>0</v>
      </c>
      <c r="AH142" s="265">
        <f t="shared" si="69"/>
        <v>1</v>
      </c>
      <c r="AI142" s="118"/>
      <c r="AJ142" s="89"/>
      <c r="AK142" s="102" t="s">
        <v>478</v>
      </c>
      <c r="AL142" s="136"/>
      <c r="AM142" s="101"/>
      <c r="AN142" s="101">
        <v>1</v>
      </c>
      <c r="AO142" s="127">
        <f>+AH142*AN142</f>
        <v>1</v>
      </c>
      <c r="AP142" s="101"/>
      <c r="AQ142" s="101"/>
      <c r="AR142" s="442"/>
      <c r="AS142" s="268">
        <f t="shared" si="86"/>
        <v>1</v>
      </c>
      <c r="AT142" s="236">
        <f t="shared" si="84"/>
        <v>186.82668051452501</v>
      </c>
      <c r="AU142" s="229">
        <f t="shared" si="87"/>
        <v>2241.9201661743</v>
      </c>
      <c r="AV142" s="229">
        <f t="shared" si="85"/>
        <v>2073.2901661742999</v>
      </c>
    </row>
    <row r="143" spans="1:48" s="107" customFormat="1" ht="12" customHeight="1">
      <c r="A143" s="107" t="str">
        <f t="shared" si="70"/>
        <v>PA-CCTRIP</v>
      </c>
      <c r="B143" s="99" t="s">
        <v>477</v>
      </c>
      <c r="C143" s="99" t="s">
        <v>476</v>
      </c>
      <c r="D143" s="149">
        <v>9.91</v>
      </c>
      <c r="E143" s="148">
        <v>17</v>
      </c>
      <c r="F143" s="122"/>
      <c r="G143" s="120">
        <v>9.91</v>
      </c>
      <c r="H143" s="120">
        <v>0</v>
      </c>
      <c r="I143" s="120">
        <v>19.82</v>
      </c>
      <c r="J143" s="120">
        <v>9.91</v>
      </c>
      <c r="K143" s="120">
        <v>0</v>
      </c>
      <c r="L143" s="120">
        <v>9.91</v>
      </c>
      <c r="M143" s="120">
        <v>9.91</v>
      </c>
      <c r="N143" s="120">
        <v>0</v>
      </c>
      <c r="O143" s="120">
        <v>14.870000000000001</v>
      </c>
      <c r="P143" s="120">
        <v>4.95</v>
      </c>
      <c r="Q143" s="120">
        <v>9.91</v>
      </c>
      <c r="R143" s="120">
        <v>9.91</v>
      </c>
      <c r="S143" s="120">
        <f t="shared" si="71"/>
        <v>99.1</v>
      </c>
      <c r="T143" s="107">
        <v>33011</v>
      </c>
      <c r="V143" s="123">
        <f t="shared" si="72"/>
        <v>1</v>
      </c>
      <c r="W143" s="123">
        <f t="shared" si="73"/>
        <v>0</v>
      </c>
      <c r="X143" s="123">
        <f t="shared" si="74"/>
        <v>2</v>
      </c>
      <c r="Y143" s="123">
        <f t="shared" si="75"/>
        <v>1</v>
      </c>
      <c r="Z143" s="123">
        <f t="shared" si="76"/>
        <v>0</v>
      </c>
      <c r="AA143" s="123">
        <f t="shared" si="77"/>
        <v>1</v>
      </c>
      <c r="AB143" s="123">
        <f t="shared" si="78"/>
        <v>1</v>
      </c>
      <c r="AC143" s="123">
        <f t="shared" si="79"/>
        <v>0</v>
      </c>
      <c r="AD143" s="123">
        <f t="shared" si="80"/>
        <v>1.5005045408678104</v>
      </c>
      <c r="AE143" s="123">
        <f t="shared" si="81"/>
        <v>0.49949545913218973</v>
      </c>
      <c r="AF143" s="123">
        <f t="shared" si="82"/>
        <v>1</v>
      </c>
      <c r="AG143" s="123">
        <f t="shared" si="83"/>
        <v>1</v>
      </c>
      <c r="AH143" s="120">
        <f t="shared" si="69"/>
        <v>1.1111111111111112</v>
      </c>
      <c r="AI143" s="118"/>
      <c r="AJ143" s="89"/>
      <c r="AK143" s="102"/>
      <c r="AL143" s="136"/>
      <c r="AM143" s="101"/>
      <c r="AN143" s="15"/>
      <c r="AO143" s="136"/>
      <c r="AP143" s="101"/>
      <c r="AQ143" s="101"/>
      <c r="AR143" s="101"/>
      <c r="AS143" s="89">
        <f t="shared" si="86"/>
        <v>1.1111111111111112</v>
      </c>
      <c r="AT143" s="236">
        <f t="shared" si="84"/>
        <v>10.979377358115062</v>
      </c>
      <c r="AU143" s="229">
        <f t="shared" si="87"/>
        <v>146.39169810820084</v>
      </c>
      <c r="AV143" s="229">
        <f t="shared" si="85"/>
        <v>47.291698108200848</v>
      </c>
    </row>
    <row r="144" spans="1:48" s="107" customFormat="1" ht="12" customHeight="1">
      <c r="A144" s="107" t="str">
        <f t="shared" si="70"/>
        <v>PA-CR2YDRENTTD</v>
      </c>
      <c r="B144" s="99" t="s">
        <v>247</v>
      </c>
      <c r="C144" s="99" t="s">
        <v>248</v>
      </c>
      <c r="D144" s="149">
        <v>0.82</v>
      </c>
      <c r="E144" s="148" t="s">
        <v>161</v>
      </c>
      <c r="F144" s="122"/>
      <c r="G144" s="120">
        <v>146.78</v>
      </c>
      <c r="H144" s="120">
        <v>130.38</v>
      </c>
      <c r="I144" s="120">
        <v>106.6</v>
      </c>
      <c r="J144" s="120">
        <v>101.68</v>
      </c>
      <c r="K144" s="120">
        <v>63.14</v>
      </c>
      <c r="L144" s="120">
        <v>75.44</v>
      </c>
      <c r="M144" s="120">
        <v>52.48</v>
      </c>
      <c r="N144" s="120">
        <v>96.76</v>
      </c>
      <c r="O144" s="120">
        <v>115.62</v>
      </c>
      <c r="P144" s="120">
        <v>125.46</v>
      </c>
      <c r="Q144" s="120">
        <v>103.32</v>
      </c>
      <c r="R144" s="120">
        <v>82.82</v>
      </c>
      <c r="S144" s="120">
        <f t="shared" si="71"/>
        <v>1200.48</v>
      </c>
      <c r="T144" s="107">
        <v>33010</v>
      </c>
      <c r="V144" s="123">
        <f t="shared" si="72"/>
        <v>179</v>
      </c>
      <c r="W144" s="123">
        <f t="shared" si="73"/>
        <v>159</v>
      </c>
      <c r="X144" s="123">
        <f t="shared" si="74"/>
        <v>130</v>
      </c>
      <c r="Y144" s="123">
        <f t="shared" si="75"/>
        <v>124.00000000000001</v>
      </c>
      <c r="Z144" s="123">
        <f t="shared" si="76"/>
        <v>77</v>
      </c>
      <c r="AA144" s="123">
        <f t="shared" si="77"/>
        <v>92</v>
      </c>
      <c r="AB144" s="123">
        <f t="shared" si="78"/>
        <v>64</v>
      </c>
      <c r="AC144" s="123">
        <f t="shared" si="79"/>
        <v>118.00000000000001</v>
      </c>
      <c r="AD144" s="123">
        <f t="shared" si="80"/>
        <v>141</v>
      </c>
      <c r="AE144" s="123">
        <f t="shared" si="81"/>
        <v>153</v>
      </c>
      <c r="AF144" s="123">
        <f t="shared" si="82"/>
        <v>126</v>
      </c>
      <c r="AG144" s="123">
        <f t="shared" si="83"/>
        <v>101</v>
      </c>
      <c r="AH144" s="120">
        <f t="shared" si="69"/>
        <v>122</v>
      </c>
      <c r="AI144" s="118"/>
      <c r="AJ144" s="89"/>
      <c r="AK144" s="102"/>
      <c r="AL144" s="136"/>
      <c r="AM144" s="101"/>
      <c r="AN144" s="15"/>
      <c r="AO144" s="136"/>
      <c r="AP144" s="101"/>
      <c r="AQ144" s="101"/>
      <c r="AR144" s="101"/>
      <c r="AS144" s="89">
        <f t="shared" si="86"/>
        <v>122</v>
      </c>
      <c r="AT144" s="236">
        <f t="shared" si="84"/>
        <v>0.90848531116592834</v>
      </c>
      <c r="AU144" s="229">
        <f t="shared" si="87"/>
        <v>1330.0224955469191</v>
      </c>
      <c r="AV144" s="229">
        <f t="shared" si="85"/>
        <v>129.5424955469191</v>
      </c>
    </row>
    <row r="145" spans="1:53" s="107" customFormat="1" ht="12" customHeight="1">
      <c r="A145" s="107" t="str">
        <f t="shared" si="70"/>
        <v>PA-CR3YDRENTTD</v>
      </c>
      <c r="B145" s="99" t="s">
        <v>475</v>
      </c>
      <c r="C145" s="99" t="s">
        <v>474</v>
      </c>
      <c r="D145" s="149">
        <v>0.95</v>
      </c>
      <c r="E145" s="148" t="s">
        <v>161</v>
      </c>
      <c r="F145" s="122"/>
      <c r="G145" s="120">
        <v>68.400000000000006</v>
      </c>
      <c r="H145" s="120">
        <v>56.05</v>
      </c>
      <c r="I145" s="120">
        <v>36.1</v>
      </c>
      <c r="J145" s="120">
        <v>42.75</v>
      </c>
      <c r="K145" s="120">
        <v>29.45</v>
      </c>
      <c r="L145" s="120">
        <v>48.45</v>
      </c>
      <c r="M145" s="120">
        <v>26.6</v>
      </c>
      <c r="N145" s="120">
        <v>43.7</v>
      </c>
      <c r="O145" s="120">
        <v>54.15</v>
      </c>
      <c r="P145" s="120">
        <v>37.049999999999997</v>
      </c>
      <c r="Q145" s="120">
        <v>49.4</v>
      </c>
      <c r="R145" s="120">
        <v>84.55</v>
      </c>
      <c r="S145" s="120">
        <f t="shared" si="71"/>
        <v>576.65</v>
      </c>
      <c r="T145" s="107">
        <v>33010</v>
      </c>
      <c r="V145" s="123">
        <f t="shared" si="72"/>
        <v>72.000000000000014</v>
      </c>
      <c r="W145" s="123">
        <f t="shared" si="73"/>
        <v>59</v>
      </c>
      <c r="X145" s="123">
        <f t="shared" si="74"/>
        <v>38</v>
      </c>
      <c r="Y145" s="123">
        <f t="shared" si="75"/>
        <v>45</v>
      </c>
      <c r="Z145" s="123">
        <f t="shared" si="76"/>
        <v>31</v>
      </c>
      <c r="AA145" s="123">
        <f t="shared" si="77"/>
        <v>51.000000000000007</v>
      </c>
      <c r="AB145" s="123">
        <f t="shared" si="78"/>
        <v>28.000000000000004</v>
      </c>
      <c r="AC145" s="123">
        <f t="shared" si="79"/>
        <v>46.000000000000007</v>
      </c>
      <c r="AD145" s="123">
        <f t="shared" si="80"/>
        <v>57</v>
      </c>
      <c r="AE145" s="123">
        <f t="shared" si="81"/>
        <v>39</v>
      </c>
      <c r="AF145" s="123">
        <f t="shared" si="82"/>
        <v>52</v>
      </c>
      <c r="AG145" s="123">
        <f t="shared" si="83"/>
        <v>89</v>
      </c>
      <c r="AH145" s="120">
        <f t="shared" si="69"/>
        <v>50.583333333333336</v>
      </c>
      <c r="AI145" s="118"/>
      <c r="AJ145" s="89"/>
      <c r="AK145" s="102"/>
      <c r="AL145" s="136"/>
      <c r="AM145" s="101"/>
      <c r="AN145" s="15"/>
      <c r="AO145" s="136"/>
      <c r="AP145" s="101"/>
      <c r="AQ145" s="101"/>
      <c r="AR145" s="101"/>
      <c r="AS145" s="89">
        <f t="shared" si="86"/>
        <v>50.583333333333336</v>
      </c>
      <c r="AT145" s="236">
        <f t="shared" si="84"/>
        <v>1.0525134702532097</v>
      </c>
      <c r="AU145" s="229">
        <f t="shared" si="87"/>
        <v>638.87567644369835</v>
      </c>
      <c r="AV145" s="229">
        <f t="shared" si="85"/>
        <v>62.225676443698376</v>
      </c>
    </row>
    <row r="146" spans="1:53" s="107" customFormat="1" ht="12" customHeight="1">
      <c r="A146" s="107" t="str">
        <f t="shared" si="70"/>
        <v>PA-CR4YDRENTTD</v>
      </c>
      <c r="B146" s="99" t="s">
        <v>473</v>
      </c>
      <c r="C146" s="99" t="s">
        <v>472</v>
      </c>
      <c r="D146" s="149">
        <v>1.1000000000000001</v>
      </c>
      <c r="E146" s="148" t="s">
        <v>161</v>
      </c>
      <c r="F146" s="122"/>
      <c r="G146" s="120">
        <v>299.2</v>
      </c>
      <c r="H146" s="120">
        <v>286</v>
      </c>
      <c r="I146" s="120">
        <v>243.1</v>
      </c>
      <c r="J146" s="120">
        <v>268.39999999999998</v>
      </c>
      <c r="K146" s="120">
        <v>306.89999999999998</v>
      </c>
      <c r="L146" s="120">
        <v>278.3</v>
      </c>
      <c r="M146" s="120">
        <v>215.6</v>
      </c>
      <c r="N146" s="120">
        <v>196.9</v>
      </c>
      <c r="O146" s="120">
        <v>166.1</v>
      </c>
      <c r="P146" s="120">
        <v>-24.2</v>
      </c>
      <c r="Q146" s="120">
        <v>116.6</v>
      </c>
      <c r="R146" s="120">
        <v>193.6</v>
      </c>
      <c r="S146" s="120">
        <f t="shared" si="71"/>
        <v>2546.4999999999995</v>
      </c>
      <c r="T146" s="107">
        <v>33010</v>
      </c>
      <c r="V146" s="123">
        <f t="shared" si="72"/>
        <v>271.99999999999994</v>
      </c>
      <c r="W146" s="123">
        <f t="shared" si="73"/>
        <v>260</v>
      </c>
      <c r="X146" s="123">
        <f t="shared" si="74"/>
        <v>220.99999999999997</v>
      </c>
      <c r="Y146" s="123">
        <f t="shared" si="75"/>
        <v>243.99999999999997</v>
      </c>
      <c r="Z146" s="123">
        <f t="shared" si="76"/>
        <v>278.99999999999994</v>
      </c>
      <c r="AA146" s="123">
        <f t="shared" si="77"/>
        <v>253</v>
      </c>
      <c r="AB146" s="123">
        <f t="shared" si="78"/>
        <v>195.99999999999997</v>
      </c>
      <c r="AC146" s="123">
        <f t="shared" si="79"/>
        <v>179</v>
      </c>
      <c r="AD146" s="123">
        <f t="shared" si="80"/>
        <v>150.99999999999997</v>
      </c>
      <c r="AE146" s="123">
        <f t="shared" si="81"/>
        <v>-21.999999999999996</v>
      </c>
      <c r="AF146" s="123">
        <f t="shared" si="82"/>
        <v>105.99999999999999</v>
      </c>
      <c r="AG146" s="123">
        <f t="shared" si="83"/>
        <v>175.99999999999997</v>
      </c>
      <c r="AH146" s="120">
        <f t="shared" si="69"/>
        <v>212.45454545454547</v>
      </c>
      <c r="AI146" s="118"/>
      <c r="AJ146" s="89"/>
      <c r="AK146" s="102"/>
      <c r="AL146" s="136"/>
      <c r="AM146" s="101"/>
      <c r="AN146" s="15"/>
      <c r="AO146" s="136"/>
      <c r="AP146" s="101"/>
      <c r="AQ146" s="101"/>
      <c r="AR146" s="101"/>
      <c r="AS146" s="89">
        <f t="shared" si="86"/>
        <v>212.45454545454547</v>
      </c>
      <c r="AT146" s="236">
        <f t="shared" si="84"/>
        <v>1.2186998076616113</v>
      </c>
      <c r="AU146" s="229">
        <f t="shared" si="87"/>
        <v>3107.0197641874756</v>
      </c>
      <c r="AV146" s="229">
        <f t="shared" si="85"/>
        <v>560.51976418747608</v>
      </c>
    </row>
    <row r="147" spans="1:53" s="107" customFormat="1" ht="12" customHeight="1">
      <c r="A147" s="107" t="str">
        <f t="shared" si="70"/>
        <v>PA-CR1.5YDRENTTD</v>
      </c>
      <c r="B147" s="99" t="s">
        <v>246</v>
      </c>
      <c r="C147" s="99" t="s">
        <v>471</v>
      </c>
      <c r="D147" s="149">
        <v>0.77</v>
      </c>
      <c r="E147" s="148" t="s">
        <v>161</v>
      </c>
      <c r="F147" s="122"/>
      <c r="G147" s="120">
        <v>87.78</v>
      </c>
      <c r="H147" s="120">
        <v>64.680000000000007</v>
      </c>
      <c r="I147" s="120">
        <v>50.05</v>
      </c>
      <c r="J147" s="120">
        <v>46.2</v>
      </c>
      <c r="K147" s="120">
        <v>47.74</v>
      </c>
      <c r="L147" s="120">
        <v>37.729999999999997</v>
      </c>
      <c r="M147" s="120">
        <v>6.93</v>
      </c>
      <c r="N147" s="120">
        <v>7.7</v>
      </c>
      <c r="O147" s="120">
        <v>23.1</v>
      </c>
      <c r="P147" s="120">
        <v>23.87</v>
      </c>
      <c r="Q147" s="120">
        <v>16.170000000000002</v>
      </c>
      <c r="R147" s="120">
        <v>26.18</v>
      </c>
      <c r="S147" s="120">
        <f t="shared" si="71"/>
        <v>438.13000000000005</v>
      </c>
      <c r="T147" s="107">
        <v>33010</v>
      </c>
      <c r="V147" s="123">
        <f t="shared" si="72"/>
        <v>114</v>
      </c>
      <c r="W147" s="123">
        <f t="shared" si="73"/>
        <v>84</v>
      </c>
      <c r="X147" s="123">
        <f t="shared" si="74"/>
        <v>65</v>
      </c>
      <c r="Y147" s="123">
        <f t="shared" si="75"/>
        <v>60</v>
      </c>
      <c r="Z147" s="123">
        <f t="shared" si="76"/>
        <v>62</v>
      </c>
      <c r="AA147" s="123">
        <f t="shared" si="77"/>
        <v>48.999999999999993</v>
      </c>
      <c r="AB147" s="123">
        <f t="shared" si="78"/>
        <v>9</v>
      </c>
      <c r="AC147" s="123">
        <f t="shared" si="79"/>
        <v>10</v>
      </c>
      <c r="AD147" s="123">
        <f t="shared" si="80"/>
        <v>30</v>
      </c>
      <c r="AE147" s="123">
        <f t="shared" si="81"/>
        <v>31</v>
      </c>
      <c r="AF147" s="123">
        <f t="shared" si="82"/>
        <v>21</v>
      </c>
      <c r="AG147" s="123">
        <f t="shared" si="83"/>
        <v>34</v>
      </c>
      <c r="AH147" s="120">
        <f t="shared" si="69"/>
        <v>47.416666666666664</v>
      </c>
      <c r="AI147" s="118"/>
      <c r="AJ147" s="89"/>
      <c r="AK147" s="102"/>
      <c r="AL147" s="136"/>
      <c r="AM147" s="101"/>
      <c r="AN147" s="15"/>
      <c r="AO147" s="136"/>
      <c r="AP147" s="101"/>
      <c r="AQ147" s="101"/>
      <c r="AR147" s="101"/>
      <c r="AS147" s="89">
        <f t="shared" si="86"/>
        <v>47.416666666666664</v>
      </c>
      <c r="AT147" s="236">
        <f t="shared" si="84"/>
        <v>0.85308986536312792</v>
      </c>
      <c r="AU147" s="229">
        <f t="shared" si="87"/>
        <v>485.4081333916198</v>
      </c>
      <c r="AV147" s="229">
        <f t="shared" si="85"/>
        <v>47.278133391619747</v>
      </c>
    </row>
    <row r="148" spans="1:53" s="107" customFormat="1" ht="12" customHeight="1">
      <c r="A148" s="107" t="str">
        <f t="shared" si="70"/>
        <v>PA-CR1YDRENTTD</v>
      </c>
      <c r="B148" s="99" t="s">
        <v>244</v>
      </c>
      <c r="C148" s="99" t="s">
        <v>245</v>
      </c>
      <c r="D148" s="149">
        <v>0.56000000000000005</v>
      </c>
      <c r="E148" s="148" t="s">
        <v>161</v>
      </c>
      <c r="F148" s="122"/>
      <c r="G148" s="120">
        <v>9.52</v>
      </c>
      <c r="H148" s="120">
        <v>25.76</v>
      </c>
      <c r="I148" s="120">
        <v>43.12</v>
      </c>
      <c r="J148" s="120">
        <v>17.36</v>
      </c>
      <c r="K148" s="120">
        <v>6.72</v>
      </c>
      <c r="L148" s="120">
        <v>3.92</v>
      </c>
      <c r="M148" s="120">
        <v>15.68</v>
      </c>
      <c r="N148" s="120">
        <v>17.36</v>
      </c>
      <c r="O148" s="120">
        <v>14.56</v>
      </c>
      <c r="P148" s="120">
        <v>0</v>
      </c>
      <c r="Q148" s="120">
        <v>9.52</v>
      </c>
      <c r="R148" s="120">
        <v>34.72</v>
      </c>
      <c r="S148" s="120">
        <f t="shared" si="71"/>
        <v>198.24</v>
      </c>
      <c r="T148" s="107">
        <v>33010</v>
      </c>
      <c r="V148" s="123">
        <f t="shared" si="72"/>
        <v>16.999999999999996</v>
      </c>
      <c r="W148" s="123">
        <f t="shared" si="73"/>
        <v>46</v>
      </c>
      <c r="X148" s="123">
        <f t="shared" si="74"/>
        <v>76.999999999999986</v>
      </c>
      <c r="Y148" s="123">
        <f t="shared" si="75"/>
        <v>30.999999999999996</v>
      </c>
      <c r="Z148" s="123">
        <f t="shared" si="76"/>
        <v>11.999999999999998</v>
      </c>
      <c r="AA148" s="123">
        <f t="shared" si="77"/>
        <v>6.9999999999999991</v>
      </c>
      <c r="AB148" s="123">
        <f t="shared" si="78"/>
        <v>27.999999999999996</v>
      </c>
      <c r="AC148" s="123">
        <f t="shared" si="79"/>
        <v>30.999999999999996</v>
      </c>
      <c r="AD148" s="123">
        <f t="shared" si="80"/>
        <v>26</v>
      </c>
      <c r="AE148" s="123">
        <f t="shared" si="81"/>
        <v>0</v>
      </c>
      <c r="AF148" s="123">
        <f t="shared" si="82"/>
        <v>16.999999999999996</v>
      </c>
      <c r="AG148" s="123">
        <f t="shared" si="83"/>
        <v>61.999999999999993</v>
      </c>
      <c r="AH148" s="120">
        <f t="shared" si="69"/>
        <v>32.18181818181818</v>
      </c>
      <c r="AI148" s="118"/>
      <c r="AJ148" s="89"/>
      <c r="AK148" s="102"/>
      <c r="AL148" s="136"/>
      <c r="AM148" s="101"/>
      <c r="AN148" s="15"/>
      <c r="AO148" s="136"/>
      <c r="AP148" s="101"/>
      <c r="AQ148" s="143"/>
      <c r="AR148" s="101"/>
      <c r="AS148" s="89">
        <f t="shared" si="86"/>
        <v>32.18181818181818</v>
      </c>
      <c r="AT148" s="236">
        <f t="shared" si="84"/>
        <v>0.62042899299136578</v>
      </c>
      <c r="AU148" s="229">
        <f t="shared" si="87"/>
        <v>239.59839656612013</v>
      </c>
      <c r="AV148" s="229">
        <f t="shared" si="85"/>
        <v>41.35839656612012</v>
      </c>
    </row>
    <row r="149" spans="1:53" s="107" customFormat="1" ht="12" customHeight="1">
      <c r="A149" s="107" t="str">
        <f t="shared" si="70"/>
        <v>PA-CROLLW-COMM</v>
      </c>
      <c r="B149" s="99" t="s">
        <v>392</v>
      </c>
      <c r="C149" s="99" t="s">
        <v>393</v>
      </c>
      <c r="D149" s="149">
        <v>4.8499999999999996</v>
      </c>
      <c r="E149" s="148">
        <v>31</v>
      </c>
      <c r="F149" s="122"/>
      <c r="G149" s="120">
        <v>4.8499999999999996</v>
      </c>
      <c r="H149" s="120">
        <v>4.8499999999999996</v>
      </c>
      <c r="I149" s="120">
        <v>4.8499999999999996</v>
      </c>
      <c r="J149" s="120">
        <v>4.8499999999999996</v>
      </c>
      <c r="K149" s="120">
        <v>4.8499999999999996</v>
      </c>
      <c r="L149" s="120">
        <v>4.8499999999999996</v>
      </c>
      <c r="M149" s="120">
        <v>4.8499999999999996</v>
      </c>
      <c r="N149" s="120">
        <v>4.8499999999999996</v>
      </c>
      <c r="O149" s="120">
        <v>4.8499999999999996</v>
      </c>
      <c r="P149" s="120">
        <v>4.8499999999999996</v>
      </c>
      <c r="Q149" s="120">
        <v>4.8499999999999996</v>
      </c>
      <c r="R149" s="120">
        <v>4.8499999999999996</v>
      </c>
      <c r="S149" s="120">
        <f t="shared" si="71"/>
        <v>58.20000000000001</v>
      </c>
      <c r="T149" s="106">
        <v>33011</v>
      </c>
      <c r="U149" s="106"/>
      <c r="V149" s="120">
        <f t="shared" si="72"/>
        <v>1</v>
      </c>
      <c r="W149" s="120">
        <f t="shared" si="73"/>
        <v>1</v>
      </c>
      <c r="X149" s="120">
        <f t="shared" si="74"/>
        <v>1</v>
      </c>
      <c r="Y149" s="120">
        <f t="shared" si="75"/>
        <v>1</v>
      </c>
      <c r="Z149" s="120">
        <f t="shared" si="76"/>
        <v>1</v>
      </c>
      <c r="AA149" s="120">
        <f t="shared" si="77"/>
        <v>1</v>
      </c>
      <c r="AB149" s="120">
        <f t="shared" si="78"/>
        <v>1</v>
      </c>
      <c r="AC149" s="120">
        <f t="shared" si="79"/>
        <v>1</v>
      </c>
      <c r="AD149" s="120">
        <f t="shared" si="80"/>
        <v>1</v>
      </c>
      <c r="AE149" s="120">
        <f t="shared" si="81"/>
        <v>1</v>
      </c>
      <c r="AF149" s="120">
        <f t="shared" si="82"/>
        <v>1</v>
      </c>
      <c r="AG149" s="120">
        <f t="shared" si="83"/>
        <v>1</v>
      </c>
      <c r="AH149" s="120">
        <f t="shared" si="69"/>
        <v>1</v>
      </c>
      <c r="AI149" s="118"/>
      <c r="AJ149" s="89"/>
      <c r="AK149" s="102"/>
      <c r="AL149" s="136"/>
      <c r="AM149" s="101"/>
      <c r="AN149" s="101"/>
      <c r="AO149" s="101"/>
      <c r="AP149" s="101"/>
      <c r="AQ149" s="143"/>
      <c r="AR149" s="101"/>
      <c r="AS149" s="89">
        <f t="shared" si="86"/>
        <v>1</v>
      </c>
      <c r="AT149" s="236">
        <f t="shared" si="84"/>
        <v>5.3733582428716495</v>
      </c>
      <c r="AU149" s="229">
        <f t="shared" si="87"/>
        <v>64.480298914459794</v>
      </c>
      <c r="AV149" s="229">
        <f t="shared" si="85"/>
        <v>6.2802989144597845</v>
      </c>
    </row>
    <row r="150" spans="1:53" s="107" customFormat="1" ht="12" customHeight="1">
      <c r="A150" s="107" t="str">
        <f t="shared" si="70"/>
        <v>PA-CADDTLPACK25</v>
      </c>
      <c r="B150" s="99" t="s">
        <v>470</v>
      </c>
      <c r="C150" s="99" t="s">
        <v>469</v>
      </c>
      <c r="D150" s="149">
        <v>0.16</v>
      </c>
      <c r="E150" s="148">
        <v>31</v>
      </c>
      <c r="F150" s="122"/>
      <c r="G150" s="120">
        <v>12.48</v>
      </c>
      <c r="H150" s="120">
        <v>12.48</v>
      </c>
      <c r="I150" s="120">
        <v>12.56</v>
      </c>
      <c r="J150" s="120">
        <v>12.56</v>
      </c>
      <c r="K150" s="120">
        <v>12.56</v>
      </c>
      <c r="L150" s="120">
        <v>12.56</v>
      </c>
      <c r="M150" s="120">
        <v>12.56</v>
      </c>
      <c r="N150" s="120">
        <v>12.56</v>
      </c>
      <c r="O150" s="120">
        <v>12.56</v>
      </c>
      <c r="P150" s="120">
        <v>12.56</v>
      </c>
      <c r="Q150" s="120">
        <v>12.56</v>
      </c>
      <c r="R150" s="120">
        <v>12.56</v>
      </c>
      <c r="S150" s="120">
        <f t="shared" si="71"/>
        <v>150.56</v>
      </c>
      <c r="T150" s="106">
        <v>33011</v>
      </c>
      <c r="U150" s="106"/>
      <c r="V150" s="120">
        <f t="shared" si="72"/>
        <v>78</v>
      </c>
      <c r="W150" s="120">
        <f t="shared" si="73"/>
        <v>78</v>
      </c>
      <c r="X150" s="120">
        <f t="shared" si="74"/>
        <v>78.5</v>
      </c>
      <c r="Y150" s="120">
        <f t="shared" si="75"/>
        <v>78.5</v>
      </c>
      <c r="Z150" s="120">
        <f t="shared" si="76"/>
        <v>78.5</v>
      </c>
      <c r="AA150" s="120">
        <f t="shared" si="77"/>
        <v>78.5</v>
      </c>
      <c r="AB150" s="120">
        <f t="shared" si="78"/>
        <v>78.5</v>
      </c>
      <c r="AC150" s="120">
        <f t="shared" si="79"/>
        <v>78.5</v>
      </c>
      <c r="AD150" s="120">
        <f t="shared" si="80"/>
        <v>78.5</v>
      </c>
      <c r="AE150" s="120">
        <f t="shared" si="81"/>
        <v>78.5</v>
      </c>
      <c r="AF150" s="120">
        <f t="shared" si="82"/>
        <v>78.5</v>
      </c>
      <c r="AG150" s="120">
        <f t="shared" si="83"/>
        <v>78.5</v>
      </c>
      <c r="AH150" s="120">
        <f t="shared" si="69"/>
        <v>78.416666666666671</v>
      </c>
      <c r="AI150" s="118"/>
      <c r="AJ150" s="89"/>
      <c r="AK150" s="102"/>
      <c r="AL150" s="136"/>
      <c r="AM150" s="101"/>
      <c r="AN150" s="101"/>
      <c r="AO150" s="101"/>
      <c r="AP150" s="101"/>
      <c r="AQ150" s="143"/>
      <c r="AR150" s="101"/>
      <c r="AS150" s="89">
        <f t="shared" si="86"/>
        <v>78.416666666666671</v>
      </c>
      <c r="AT150" s="236">
        <f t="shared" si="84"/>
        <v>0.17726542656896166</v>
      </c>
      <c r="AU150" s="229">
        <f t="shared" si="87"/>
        <v>166.80676640139293</v>
      </c>
      <c r="AV150" s="229">
        <f t="shared" si="85"/>
        <v>16.246766401392932</v>
      </c>
    </row>
    <row r="151" spans="1:53" s="107" customFormat="1" ht="12" customHeight="1">
      <c r="A151" s="107" t="str">
        <f t="shared" si="70"/>
        <v>PA-CR6YDRENTM</v>
      </c>
      <c r="B151" s="99" t="s">
        <v>468</v>
      </c>
      <c r="C151" s="99" t="s">
        <v>467</v>
      </c>
      <c r="D151" s="149">
        <v>13.5</v>
      </c>
      <c r="E151" s="148" t="s">
        <v>161</v>
      </c>
      <c r="F151" s="122"/>
      <c r="G151" s="120">
        <v>13.5</v>
      </c>
      <c r="H151" s="120">
        <v>13.5</v>
      </c>
      <c r="I151" s="120">
        <v>13.5</v>
      </c>
      <c r="J151" s="120">
        <v>27</v>
      </c>
      <c r="K151" s="120">
        <v>27</v>
      </c>
      <c r="L151" s="120">
        <v>27</v>
      </c>
      <c r="M151" s="120">
        <v>27</v>
      </c>
      <c r="N151" s="120">
        <v>27</v>
      </c>
      <c r="O151" s="120">
        <v>27</v>
      </c>
      <c r="P151" s="120">
        <v>27</v>
      </c>
      <c r="Q151" s="120">
        <v>27</v>
      </c>
      <c r="R151" s="120">
        <v>27</v>
      </c>
      <c r="S151" s="120">
        <f t="shared" si="71"/>
        <v>283.5</v>
      </c>
      <c r="T151" s="107">
        <v>33010</v>
      </c>
      <c r="V151" s="123">
        <f t="shared" si="72"/>
        <v>1</v>
      </c>
      <c r="W151" s="123">
        <f t="shared" si="73"/>
        <v>1</v>
      </c>
      <c r="X151" s="123">
        <f t="shared" si="74"/>
        <v>1</v>
      </c>
      <c r="Y151" s="123">
        <f t="shared" si="75"/>
        <v>2</v>
      </c>
      <c r="Z151" s="123">
        <f t="shared" si="76"/>
        <v>2</v>
      </c>
      <c r="AA151" s="123">
        <f t="shared" si="77"/>
        <v>2</v>
      </c>
      <c r="AB151" s="123">
        <f t="shared" si="78"/>
        <v>2</v>
      </c>
      <c r="AC151" s="123">
        <f t="shared" si="79"/>
        <v>2</v>
      </c>
      <c r="AD151" s="123">
        <f t="shared" si="80"/>
        <v>2</v>
      </c>
      <c r="AE151" s="123">
        <f t="shared" si="81"/>
        <v>2</v>
      </c>
      <c r="AF151" s="123">
        <f t="shared" si="82"/>
        <v>2</v>
      </c>
      <c r="AG151" s="123">
        <f t="shared" si="83"/>
        <v>2</v>
      </c>
      <c r="AH151" s="120">
        <f t="shared" si="69"/>
        <v>1.75</v>
      </c>
      <c r="AI151" s="118"/>
      <c r="AJ151" s="89"/>
      <c r="AK151" s="102"/>
      <c r="AL151" s="136"/>
      <c r="AM151" s="101"/>
      <c r="AN151" s="101"/>
      <c r="AO151" s="101"/>
      <c r="AP151" s="101"/>
      <c r="AQ151" s="101"/>
      <c r="AR151" s="101"/>
      <c r="AS151" s="89">
        <f t="shared" si="86"/>
        <v>1.75</v>
      </c>
      <c r="AT151" s="236">
        <f t="shared" si="84"/>
        <v>14.956770366756139</v>
      </c>
      <c r="AU151" s="229">
        <f t="shared" si="87"/>
        <v>314.09217770187894</v>
      </c>
      <c r="AV151" s="229">
        <f t="shared" si="85"/>
        <v>30.592177701878938</v>
      </c>
    </row>
    <row r="152" spans="1:53" s="107" customFormat="1" ht="12" customHeight="1">
      <c r="A152" s="107" t="str">
        <f t="shared" si="70"/>
        <v>PA-CCEX</v>
      </c>
      <c r="B152" s="264" t="s">
        <v>414</v>
      </c>
      <c r="C152" s="264" t="s">
        <v>415</v>
      </c>
      <c r="D152" s="149">
        <v>6.51</v>
      </c>
      <c r="E152" s="148" t="s">
        <v>466</v>
      </c>
      <c r="F152" s="122"/>
      <c r="G152" s="120">
        <v>0</v>
      </c>
      <c r="H152" s="120">
        <v>0</v>
      </c>
      <c r="I152" s="120">
        <v>0</v>
      </c>
      <c r="J152" s="120">
        <v>0</v>
      </c>
      <c r="K152" s="120">
        <v>0</v>
      </c>
      <c r="L152" s="120">
        <v>0</v>
      </c>
      <c r="M152" s="120">
        <v>0</v>
      </c>
      <c r="N152" s="120">
        <v>26.04</v>
      </c>
      <c r="O152" s="120">
        <v>0</v>
      </c>
      <c r="P152" s="120">
        <v>0</v>
      </c>
      <c r="Q152" s="120">
        <v>0</v>
      </c>
      <c r="R152" s="120">
        <v>0</v>
      </c>
      <c r="S152" s="265">
        <f t="shared" si="71"/>
        <v>26.04</v>
      </c>
      <c r="T152" s="107">
        <v>33011</v>
      </c>
      <c r="V152" s="123">
        <f t="shared" si="72"/>
        <v>0</v>
      </c>
      <c r="W152" s="123">
        <f t="shared" si="73"/>
        <v>0</v>
      </c>
      <c r="X152" s="123">
        <f t="shared" si="74"/>
        <v>0</v>
      </c>
      <c r="Y152" s="123">
        <f t="shared" si="75"/>
        <v>0</v>
      </c>
      <c r="Z152" s="123">
        <f t="shared" si="76"/>
        <v>0</v>
      </c>
      <c r="AA152" s="123">
        <f t="shared" si="77"/>
        <v>0</v>
      </c>
      <c r="AB152" s="123">
        <f t="shared" si="78"/>
        <v>0</v>
      </c>
      <c r="AC152" s="123">
        <f t="shared" si="79"/>
        <v>4</v>
      </c>
      <c r="AD152" s="123">
        <f t="shared" si="80"/>
        <v>0</v>
      </c>
      <c r="AE152" s="123">
        <f t="shared" si="81"/>
        <v>0</v>
      </c>
      <c r="AF152" s="123">
        <f t="shared" si="82"/>
        <v>0</v>
      </c>
      <c r="AG152" s="123">
        <f t="shared" si="83"/>
        <v>0</v>
      </c>
      <c r="AH152" s="265">
        <f t="shared" si="69"/>
        <v>4</v>
      </c>
      <c r="AI152" s="118"/>
      <c r="AJ152" s="89"/>
      <c r="AK152" s="102"/>
      <c r="AL152" s="136"/>
      <c r="AM152" s="101"/>
      <c r="AN152" s="101"/>
      <c r="AO152" s="101"/>
      <c r="AP152" s="101"/>
      <c r="AQ152" s="101"/>
      <c r="AS152" s="268">
        <f t="shared" si="86"/>
        <v>4</v>
      </c>
      <c r="AT152" s="236">
        <f t="shared" si="84"/>
        <v>7.2124870435246269</v>
      </c>
      <c r="AU152" s="229">
        <f t="shared" si="87"/>
        <v>346.19937808918212</v>
      </c>
      <c r="AV152" s="229">
        <f t="shared" si="85"/>
        <v>320.1593780891821</v>
      </c>
    </row>
    <row r="153" spans="1:53" s="107" customFormat="1" ht="12" customHeight="1" thickBot="1">
      <c r="A153" s="107" t="str">
        <f t="shared" si="70"/>
        <v>PA-CR4YDEX</v>
      </c>
      <c r="B153" s="264" t="s">
        <v>233</v>
      </c>
      <c r="C153" s="264" t="s">
        <v>154</v>
      </c>
      <c r="D153" s="149">
        <v>80.709999999999994</v>
      </c>
      <c r="E153" s="148" t="s">
        <v>161</v>
      </c>
      <c r="F153" s="122"/>
      <c r="G153" s="120">
        <v>80.709999999999994</v>
      </c>
      <c r="H153" s="120">
        <v>0</v>
      </c>
      <c r="I153" s="120">
        <v>242.13</v>
      </c>
      <c r="J153" s="120">
        <v>0</v>
      </c>
      <c r="K153" s="120">
        <v>0</v>
      </c>
      <c r="L153" s="120">
        <v>80.709999999999994</v>
      </c>
      <c r="M153" s="120">
        <v>0</v>
      </c>
      <c r="N153" s="120">
        <v>0</v>
      </c>
      <c r="O153" s="120">
        <v>0</v>
      </c>
      <c r="P153" s="120">
        <v>0</v>
      </c>
      <c r="Q153" s="120">
        <v>0</v>
      </c>
      <c r="R153" s="120">
        <v>0</v>
      </c>
      <c r="S153" s="265">
        <f t="shared" si="71"/>
        <v>403.54999999999995</v>
      </c>
      <c r="T153" s="107">
        <v>33011</v>
      </c>
      <c r="V153" s="123">
        <f t="shared" si="72"/>
        <v>1</v>
      </c>
      <c r="W153" s="123">
        <f t="shared" si="73"/>
        <v>0</v>
      </c>
      <c r="X153" s="123">
        <f t="shared" si="74"/>
        <v>3</v>
      </c>
      <c r="Y153" s="123">
        <f t="shared" si="75"/>
        <v>0</v>
      </c>
      <c r="Z153" s="123">
        <f t="shared" si="76"/>
        <v>0</v>
      </c>
      <c r="AA153" s="123">
        <f t="shared" si="77"/>
        <v>1</v>
      </c>
      <c r="AB153" s="123">
        <f t="shared" si="78"/>
        <v>0</v>
      </c>
      <c r="AC153" s="123">
        <f t="shared" si="79"/>
        <v>0</v>
      </c>
      <c r="AD153" s="123">
        <f t="shared" si="80"/>
        <v>0</v>
      </c>
      <c r="AE153" s="123">
        <f t="shared" si="81"/>
        <v>0</v>
      </c>
      <c r="AF153" s="123">
        <f t="shared" si="82"/>
        <v>0</v>
      </c>
      <c r="AG153" s="123">
        <f t="shared" si="83"/>
        <v>0</v>
      </c>
      <c r="AH153" s="265">
        <f t="shared" si="69"/>
        <v>1.6666666666666667</v>
      </c>
      <c r="AI153" s="118"/>
      <c r="AJ153" s="89"/>
      <c r="AK153" s="119"/>
      <c r="AL153" s="136"/>
      <c r="AM153" s="101"/>
      <c r="AN153" s="101"/>
      <c r="AO153" s="101"/>
      <c r="AP153" s="101"/>
      <c r="AQ153" s="101"/>
      <c r="AS153" s="268">
        <f t="shared" si="86"/>
        <v>1.6666666666666667</v>
      </c>
      <c r="AT153" s="236">
        <f t="shared" si="84"/>
        <v>89.419328614880584</v>
      </c>
      <c r="AU153" s="229">
        <f t="shared" si="87"/>
        <v>1788.386572297612</v>
      </c>
      <c r="AV153" s="229">
        <f t="shared" si="85"/>
        <v>1384.8365722976121</v>
      </c>
    </row>
    <row r="154" spans="1:53" s="107" customFormat="1" ht="12" customHeight="1" thickBot="1">
      <c r="B154" s="99"/>
      <c r="C154" s="99"/>
      <c r="D154" s="231"/>
      <c r="E154" s="231"/>
      <c r="F154" s="122"/>
      <c r="G154" s="120"/>
      <c r="H154" s="120"/>
      <c r="I154" s="120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0">
        <f t="shared" si="69"/>
        <v>0</v>
      </c>
      <c r="AI154" s="118"/>
      <c r="AJ154" s="142" t="s">
        <v>465</v>
      </c>
      <c r="AK154" s="141">
        <f>SUM(AH113)+SUM(AH134:AH136)+AH132</f>
        <v>79.730106311076156</v>
      </c>
      <c r="AL154" s="136"/>
      <c r="AM154" s="101"/>
      <c r="AN154" s="101"/>
      <c r="AO154" s="101"/>
      <c r="AP154" s="101"/>
      <c r="AQ154" s="101"/>
      <c r="AR154" s="101"/>
      <c r="AS154"/>
      <c r="AT154" s="236">
        <f t="shared" si="84"/>
        <v>0</v>
      </c>
      <c r="AU154" s="229">
        <f t="shared" si="87"/>
        <v>0</v>
      </c>
      <c r="AV154" s="229">
        <f t="shared" si="85"/>
        <v>0</v>
      </c>
    </row>
    <row r="155" spans="1:53" s="112" customFormat="1" ht="12" customHeight="1" thickBot="1">
      <c r="B155" s="140"/>
      <c r="C155" s="179" t="s">
        <v>464</v>
      </c>
      <c r="D155" s="231"/>
      <c r="E155" s="231"/>
      <c r="F155" s="116"/>
      <c r="G155" s="139">
        <f t="shared" ref="G155:R155" si="88">SUM(G61:G154)</f>
        <v>144215.89000000007</v>
      </c>
      <c r="H155" s="139">
        <f t="shared" si="88"/>
        <v>142958.03999999998</v>
      </c>
      <c r="I155" s="139">
        <f t="shared" si="88"/>
        <v>140645.81000000008</v>
      </c>
      <c r="J155" s="139">
        <f t="shared" si="88"/>
        <v>137289.65000000002</v>
      </c>
      <c r="K155" s="139">
        <f t="shared" si="88"/>
        <v>133912.37000000011</v>
      </c>
      <c r="L155" s="139">
        <f t="shared" si="88"/>
        <v>132493.41000000015</v>
      </c>
      <c r="M155" s="139">
        <f t="shared" si="88"/>
        <v>132088.63000000006</v>
      </c>
      <c r="N155" s="139">
        <f t="shared" si="88"/>
        <v>132434.30000000005</v>
      </c>
      <c r="O155" s="139">
        <f t="shared" si="88"/>
        <v>133390.58000000007</v>
      </c>
      <c r="P155" s="139">
        <f t="shared" si="88"/>
        <v>135750.03000000009</v>
      </c>
      <c r="Q155" s="139">
        <f t="shared" si="88"/>
        <v>139971.83000000002</v>
      </c>
      <c r="R155" s="139">
        <f t="shared" si="88"/>
        <v>142320.53000000003</v>
      </c>
      <c r="S155" s="139">
        <f>SUM(G155:R155)</f>
        <v>1647471.0700000008</v>
      </c>
      <c r="T155" s="115"/>
      <c r="U155" s="115"/>
      <c r="V155" s="126">
        <f t="shared" ref="V155:AH155" si="89">SUM(V139:V142,V134:V136,V132,V129:V129,V127,V125:V125,V122:V122,V119,V113,V112,V108,V99:V100,V90,V82:V87,V80:V81,V77:V79,V64:V76)</f>
        <v>1054.255194317145</v>
      </c>
      <c r="W155" s="126">
        <f t="shared" si="89"/>
        <v>1052.6291184571401</v>
      </c>
      <c r="X155" s="126">
        <f t="shared" si="89"/>
        <v>1039.498994848798</v>
      </c>
      <c r="Y155" s="126">
        <f t="shared" si="89"/>
        <v>1026.4991207307614</v>
      </c>
      <c r="Z155" s="126">
        <f t="shared" si="89"/>
        <v>1011.9998265834117</v>
      </c>
      <c r="AA155" s="126">
        <f t="shared" si="89"/>
        <v>1009.9997369018301</v>
      </c>
      <c r="AB155" s="126">
        <f t="shared" si="89"/>
        <v>1010.2495428326588</v>
      </c>
      <c r="AC155" s="126">
        <f t="shared" si="89"/>
        <v>1010.4994815552799</v>
      </c>
      <c r="AD155" s="126">
        <f t="shared" si="89"/>
        <v>1025.9996062219761</v>
      </c>
      <c r="AE155" s="126">
        <f t="shared" si="89"/>
        <v>1033.2493834496383</v>
      </c>
      <c r="AF155" s="126">
        <f t="shared" si="89"/>
        <v>1046.7938203791382</v>
      </c>
      <c r="AG155" s="126">
        <f t="shared" si="89"/>
        <v>1055.4188424250272</v>
      </c>
      <c r="AH155" s="126">
        <f t="shared" si="89"/>
        <v>1039.0383306312281</v>
      </c>
      <c r="AI155" s="118">
        <f>AH155-844</f>
        <v>195.03833063122806</v>
      </c>
      <c r="AJ155" s="138" t="s">
        <v>463</v>
      </c>
      <c r="AK155" s="137">
        <f>SUM(AH64:AH76)+SUM(AH77:AH79)+SUM(AH80:AH81)+SUM(AH82:AH87)+AH90+SUM(AH99:AH100)+AH104+AH108+AH112+AH119+SUM(AH122:AH122)+SUM(AH125:AH125)+AH127+SUM(AH129:AH129)+SUM(AH139:AH142)</f>
        <v>959.60822432015186</v>
      </c>
      <c r="AL155" s="136"/>
      <c r="AM155" s="110">
        <f>SUM(AM56:AM154)</f>
        <v>79.730106311076156</v>
      </c>
      <c r="AN155"/>
      <c r="AO155" s="110">
        <f>SUM(AO56:AO154)</f>
        <v>959.60822432015186</v>
      </c>
      <c r="AP155"/>
      <c r="AQ155" s="110">
        <f>SUM(AQ56:AQ154)</f>
        <v>0</v>
      </c>
      <c r="AR155" s="107"/>
      <c r="AS155" s="107"/>
      <c r="AU155" s="233">
        <f ca="1">SUM(AU61:OFFSET(AU155,-1,0))</f>
        <v>1859646.7495167952</v>
      </c>
      <c r="AV155" s="233">
        <f ca="1">SUM(AV61:OFFSET(AV155,-1,0))</f>
        <v>212175.67951679463</v>
      </c>
    </row>
    <row r="156" spans="1:53" ht="12" customHeight="1" thickBot="1">
      <c r="B156" s="135"/>
      <c r="C156" s="135"/>
      <c r="D156" s="231"/>
      <c r="E156" s="231"/>
      <c r="F156" s="122"/>
      <c r="G156" s="120"/>
      <c r="H156" s="120"/>
      <c r="I156" s="120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07"/>
      <c r="U156" s="107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0"/>
      <c r="AL156" s="107"/>
      <c r="AN156" s="127"/>
      <c r="AQ156" s="127"/>
      <c r="AR156" s="107"/>
      <c r="AS156" s="107"/>
      <c r="AT156" s="107"/>
      <c r="AU156" s="107"/>
      <c r="AV156" s="107"/>
      <c r="AW156" s="107"/>
      <c r="AX156" s="112"/>
      <c r="AY156" s="107"/>
      <c r="AZ156" s="107"/>
      <c r="BA156" s="107"/>
    </row>
    <row r="157" spans="1:53" ht="12" customHeight="1" thickBot="1">
      <c r="B157" s="134" t="s">
        <v>462</v>
      </c>
      <c r="C157" s="134" t="s">
        <v>462</v>
      </c>
      <c r="D157" s="216"/>
      <c r="E157" s="216"/>
      <c r="F157" s="99"/>
      <c r="G157" s="120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107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3"/>
      <c r="AF157" s="123"/>
      <c r="AG157" s="123"/>
      <c r="AH157" s="120"/>
      <c r="AI157" s="103">
        <f>+AH155+'CityPA-M Price Out'!AI21</f>
        <v>1068.8961070979833</v>
      </c>
      <c r="AJ157" s="273" t="s">
        <v>575</v>
      </c>
      <c r="AK157" s="269"/>
      <c r="AL157" s="270"/>
      <c r="AM157" s="274">
        <f>SUM(AM120:AM156)</f>
        <v>159.46021262215231</v>
      </c>
      <c r="AN157" s="273"/>
      <c r="AO157" s="274">
        <f>SUM(AO120:AO156)</f>
        <v>968.79019730431878</v>
      </c>
      <c r="AP157" s="273"/>
      <c r="AQ157" s="274">
        <f>SUM(AQ120:AQ156)</f>
        <v>0</v>
      </c>
      <c r="AR157" s="270"/>
      <c r="AS157" s="268">
        <f>+SUM(AH132,AH134:AH136,AH139:AH142,AH152:AH153,AH64:AH87,AH90,AH96:AH113,AH115,AH119:AH120,AH122:AH123,AH125,AH127,AH129,AH117)</f>
        <v>1075.9847592026572</v>
      </c>
      <c r="AX157" s="232"/>
    </row>
    <row r="158" spans="1:53" ht="12" customHeight="1" thickBot="1">
      <c r="B158" s="124"/>
      <c r="C158" s="124"/>
      <c r="D158" s="216"/>
      <c r="E158" s="216"/>
      <c r="F158" s="99"/>
      <c r="G158" s="120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107"/>
      <c r="V158" s="123"/>
      <c r="W158" s="123"/>
      <c r="X158" s="123"/>
      <c r="Y158" s="123"/>
      <c r="Z158" s="123"/>
      <c r="AA158" s="123"/>
      <c r="AB158" s="123"/>
      <c r="AC158" s="123"/>
      <c r="AD158" s="123"/>
      <c r="AE158" s="123"/>
      <c r="AF158" s="123"/>
      <c r="AG158" s="123"/>
      <c r="AH158" s="120"/>
      <c r="AJ158" s="273" t="s">
        <v>578</v>
      </c>
      <c r="AK158" s="269"/>
      <c r="AL158" s="270"/>
      <c r="AM158" s="274">
        <f>SUM(AM121:AM157)</f>
        <v>318.92042524430462</v>
      </c>
      <c r="AN158" s="273"/>
      <c r="AO158" s="274">
        <f>SUM(AO121:AO157)</f>
        <v>1937.5803946086376</v>
      </c>
      <c r="AP158" s="273"/>
      <c r="AQ158" s="274">
        <f>SUM(AQ121:AQ157)</f>
        <v>0</v>
      </c>
      <c r="AR158" s="270"/>
      <c r="AS158" s="268">
        <f>+SUM('CityPA-M Price Out'!AI11:AI16)</f>
        <v>29.857776466755169</v>
      </c>
    </row>
    <row r="159" spans="1:53" ht="12" customHeight="1">
      <c r="B159" s="109" t="s">
        <v>461</v>
      </c>
      <c r="C159" s="109" t="s">
        <v>461</v>
      </c>
      <c r="D159" s="216"/>
      <c r="E159" s="216"/>
      <c r="F159" s="99"/>
      <c r="G159" s="120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107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0"/>
      <c r="AJ159" s="275" t="s">
        <v>576</v>
      </c>
      <c r="AK159" s="276"/>
      <c r="AL159" s="277"/>
      <c r="AM159" s="277"/>
      <c r="AN159" s="278"/>
      <c r="AO159" s="279"/>
      <c r="AP159" s="277"/>
      <c r="AQ159" s="277"/>
      <c r="AR159" s="277"/>
      <c r="AS159" s="443">
        <f>+AS157+AS158-'Company Calc'!E88</f>
        <v>0.25000000000045475</v>
      </c>
    </row>
    <row r="160" spans="1:53" ht="12" customHeight="1">
      <c r="A160" s="107" t="str">
        <f t="shared" ref="A160:A175" si="90">"PA-C"&amp;B160</f>
        <v>PA-CCONNECTFEE</v>
      </c>
      <c r="B160" s="99" t="s">
        <v>460</v>
      </c>
      <c r="C160" s="99" t="s">
        <v>459</v>
      </c>
      <c r="D160" s="149">
        <v>6.02</v>
      </c>
      <c r="E160" s="148">
        <v>42</v>
      </c>
      <c r="F160" s="99"/>
      <c r="G160" s="120">
        <v>66.22</v>
      </c>
      <c r="H160" s="120">
        <v>54.18</v>
      </c>
      <c r="I160" s="120">
        <v>60.2</v>
      </c>
      <c r="J160" s="120">
        <v>72.239999999999995</v>
      </c>
      <c r="K160" s="120">
        <v>60.2</v>
      </c>
      <c r="L160" s="120">
        <v>66.22</v>
      </c>
      <c r="M160" s="120">
        <v>48.16</v>
      </c>
      <c r="N160" s="120">
        <v>66.22</v>
      </c>
      <c r="O160" s="120">
        <v>54.18</v>
      </c>
      <c r="P160" s="120">
        <v>66.22</v>
      </c>
      <c r="Q160" s="120">
        <v>60.2</v>
      </c>
      <c r="R160" s="120">
        <v>48.16</v>
      </c>
      <c r="S160" s="120">
        <f t="shared" ref="S160:S175" si="91">SUM(G160:R160)</f>
        <v>722.4</v>
      </c>
      <c r="T160" s="107">
        <v>31010</v>
      </c>
      <c r="V160" s="123">
        <f t="shared" ref="V160:V170" si="92">IFERROR(G160/$D160,0)</f>
        <v>11</v>
      </c>
      <c r="W160" s="123">
        <f t="shared" ref="W160:W170" si="93">IFERROR(H160/$D160,0)</f>
        <v>9</v>
      </c>
      <c r="X160" s="123">
        <f t="shared" ref="X160:X170" si="94">IFERROR(I160/$D160,0)</f>
        <v>10.000000000000002</v>
      </c>
      <c r="Y160" s="123">
        <f t="shared" ref="Y160:Y170" si="95">IFERROR(J160/$D160,0)</f>
        <v>12</v>
      </c>
      <c r="Z160" s="123">
        <f t="shared" ref="Z160:Z170" si="96">IFERROR(K160/$D160,0)</f>
        <v>10.000000000000002</v>
      </c>
      <c r="AA160" s="123">
        <f t="shared" ref="AA160:AA170" si="97">IFERROR(L160/$D160,0)</f>
        <v>11</v>
      </c>
      <c r="AB160" s="123">
        <f t="shared" ref="AB160:AB170" si="98">IFERROR(M160/$D160,0)</f>
        <v>8</v>
      </c>
      <c r="AC160" s="123">
        <f t="shared" ref="AC160:AC170" si="99">IFERROR(N160/$D160,0)</f>
        <v>11</v>
      </c>
      <c r="AD160" s="123">
        <f t="shared" ref="AD160:AD170" si="100">IFERROR(O160/$D160,0)</f>
        <v>9</v>
      </c>
      <c r="AE160" s="123">
        <f t="shared" ref="AE160:AE170" si="101">IFERROR(P160/$D160,0)</f>
        <v>11</v>
      </c>
      <c r="AF160" s="123">
        <f t="shared" ref="AF160:AF170" si="102">IFERROR(Q160/$D160,0)</f>
        <v>10.000000000000002</v>
      </c>
      <c r="AG160" s="123">
        <f t="shared" ref="AG160:AG170" si="103">IFERROR(R160/$D160,0)</f>
        <v>8</v>
      </c>
      <c r="AH160" s="120">
        <f>IFERROR(AVERAGEIF(V160:AG160,"&gt;0"),0)</f>
        <v>10</v>
      </c>
      <c r="AJ160" s="106"/>
      <c r="AN160" s="127"/>
      <c r="AQ160" s="127"/>
      <c r="AS160" s="89"/>
      <c r="AT160" s="236">
        <f>+D160*(1+'[52]Jefferson Reg Price Out'!$BA$3)</f>
        <v>6.6859125339999999</v>
      </c>
      <c r="AU160" s="229">
        <f>+AT160*AH160*12</f>
        <v>802.3095040799999</v>
      </c>
      <c r="AV160" s="229">
        <f t="shared" ref="AV160:AV176" si="104">+AU160-S160</f>
        <v>79.90950407999992</v>
      </c>
    </row>
    <row r="161" spans="1:53" ht="12" customHeight="1">
      <c r="A161" s="107" t="str">
        <f t="shared" si="90"/>
        <v>PA-CCPHAUL20</v>
      </c>
      <c r="B161" s="100" t="s">
        <v>458</v>
      </c>
      <c r="C161" s="100" t="s">
        <v>457</v>
      </c>
      <c r="D161" s="149">
        <v>144.80000000000001</v>
      </c>
      <c r="E161" s="148">
        <v>42</v>
      </c>
      <c r="F161" s="99"/>
      <c r="G161" s="130">
        <v>1158.4000000000001</v>
      </c>
      <c r="H161" s="130">
        <v>1013.6</v>
      </c>
      <c r="I161" s="130">
        <v>1158.4000000000001</v>
      </c>
      <c r="J161" s="130">
        <v>1303.2</v>
      </c>
      <c r="K161" s="130">
        <v>1013.6</v>
      </c>
      <c r="L161" s="130">
        <v>1303.2</v>
      </c>
      <c r="M161" s="130">
        <v>1013.6</v>
      </c>
      <c r="N161" s="130">
        <v>1303.2</v>
      </c>
      <c r="O161" s="130">
        <v>1013.6</v>
      </c>
      <c r="P161" s="130">
        <v>1303.2</v>
      </c>
      <c r="Q161" s="130">
        <v>1158.4000000000001</v>
      </c>
      <c r="R161" s="130">
        <v>868.8</v>
      </c>
      <c r="S161" s="130">
        <f t="shared" si="91"/>
        <v>13611.2</v>
      </c>
      <c r="T161" s="131">
        <v>31000</v>
      </c>
      <c r="U161" s="99"/>
      <c r="V161" s="130">
        <f t="shared" si="92"/>
        <v>8</v>
      </c>
      <c r="W161" s="130">
        <f t="shared" si="93"/>
        <v>7</v>
      </c>
      <c r="X161" s="130">
        <f t="shared" si="94"/>
        <v>8</v>
      </c>
      <c r="Y161" s="130">
        <f t="shared" si="95"/>
        <v>9</v>
      </c>
      <c r="Z161" s="130">
        <f t="shared" si="96"/>
        <v>7</v>
      </c>
      <c r="AA161" s="130">
        <f t="shared" si="97"/>
        <v>9</v>
      </c>
      <c r="AB161" s="130">
        <f t="shared" si="98"/>
        <v>7</v>
      </c>
      <c r="AC161" s="130">
        <f t="shared" si="99"/>
        <v>9</v>
      </c>
      <c r="AD161" s="130">
        <f t="shared" si="100"/>
        <v>7</v>
      </c>
      <c r="AE161" s="130">
        <f t="shared" si="101"/>
        <v>9</v>
      </c>
      <c r="AF161" s="130">
        <f t="shared" si="102"/>
        <v>8</v>
      </c>
      <c r="AG161" s="130">
        <f t="shared" si="103"/>
        <v>5.9999999999999991</v>
      </c>
      <c r="AH161" s="130">
        <v>4</v>
      </c>
      <c r="AJ161" s="106"/>
      <c r="AK161" s="102" t="s">
        <v>456</v>
      </c>
      <c r="AN161" s="127"/>
      <c r="AQ161" s="127"/>
      <c r="AS161" s="89"/>
      <c r="AT161" s="236">
        <f>+D161*(1+'[52]Jefferson Reg Price Out'!$BA$3)</f>
        <v>160.81729816000001</v>
      </c>
      <c r="AU161" s="229">
        <f>+AT161*AVERAGE(V161:AG161)*12</f>
        <v>15116.826027040001</v>
      </c>
      <c r="AV161" s="229">
        <f t="shared" si="104"/>
        <v>1505.6260270399998</v>
      </c>
      <c r="AW161" s="235"/>
    </row>
    <row r="162" spans="1:53" ht="12" customHeight="1">
      <c r="A162" s="107" t="str">
        <f t="shared" si="90"/>
        <v>PA-CCPHAUL30</v>
      </c>
      <c r="B162" s="100" t="s">
        <v>455</v>
      </c>
      <c r="C162" s="100" t="s">
        <v>454</v>
      </c>
      <c r="D162" s="149">
        <v>206.82</v>
      </c>
      <c r="E162" s="148">
        <v>42</v>
      </c>
      <c r="F162" s="99"/>
      <c r="G162" s="130">
        <v>620.46</v>
      </c>
      <c r="H162" s="130">
        <v>413.64</v>
      </c>
      <c r="I162" s="130">
        <v>413.64</v>
      </c>
      <c r="J162" s="130">
        <v>620.46</v>
      </c>
      <c r="K162" s="130">
        <v>620.46</v>
      </c>
      <c r="L162" s="130">
        <v>413.64</v>
      </c>
      <c r="M162" s="130">
        <v>206.82</v>
      </c>
      <c r="N162" s="130">
        <v>413.64</v>
      </c>
      <c r="O162" s="130">
        <v>413.64</v>
      </c>
      <c r="P162" s="130">
        <v>413.64</v>
      </c>
      <c r="Q162" s="130">
        <v>413.64</v>
      </c>
      <c r="R162" s="130">
        <v>413.64</v>
      </c>
      <c r="S162" s="130">
        <f t="shared" si="91"/>
        <v>5377.3200000000006</v>
      </c>
      <c r="T162" s="131">
        <v>31000</v>
      </c>
      <c r="U162" s="99"/>
      <c r="V162" s="130">
        <f t="shared" si="92"/>
        <v>3.0000000000000004</v>
      </c>
      <c r="W162" s="130">
        <f t="shared" si="93"/>
        <v>2</v>
      </c>
      <c r="X162" s="130">
        <f t="shared" si="94"/>
        <v>2</v>
      </c>
      <c r="Y162" s="130">
        <f t="shared" si="95"/>
        <v>3.0000000000000004</v>
      </c>
      <c r="Z162" s="130">
        <f t="shared" si="96"/>
        <v>3.0000000000000004</v>
      </c>
      <c r="AA162" s="130">
        <f t="shared" si="97"/>
        <v>2</v>
      </c>
      <c r="AB162" s="130">
        <f t="shared" si="98"/>
        <v>1</v>
      </c>
      <c r="AC162" s="130">
        <f t="shared" si="99"/>
        <v>2</v>
      </c>
      <c r="AD162" s="130">
        <f t="shared" si="100"/>
        <v>2</v>
      </c>
      <c r="AE162" s="130">
        <f t="shared" si="101"/>
        <v>2</v>
      </c>
      <c r="AF162" s="130">
        <f t="shared" si="102"/>
        <v>2</v>
      </c>
      <c r="AG162" s="130">
        <f t="shared" si="103"/>
        <v>2</v>
      </c>
      <c r="AH162" s="130">
        <v>1</v>
      </c>
      <c r="AJ162" s="106"/>
      <c r="AK162" s="102" t="s">
        <v>453</v>
      </c>
      <c r="AN162" s="127"/>
      <c r="AQ162" s="127"/>
      <c r="AS162" s="89"/>
      <c r="AT162" s="236">
        <f>+D162*(1+'[52]Jefferson Reg Price Out'!$BA$3)</f>
        <v>229.69774589400001</v>
      </c>
      <c r="AU162" s="229">
        <f>+AT162*AVERAGE(V162:AG162)*12</f>
        <v>5972.141393244</v>
      </c>
      <c r="AV162" s="229">
        <f t="shared" si="104"/>
        <v>594.82139324399941</v>
      </c>
      <c r="AW162" s="235"/>
    </row>
    <row r="163" spans="1:53" ht="12" customHeight="1">
      <c r="A163" s="107" t="str">
        <f t="shared" si="90"/>
        <v>PA-CRODEL</v>
      </c>
      <c r="B163" s="99" t="s">
        <v>452</v>
      </c>
      <c r="C163" s="99" t="s">
        <v>451</v>
      </c>
      <c r="D163" s="149">
        <v>166.66</v>
      </c>
      <c r="E163" s="148">
        <v>42</v>
      </c>
      <c r="F163" s="99"/>
      <c r="G163" s="120">
        <v>5166.46</v>
      </c>
      <c r="H163" s="120">
        <v>2499.9</v>
      </c>
      <c r="I163" s="120">
        <v>3166.54</v>
      </c>
      <c r="J163" s="120">
        <v>2333.2399999999998</v>
      </c>
      <c r="K163" s="120">
        <v>1333.28</v>
      </c>
      <c r="L163" s="120">
        <v>1666.6</v>
      </c>
      <c r="M163" s="120">
        <v>1999.92</v>
      </c>
      <c r="N163" s="120">
        <v>2666.56</v>
      </c>
      <c r="O163" s="120">
        <v>2833.22</v>
      </c>
      <c r="P163" s="120">
        <v>3333.2</v>
      </c>
      <c r="Q163" s="120">
        <v>3333.2</v>
      </c>
      <c r="R163" s="120">
        <v>3166.54</v>
      </c>
      <c r="S163" s="120">
        <f t="shared" si="91"/>
        <v>33498.660000000003</v>
      </c>
      <c r="T163" s="107">
        <v>31010</v>
      </c>
      <c r="V163" s="123">
        <f t="shared" si="92"/>
        <v>31</v>
      </c>
      <c r="W163" s="123">
        <f t="shared" si="93"/>
        <v>15</v>
      </c>
      <c r="X163" s="123">
        <f t="shared" si="94"/>
        <v>19</v>
      </c>
      <c r="Y163" s="123">
        <f t="shared" si="95"/>
        <v>13.999999999999998</v>
      </c>
      <c r="Z163" s="123">
        <f t="shared" si="96"/>
        <v>8</v>
      </c>
      <c r="AA163" s="123">
        <f t="shared" si="97"/>
        <v>10</v>
      </c>
      <c r="AB163" s="123">
        <f t="shared" si="98"/>
        <v>12</v>
      </c>
      <c r="AC163" s="123">
        <f t="shared" si="99"/>
        <v>16</v>
      </c>
      <c r="AD163" s="123">
        <f t="shared" si="100"/>
        <v>17</v>
      </c>
      <c r="AE163" s="123">
        <f t="shared" si="101"/>
        <v>20</v>
      </c>
      <c r="AF163" s="123">
        <f t="shared" si="102"/>
        <v>20</v>
      </c>
      <c r="AG163" s="123">
        <f t="shared" si="103"/>
        <v>19</v>
      </c>
      <c r="AH163" s="120">
        <f t="shared" ref="AH163:AH175" si="105">IFERROR(AVERAGEIF(V163:AG163,"&gt;0"),0)</f>
        <v>16.75</v>
      </c>
      <c r="AJ163" s="106"/>
      <c r="AN163" s="127"/>
      <c r="AQ163" s="127"/>
      <c r="AS163" s="89"/>
      <c r="AT163" s="236">
        <f>+D163*(1+'[52]Jefferson Reg Price Out'!$BA$3)</f>
        <v>185.09537922199999</v>
      </c>
      <c r="AU163" s="229">
        <f t="shared" ref="AU163:AU170" si="106">+AT163*AH163*12</f>
        <v>37204.171223621997</v>
      </c>
      <c r="AV163" s="229">
        <f t="shared" si="104"/>
        <v>3705.5112236219938</v>
      </c>
      <c r="AW163" s="235"/>
    </row>
    <row r="164" spans="1:53" ht="12" customHeight="1">
      <c r="A164" s="107" t="str">
        <f t="shared" si="90"/>
        <v>PA-CROHAUL20</v>
      </c>
      <c r="B164" s="99" t="s">
        <v>450</v>
      </c>
      <c r="C164" s="99" t="s">
        <v>449</v>
      </c>
      <c r="D164" s="149">
        <v>106.78</v>
      </c>
      <c r="E164" s="148">
        <v>42</v>
      </c>
      <c r="F164" s="99"/>
      <c r="G164" s="120">
        <v>1922.04</v>
      </c>
      <c r="H164" s="120">
        <v>1494.92</v>
      </c>
      <c r="I164" s="120">
        <v>1494.92</v>
      </c>
      <c r="J164" s="120">
        <v>1922.04</v>
      </c>
      <c r="K164" s="120">
        <v>1388.14</v>
      </c>
      <c r="L164" s="120">
        <v>961.02</v>
      </c>
      <c r="M164" s="120">
        <v>1067.8</v>
      </c>
      <c r="N164" s="120">
        <v>1174.58</v>
      </c>
      <c r="O164" s="120">
        <v>1601.7</v>
      </c>
      <c r="P164" s="120">
        <v>2028.82</v>
      </c>
      <c r="Q164" s="120">
        <v>2669.5</v>
      </c>
      <c r="R164" s="120">
        <v>2349.16</v>
      </c>
      <c r="S164" s="120">
        <f t="shared" si="91"/>
        <v>20074.64</v>
      </c>
      <c r="T164" s="107">
        <v>31000</v>
      </c>
      <c r="V164" s="123">
        <f t="shared" si="92"/>
        <v>18</v>
      </c>
      <c r="W164" s="123">
        <f t="shared" si="93"/>
        <v>14</v>
      </c>
      <c r="X164" s="123">
        <f t="shared" si="94"/>
        <v>14</v>
      </c>
      <c r="Y164" s="123">
        <f t="shared" si="95"/>
        <v>18</v>
      </c>
      <c r="Z164" s="123">
        <f t="shared" si="96"/>
        <v>13</v>
      </c>
      <c r="AA164" s="123">
        <f t="shared" si="97"/>
        <v>9</v>
      </c>
      <c r="AB164" s="123">
        <f t="shared" si="98"/>
        <v>10</v>
      </c>
      <c r="AC164" s="123">
        <f t="shared" si="99"/>
        <v>11</v>
      </c>
      <c r="AD164" s="123">
        <f t="shared" si="100"/>
        <v>15</v>
      </c>
      <c r="AE164" s="123">
        <f t="shared" si="101"/>
        <v>19</v>
      </c>
      <c r="AF164" s="123">
        <f t="shared" si="102"/>
        <v>25</v>
      </c>
      <c r="AG164" s="123">
        <f t="shared" si="103"/>
        <v>22</v>
      </c>
      <c r="AH164" s="120">
        <f t="shared" si="105"/>
        <v>15.666666666666666</v>
      </c>
      <c r="AJ164" s="106"/>
      <c r="AN164" s="127"/>
      <c r="AQ164" s="127"/>
      <c r="AS164" s="89"/>
      <c r="AT164" s="236">
        <f>+D164*(1+'[52]Jefferson Reg Price Out'!$BA$3)</f>
        <v>118.591651226</v>
      </c>
      <c r="AU164" s="229">
        <f t="shared" si="106"/>
        <v>22295.230430487998</v>
      </c>
      <c r="AV164" s="229">
        <f t="shared" si="104"/>
        <v>2220.5904304879987</v>
      </c>
      <c r="AW164" s="235"/>
    </row>
    <row r="165" spans="1:53" ht="12" customHeight="1">
      <c r="A165" s="107" t="str">
        <f t="shared" si="90"/>
        <v>PA-CROHAUL20T</v>
      </c>
      <c r="B165" s="99" t="s">
        <v>448</v>
      </c>
      <c r="C165" s="99" t="s">
        <v>447</v>
      </c>
      <c r="D165" s="149">
        <v>153.33000000000001</v>
      </c>
      <c r="E165" s="148">
        <v>42</v>
      </c>
      <c r="F165" s="99"/>
      <c r="G165" s="120">
        <v>3373.26</v>
      </c>
      <c r="H165" s="120">
        <v>1993.29</v>
      </c>
      <c r="I165" s="120">
        <v>3219.93</v>
      </c>
      <c r="J165" s="120">
        <v>1993.29</v>
      </c>
      <c r="K165" s="120">
        <v>1686.63</v>
      </c>
      <c r="L165" s="120">
        <v>1379.97</v>
      </c>
      <c r="M165" s="120">
        <v>1073.31</v>
      </c>
      <c r="N165" s="120">
        <v>1379.97</v>
      </c>
      <c r="O165" s="120">
        <v>2299.9499999999998</v>
      </c>
      <c r="P165" s="120">
        <v>2606.61</v>
      </c>
      <c r="Q165" s="120">
        <v>2146.62</v>
      </c>
      <c r="R165" s="120">
        <v>1839.96</v>
      </c>
      <c r="S165" s="120">
        <f t="shared" si="91"/>
        <v>24992.789999999997</v>
      </c>
      <c r="T165" s="107">
        <v>31000</v>
      </c>
      <c r="V165" s="123">
        <f t="shared" si="92"/>
        <v>22</v>
      </c>
      <c r="W165" s="123">
        <f t="shared" si="93"/>
        <v>12.999999999999998</v>
      </c>
      <c r="X165" s="123">
        <f t="shared" si="94"/>
        <v>20.999999999999996</v>
      </c>
      <c r="Y165" s="123">
        <f t="shared" si="95"/>
        <v>12.999999999999998</v>
      </c>
      <c r="Z165" s="123">
        <f t="shared" si="96"/>
        <v>11</v>
      </c>
      <c r="AA165" s="123">
        <f t="shared" si="97"/>
        <v>9</v>
      </c>
      <c r="AB165" s="123">
        <f t="shared" si="98"/>
        <v>6.9999999999999991</v>
      </c>
      <c r="AC165" s="123">
        <f t="shared" si="99"/>
        <v>9</v>
      </c>
      <c r="AD165" s="123">
        <f t="shared" si="100"/>
        <v>14.999999999999998</v>
      </c>
      <c r="AE165" s="123">
        <f t="shared" si="101"/>
        <v>17</v>
      </c>
      <c r="AF165" s="123">
        <f t="shared" si="102"/>
        <v>13.999999999999998</v>
      </c>
      <c r="AG165" s="123">
        <f t="shared" si="103"/>
        <v>12</v>
      </c>
      <c r="AH165" s="120">
        <f t="shared" si="105"/>
        <v>13.583333333333334</v>
      </c>
      <c r="AJ165" s="106"/>
      <c r="AN165" s="127"/>
      <c r="AQ165" s="127"/>
      <c r="AS165" s="89"/>
      <c r="AT165" s="236">
        <f>+D165*(1+'[52]Jefferson Reg Price Out'!$BA$3)</f>
        <v>170.290858611</v>
      </c>
      <c r="AU165" s="229">
        <f t="shared" si="106"/>
        <v>27757.409953593</v>
      </c>
      <c r="AV165" s="229">
        <f t="shared" si="104"/>
        <v>2764.6199535930027</v>
      </c>
      <c r="AW165" s="235"/>
    </row>
    <row r="166" spans="1:53" ht="12" customHeight="1">
      <c r="A166" s="107" t="str">
        <f t="shared" si="90"/>
        <v>PA-CROHAUL30</v>
      </c>
      <c r="B166" s="99" t="s">
        <v>446</v>
      </c>
      <c r="C166" s="99" t="s">
        <v>445</v>
      </c>
      <c r="D166" s="149">
        <v>113.41</v>
      </c>
      <c r="E166" s="148">
        <v>42</v>
      </c>
      <c r="F166" s="99"/>
      <c r="G166" s="120">
        <v>6691.19</v>
      </c>
      <c r="H166" s="120">
        <v>6010.73</v>
      </c>
      <c r="I166" s="120">
        <v>6691.19</v>
      </c>
      <c r="J166" s="120">
        <v>6577.78</v>
      </c>
      <c r="K166" s="120">
        <v>5897.32</v>
      </c>
      <c r="L166" s="120">
        <v>6350.96</v>
      </c>
      <c r="M166" s="120">
        <v>6464.37</v>
      </c>
      <c r="N166" s="120">
        <v>6918.01</v>
      </c>
      <c r="O166" s="120">
        <v>5897.32</v>
      </c>
      <c r="P166" s="120">
        <v>7371.65</v>
      </c>
      <c r="Q166" s="120">
        <v>6918.01</v>
      </c>
      <c r="R166" s="120">
        <v>5670.5</v>
      </c>
      <c r="S166" s="120">
        <f t="shared" si="91"/>
        <v>77459.03</v>
      </c>
      <c r="T166" s="107">
        <v>31000</v>
      </c>
      <c r="V166" s="123">
        <f t="shared" si="92"/>
        <v>59</v>
      </c>
      <c r="W166" s="123">
        <f t="shared" si="93"/>
        <v>53</v>
      </c>
      <c r="X166" s="123">
        <f t="shared" si="94"/>
        <v>59</v>
      </c>
      <c r="Y166" s="123">
        <f t="shared" si="95"/>
        <v>58</v>
      </c>
      <c r="Z166" s="123">
        <f t="shared" si="96"/>
        <v>52</v>
      </c>
      <c r="AA166" s="123">
        <f t="shared" si="97"/>
        <v>56</v>
      </c>
      <c r="AB166" s="123">
        <f t="shared" si="98"/>
        <v>57</v>
      </c>
      <c r="AC166" s="123">
        <f t="shared" si="99"/>
        <v>61.000000000000007</v>
      </c>
      <c r="AD166" s="123">
        <f t="shared" si="100"/>
        <v>52</v>
      </c>
      <c r="AE166" s="123">
        <f t="shared" si="101"/>
        <v>65</v>
      </c>
      <c r="AF166" s="123">
        <f t="shared" si="102"/>
        <v>61.000000000000007</v>
      </c>
      <c r="AG166" s="123">
        <f t="shared" si="103"/>
        <v>50</v>
      </c>
      <c r="AH166" s="120">
        <f t="shared" si="105"/>
        <v>56.916666666666664</v>
      </c>
      <c r="AJ166" s="106"/>
      <c r="AN166" s="127"/>
      <c r="AQ166" s="127"/>
      <c r="AS166" s="89"/>
      <c r="AT166" s="236">
        <f>+D166*(1+'[52]Jefferson Reg Price Out'!$BA$3)</f>
        <v>125.955039947</v>
      </c>
      <c r="AU166" s="229">
        <f t="shared" si="106"/>
        <v>86027.292283800998</v>
      </c>
      <c r="AV166" s="229">
        <f t="shared" si="104"/>
        <v>8568.2622838009993</v>
      </c>
      <c r="AW166" s="235"/>
    </row>
    <row r="167" spans="1:53" ht="12" customHeight="1">
      <c r="A167" s="107" t="str">
        <f t="shared" si="90"/>
        <v>PA-CROHAUL30T</v>
      </c>
      <c r="B167" s="99" t="s">
        <v>444</v>
      </c>
      <c r="C167" s="99" t="s">
        <v>443</v>
      </c>
      <c r="D167" s="149">
        <v>242.07</v>
      </c>
      <c r="E167" s="148">
        <v>42</v>
      </c>
      <c r="F167" s="99"/>
      <c r="G167" s="120">
        <v>4841.3999999999996</v>
      </c>
      <c r="H167" s="120">
        <v>2662.77</v>
      </c>
      <c r="I167" s="120">
        <v>3631.05</v>
      </c>
      <c r="J167" s="120">
        <v>2662.77</v>
      </c>
      <c r="K167" s="120">
        <v>1936.56</v>
      </c>
      <c r="L167" s="120">
        <v>9198.66</v>
      </c>
      <c r="M167" s="120">
        <v>5567.61</v>
      </c>
      <c r="N167" s="120">
        <v>3873.12</v>
      </c>
      <c r="O167" s="120">
        <v>2178.63</v>
      </c>
      <c r="P167" s="120">
        <v>4841.3999999999996</v>
      </c>
      <c r="Q167" s="120">
        <v>3388.98</v>
      </c>
      <c r="R167" s="120">
        <v>4357.26</v>
      </c>
      <c r="S167" s="120">
        <f t="shared" si="91"/>
        <v>49140.210000000006</v>
      </c>
      <c r="T167" s="107">
        <v>31000</v>
      </c>
      <c r="V167" s="123">
        <f t="shared" si="92"/>
        <v>20</v>
      </c>
      <c r="W167" s="123">
        <f t="shared" si="93"/>
        <v>11</v>
      </c>
      <c r="X167" s="123">
        <f t="shared" si="94"/>
        <v>15.000000000000002</v>
      </c>
      <c r="Y167" s="123">
        <f t="shared" si="95"/>
        <v>11</v>
      </c>
      <c r="Z167" s="123">
        <f t="shared" si="96"/>
        <v>8</v>
      </c>
      <c r="AA167" s="123">
        <f t="shared" si="97"/>
        <v>38</v>
      </c>
      <c r="AB167" s="123">
        <f t="shared" si="98"/>
        <v>23</v>
      </c>
      <c r="AC167" s="123">
        <f t="shared" si="99"/>
        <v>16</v>
      </c>
      <c r="AD167" s="123">
        <f t="shared" si="100"/>
        <v>9</v>
      </c>
      <c r="AE167" s="123">
        <f t="shared" si="101"/>
        <v>20</v>
      </c>
      <c r="AF167" s="123">
        <f t="shared" si="102"/>
        <v>14</v>
      </c>
      <c r="AG167" s="123">
        <f t="shared" si="103"/>
        <v>18</v>
      </c>
      <c r="AH167" s="120">
        <f t="shared" si="105"/>
        <v>16.916666666666668</v>
      </c>
      <c r="AJ167" s="106"/>
      <c r="AN167" s="127"/>
      <c r="AQ167" s="127"/>
      <c r="AS167" s="89"/>
      <c r="AT167" s="236">
        <f>+D167*(1+'[52]Jefferson Reg Price Out'!$BA$3)</f>
        <v>268.84698456899997</v>
      </c>
      <c r="AU167" s="229">
        <f t="shared" si="106"/>
        <v>54575.937867506989</v>
      </c>
      <c r="AV167" s="229">
        <f t="shared" si="104"/>
        <v>5435.7278675069829</v>
      </c>
      <c r="AW167" s="235"/>
    </row>
    <row r="168" spans="1:53" ht="12" customHeight="1">
      <c r="A168" s="107" t="str">
        <f t="shared" si="90"/>
        <v>PA-CROHAUL40CO</v>
      </c>
      <c r="B168" s="99" t="s">
        <v>442</v>
      </c>
      <c r="C168" s="99" t="s">
        <v>441</v>
      </c>
      <c r="D168" s="149">
        <v>114.97</v>
      </c>
      <c r="E168" s="148">
        <v>40</v>
      </c>
      <c r="F168" s="99"/>
      <c r="G168" s="120">
        <v>0</v>
      </c>
      <c r="H168" s="120">
        <v>0</v>
      </c>
      <c r="I168" s="120">
        <v>114.97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f t="shared" si="91"/>
        <v>114.97</v>
      </c>
      <c r="T168" s="107">
        <v>31000</v>
      </c>
      <c r="V168" s="123">
        <f t="shared" si="92"/>
        <v>0</v>
      </c>
      <c r="W168" s="123">
        <f t="shared" si="93"/>
        <v>0</v>
      </c>
      <c r="X168" s="123">
        <f t="shared" si="94"/>
        <v>1</v>
      </c>
      <c r="Y168" s="123">
        <f t="shared" si="95"/>
        <v>0</v>
      </c>
      <c r="Z168" s="123">
        <f t="shared" si="96"/>
        <v>0</v>
      </c>
      <c r="AA168" s="123">
        <f t="shared" si="97"/>
        <v>0</v>
      </c>
      <c r="AB168" s="123">
        <f t="shared" si="98"/>
        <v>0</v>
      </c>
      <c r="AC168" s="123">
        <f t="shared" si="99"/>
        <v>0</v>
      </c>
      <c r="AD168" s="123">
        <f t="shared" si="100"/>
        <v>0</v>
      </c>
      <c r="AE168" s="123">
        <f t="shared" si="101"/>
        <v>0</v>
      </c>
      <c r="AF168" s="123">
        <f t="shared" si="102"/>
        <v>0</v>
      </c>
      <c r="AG168" s="123">
        <f t="shared" si="103"/>
        <v>0</v>
      </c>
      <c r="AH168" s="120">
        <f t="shared" si="105"/>
        <v>1</v>
      </c>
      <c r="AJ168" s="106"/>
      <c r="AN168" s="127"/>
      <c r="AQ168" s="127"/>
      <c r="AS168" s="89"/>
      <c r="AT168" s="236">
        <f>+D168*(1+'[52]Jefferson Reg Price Out'!$BA$3)</f>
        <v>127.68760199899999</v>
      </c>
      <c r="AU168" s="229">
        <f t="shared" si="106"/>
        <v>1532.251223988</v>
      </c>
      <c r="AV168" s="229">
        <f t="shared" si="104"/>
        <v>1417.281223988</v>
      </c>
      <c r="AW168" s="235"/>
    </row>
    <row r="169" spans="1:53" s="132" customFormat="1" ht="12" customHeight="1">
      <c r="A169" s="107" t="str">
        <f t="shared" si="90"/>
        <v>PA-CROMILE</v>
      </c>
      <c r="B169" s="99" t="s">
        <v>440</v>
      </c>
      <c r="C169" s="99" t="s">
        <v>439</v>
      </c>
      <c r="D169" s="149">
        <v>3.84</v>
      </c>
      <c r="E169" s="148">
        <v>40</v>
      </c>
      <c r="F169" s="99"/>
      <c r="G169" s="120">
        <v>3521.28</v>
      </c>
      <c r="H169" s="120">
        <v>2799.36</v>
      </c>
      <c r="I169" s="120">
        <v>3379.2</v>
      </c>
      <c r="J169" s="120">
        <v>2983.68</v>
      </c>
      <c r="K169" s="120">
        <v>2284.8000000000002</v>
      </c>
      <c r="L169" s="120">
        <v>2680.32</v>
      </c>
      <c r="M169" s="120">
        <v>2641.92</v>
      </c>
      <c r="N169" s="120">
        <v>2983.68</v>
      </c>
      <c r="O169" s="120">
        <v>2818.56</v>
      </c>
      <c r="P169" s="120">
        <v>3402.24</v>
      </c>
      <c r="Q169" s="120">
        <v>3340.8</v>
      </c>
      <c r="R169" s="120">
        <v>2956.8</v>
      </c>
      <c r="S169" s="120">
        <f t="shared" si="91"/>
        <v>35792.640000000007</v>
      </c>
      <c r="T169" s="107">
        <v>31010</v>
      </c>
      <c r="U169" s="101"/>
      <c r="V169" s="123">
        <f t="shared" si="92"/>
        <v>917.00000000000011</v>
      </c>
      <c r="W169" s="123">
        <f t="shared" si="93"/>
        <v>729.00000000000011</v>
      </c>
      <c r="X169" s="123">
        <f t="shared" si="94"/>
        <v>880</v>
      </c>
      <c r="Y169" s="123">
        <f t="shared" si="95"/>
        <v>777</v>
      </c>
      <c r="Z169" s="123">
        <f t="shared" si="96"/>
        <v>595.00000000000011</v>
      </c>
      <c r="AA169" s="123">
        <f t="shared" si="97"/>
        <v>698.00000000000011</v>
      </c>
      <c r="AB169" s="123">
        <f t="shared" si="98"/>
        <v>688</v>
      </c>
      <c r="AC169" s="123">
        <f t="shared" si="99"/>
        <v>777</v>
      </c>
      <c r="AD169" s="123">
        <f t="shared" si="100"/>
        <v>734</v>
      </c>
      <c r="AE169" s="123">
        <f t="shared" si="101"/>
        <v>886</v>
      </c>
      <c r="AF169" s="123">
        <f t="shared" si="102"/>
        <v>870.00000000000011</v>
      </c>
      <c r="AG169" s="123">
        <f t="shared" si="103"/>
        <v>770.00000000000011</v>
      </c>
      <c r="AH169" s="120">
        <f t="shared" si="105"/>
        <v>776.75</v>
      </c>
      <c r="AI169" s="133"/>
      <c r="AJ169" s="106"/>
      <c r="AK169" s="102"/>
      <c r="AL169" s="101"/>
      <c r="AM169" s="101"/>
      <c r="AN169" s="127"/>
      <c r="AO169" s="101"/>
      <c r="AP169" s="101"/>
      <c r="AQ169" s="127"/>
      <c r="AR169" s="101"/>
      <c r="AS169" s="89"/>
      <c r="AT169" s="236">
        <f>+D169*(1+'[52]Jefferson Reg Price Out'!$BA$3)</f>
        <v>4.264768128</v>
      </c>
      <c r="AU169" s="229">
        <f t="shared" si="106"/>
        <v>39751.903721087998</v>
      </c>
      <c r="AV169" s="229">
        <f t="shared" si="104"/>
        <v>3959.2637210879911</v>
      </c>
      <c r="AW169" s="235"/>
      <c r="AX169" s="101"/>
      <c r="AY169" s="101"/>
      <c r="AZ169" s="101"/>
      <c r="BA169" s="101"/>
    </row>
    <row r="170" spans="1:53" s="132" customFormat="1" ht="12" customHeight="1">
      <c r="A170" s="107" t="str">
        <f t="shared" si="90"/>
        <v>PA-CRORELOCATE</v>
      </c>
      <c r="B170" s="99" t="s">
        <v>265</v>
      </c>
      <c r="C170" s="99" t="s">
        <v>266</v>
      </c>
      <c r="D170" s="149">
        <v>122.34</v>
      </c>
      <c r="E170" s="148">
        <v>17</v>
      </c>
      <c r="F170" s="99"/>
      <c r="G170" s="120">
        <v>122.34</v>
      </c>
      <c r="H170" s="120">
        <v>0</v>
      </c>
      <c r="I170" s="120">
        <v>0</v>
      </c>
      <c r="J170" s="120">
        <v>0</v>
      </c>
      <c r="K170" s="120">
        <v>0</v>
      </c>
      <c r="L170" s="120">
        <v>0</v>
      </c>
      <c r="M170" s="120">
        <v>0</v>
      </c>
      <c r="N170" s="120">
        <v>122.34</v>
      </c>
      <c r="O170" s="120">
        <v>0</v>
      </c>
      <c r="P170" s="120">
        <v>0</v>
      </c>
      <c r="Q170" s="120">
        <v>0</v>
      </c>
      <c r="R170" s="120">
        <v>122.34</v>
      </c>
      <c r="S170" s="120">
        <f t="shared" si="91"/>
        <v>367.02</v>
      </c>
      <c r="T170" s="107">
        <v>31010</v>
      </c>
      <c r="V170" s="120">
        <f t="shared" si="92"/>
        <v>1</v>
      </c>
      <c r="W170" s="120">
        <f t="shared" si="93"/>
        <v>0</v>
      </c>
      <c r="X170" s="120">
        <f t="shared" si="94"/>
        <v>0</v>
      </c>
      <c r="Y170" s="120">
        <f t="shared" si="95"/>
        <v>0</v>
      </c>
      <c r="Z170" s="120">
        <f t="shared" si="96"/>
        <v>0</v>
      </c>
      <c r="AA170" s="120">
        <f t="shared" si="97"/>
        <v>0</v>
      </c>
      <c r="AB170" s="120">
        <f t="shared" si="98"/>
        <v>0</v>
      </c>
      <c r="AC170" s="120">
        <f t="shared" si="99"/>
        <v>1</v>
      </c>
      <c r="AD170" s="120">
        <f t="shared" si="100"/>
        <v>0</v>
      </c>
      <c r="AE170" s="120">
        <f t="shared" si="101"/>
        <v>0</v>
      </c>
      <c r="AF170" s="120">
        <f t="shared" si="102"/>
        <v>0</v>
      </c>
      <c r="AG170" s="120">
        <f t="shared" si="103"/>
        <v>1</v>
      </c>
      <c r="AH170" s="120">
        <f t="shared" si="105"/>
        <v>1</v>
      </c>
      <c r="AI170" s="133"/>
      <c r="AJ170" s="106"/>
      <c r="AK170" s="102"/>
      <c r="AL170" s="101"/>
      <c r="AM170" s="101"/>
      <c r="AN170" s="127"/>
      <c r="AO170" s="101"/>
      <c r="AP170" s="101"/>
      <c r="AQ170" s="127"/>
      <c r="AR170" s="101"/>
      <c r="AS170" s="89"/>
      <c r="AT170" s="236">
        <f>+D170*(1+'[52]Jefferson Reg Price Out'!$BA$3)</f>
        <v>135.87284707800001</v>
      </c>
      <c r="AU170" s="229">
        <f t="shared" si="106"/>
        <v>1630.4741649360001</v>
      </c>
      <c r="AV170" s="229">
        <f t="shared" si="104"/>
        <v>1263.4541649360001</v>
      </c>
      <c r="AW170" s="235"/>
    </row>
    <row r="171" spans="1:53" s="99" customFormat="1" ht="12" customHeight="1">
      <c r="A171" s="131" t="str">
        <f t="shared" si="90"/>
        <v>PA-CRORENT20D</v>
      </c>
      <c r="B171" s="100" t="s">
        <v>438</v>
      </c>
      <c r="C171" s="100" t="s">
        <v>437</v>
      </c>
      <c r="D171" s="149">
        <v>9.6</v>
      </c>
      <c r="E171" s="148">
        <v>39</v>
      </c>
      <c r="G171" s="130">
        <v>3417.6</v>
      </c>
      <c r="H171" s="130">
        <v>2947.2</v>
      </c>
      <c r="I171" s="130">
        <v>4368</v>
      </c>
      <c r="J171" s="130">
        <v>3398.4</v>
      </c>
      <c r="K171" s="130">
        <v>2688</v>
      </c>
      <c r="L171" s="130">
        <v>1564.8</v>
      </c>
      <c r="M171" s="130">
        <v>1536</v>
      </c>
      <c r="N171" s="130">
        <v>2332.8000000000002</v>
      </c>
      <c r="O171" s="130">
        <v>2284.8000000000002</v>
      </c>
      <c r="P171" s="130">
        <v>2592</v>
      </c>
      <c r="Q171" s="130">
        <v>2208</v>
      </c>
      <c r="R171" s="130">
        <v>2707.2</v>
      </c>
      <c r="S171" s="130">
        <f t="shared" si="91"/>
        <v>32044.799999999996</v>
      </c>
      <c r="T171" s="131">
        <v>31002</v>
      </c>
      <c r="V171" s="130">
        <f t="shared" ref="V171:AG171" si="107">IFERROR(G171/$D171,0)/30</f>
        <v>11.866666666666667</v>
      </c>
      <c r="W171" s="130">
        <f t="shared" si="107"/>
        <v>10.233333333333333</v>
      </c>
      <c r="X171" s="130">
        <f t="shared" si="107"/>
        <v>15.166666666666666</v>
      </c>
      <c r="Y171" s="130">
        <f t="shared" si="107"/>
        <v>11.8</v>
      </c>
      <c r="Z171" s="130">
        <f t="shared" si="107"/>
        <v>9.3333333333333339</v>
      </c>
      <c r="AA171" s="130">
        <f t="shared" si="107"/>
        <v>5.4333333333333336</v>
      </c>
      <c r="AB171" s="130">
        <f t="shared" si="107"/>
        <v>5.333333333333333</v>
      </c>
      <c r="AC171" s="130">
        <f t="shared" si="107"/>
        <v>8.1000000000000014</v>
      </c>
      <c r="AD171" s="130">
        <f t="shared" si="107"/>
        <v>7.9333333333333345</v>
      </c>
      <c r="AE171" s="130">
        <f t="shared" si="107"/>
        <v>9</v>
      </c>
      <c r="AF171" s="130">
        <f t="shared" si="107"/>
        <v>7.666666666666667</v>
      </c>
      <c r="AG171" s="130">
        <f t="shared" si="107"/>
        <v>9.4</v>
      </c>
      <c r="AH171" s="130">
        <f t="shared" si="105"/>
        <v>9.2722222222222221</v>
      </c>
      <c r="AI171" s="128"/>
      <c r="AJ171" s="106"/>
      <c r="AK171" s="102" t="s">
        <v>434</v>
      </c>
      <c r="AL171" s="101"/>
      <c r="AM171" s="101"/>
      <c r="AN171" s="127"/>
      <c r="AO171" s="101"/>
      <c r="AP171" s="101">
        <v>1</v>
      </c>
      <c r="AQ171" s="127">
        <f>+AH171*AP171</f>
        <v>9.2722222222222221</v>
      </c>
      <c r="AR171" s="101"/>
      <c r="AS171" s="89"/>
      <c r="AT171" s="236">
        <f>+D171*(1+'[52]Jefferson Reg Price Out'!$BA$3)</f>
        <v>10.66192032</v>
      </c>
      <c r="AU171" s="229">
        <f>+AT171*AH171*12*30</f>
        <v>35589.490028159998</v>
      </c>
      <c r="AV171" s="229">
        <f t="shared" si="104"/>
        <v>3544.6900281600028</v>
      </c>
      <c r="AW171" s="235"/>
      <c r="AX171" s="132"/>
      <c r="AY171" s="132"/>
      <c r="AZ171" s="132"/>
      <c r="BA171" s="132"/>
    </row>
    <row r="172" spans="1:53" s="99" customFormat="1" ht="12" customHeight="1">
      <c r="A172" s="131" t="str">
        <f t="shared" si="90"/>
        <v>PA-CRORENT20M</v>
      </c>
      <c r="B172" s="100" t="s">
        <v>436</v>
      </c>
      <c r="C172" s="100" t="s">
        <v>435</v>
      </c>
      <c r="D172" s="149">
        <v>78.650000000000006</v>
      </c>
      <c r="E172" s="148">
        <v>39</v>
      </c>
      <c r="G172" s="130">
        <v>449.05</v>
      </c>
      <c r="H172" s="130">
        <v>498.11</v>
      </c>
      <c r="I172" s="130">
        <v>550.54999999999995</v>
      </c>
      <c r="J172" s="130">
        <v>498.11</v>
      </c>
      <c r="K172" s="130">
        <v>393.25</v>
      </c>
      <c r="L172" s="130">
        <v>393.25</v>
      </c>
      <c r="M172" s="130">
        <v>488.75</v>
      </c>
      <c r="N172" s="130">
        <v>553.16999999999996</v>
      </c>
      <c r="O172" s="130">
        <v>655.41</v>
      </c>
      <c r="P172" s="130">
        <v>842.31</v>
      </c>
      <c r="Q172" s="130">
        <v>810.09</v>
      </c>
      <c r="R172" s="130">
        <v>786.5</v>
      </c>
      <c r="S172" s="130">
        <f t="shared" si="91"/>
        <v>6918.5500000000011</v>
      </c>
      <c r="T172" s="131">
        <v>31002</v>
      </c>
      <c r="V172" s="130">
        <f t="shared" ref="V172:AG172" si="108">IFERROR(G172/$D172,0)</f>
        <v>5.709472345835982</v>
      </c>
      <c r="W172" s="130">
        <f t="shared" si="108"/>
        <v>6.3332485696122056</v>
      </c>
      <c r="X172" s="130">
        <f t="shared" si="108"/>
        <v>6.9999999999999991</v>
      </c>
      <c r="Y172" s="130">
        <f t="shared" si="108"/>
        <v>6.3332485696122056</v>
      </c>
      <c r="Z172" s="130">
        <f t="shared" si="108"/>
        <v>5</v>
      </c>
      <c r="AA172" s="130">
        <f t="shared" si="108"/>
        <v>5</v>
      </c>
      <c r="AB172" s="130">
        <f t="shared" si="108"/>
        <v>6.2142403051493957</v>
      </c>
      <c r="AC172" s="130">
        <f t="shared" si="108"/>
        <v>7.0333121424030507</v>
      </c>
      <c r="AD172" s="130">
        <f t="shared" si="108"/>
        <v>8.3332485696122056</v>
      </c>
      <c r="AE172" s="130">
        <f t="shared" si="108"/>
        <v>10.709599491417672</v>
      </c>
      <c r="AF172" s="130">
        <f t="shared" si="108"/>
        <v>10.299936427209154</v>
      </c>
      <c r="AG172" s="130">
        <f t="shared" si="108"/>
        <v>10</v>
      </c>
      <c r="AH172" s="130">
        <f t="shared" si="105"/>
        <v>7.3305255350709899</v>
      </c>
      <c r="AI172" s="128"/>
      <c r="AJ172" s="106"/>
      <c r="AK172" s="102" t="s">
        <v>434</v>
      </c>
      <c r="AL172" s="101"/>
      <c r="AM172" s="101"/>
      <c r="AN172" s="127"/>
      <c r="AO172" s="101"/>
      <c r="AP172" s="101">
        <v>1</v>
      </c>
      <c r="AQ172" s="127">
        <f>+AH172*AP172</f>
        <v>7.3305255350709899</v>
      </c>
      <c r="AR172" s="101"/>
      <c r="AS172" s="89"/>
      <c r="AT172" s="236">
        <f>+D172*(1+'[52]Jefferson Reg Price Out'!$BA$3)</f>
        <v>87.350003455000007</v>
      </c>
      <c r="AU172" s="229">
        <f>+AT172*AH172*12</f>
        <v>7683.8571697850011</v>
      </c>
      <c r="AV172" s="229">
        <f t="shared" si="104"/>
        <v>765.30716978500004</v>
      </c>
      <c r="AW172" s="235"/>
    </row>
    <row r="173" spans="1:53" s="106" customFormat="1" ht="12" customHeight="1">
      <c r="A173" s="131" t="str">
        <f t="shared" si="90"/>
        <v>PA-CRORENT30D</v>
      </c>
      <c r="B173" s="100" t="s">
        <v>433</v>
      </c>
      <c r="C173" s="100" t="s">
        <v>432</v>
      </c>
      <c r="D173" s="149">
        <v>16</v>
      </c>
      <c r="E173" s="148">
        <v>39</v>
      </c>
      <c r="F173" s="99"/>
      <c r="G173" s="130">
        <v>2848</v>
      </c>
      <c r="H173" s="130">
        <v>3200</v>
      </c>
      <c r="I173" s="130">
        <v>3360</v>
      </c>
      <c r="J173" s="130">
        <v>448</v>
      </c>
      <c r="K173" s="130">
        <v>4480</v>
      </c>
      <c r="L173" s="130">
        <v>2416</v>
      </c>
      <c r="M173" s="130">
        <v>1616</v>
      </c>
      <c r="N173" s="130">
        <v>2064</v>
      </c>
      <c r="O173" s="130">
        <v>1808</v>
      </c>
      <c r="P173" s="130">
        <v>3504</v>
      </c>
      <c r="Q173" s="130">
        <v>3920</v>
      </c>
      <c r="R173" s="130">
        <v>4688</v>
      </c>
      <c r="S173" s="130">
        <f t="shared" si="91"/>
        <v>34352</v>
      </c>
      <c r="T173" s="131">
        <v>31002</v>
      </c>
      <c r="U173" s="99"/>
      <c r="V173" s="130">
        <f t="shared" ref="V173:AG173" si="109">IFERROR(G173/$D173,0)/30</f>
        <v>5.9333333333333336</v>
      </c>
      <c r="W173" s="130">
        <f t="shared" si="109"/>
        <v>6.666666666666667</v>
      </c>
      <c r="X173" s="130">
        <f t="shared" si="109"/>
        <v>7</v>
      </c>
      <c r="Y173" s="130">
        <f t="shared" si="109"/>
        <v>0.93333333333333335</v>
      </c>
      <c r="Z173" s="130">
        <f t="shared" si="109"/>
        <v>9.3333333333333339</v>
      </c>
      <c r="AA173" s="130">
        <f t="shared" si="109"/>
        <v>5.0333333333333332</v>
      </c>
      <c r="AB173" s="130">
        <f t="shared" si="109"/>
        <v>3.3666666666666667</v>
      </c>
      <c r="AC173" s="130">
        <f t="shared" si="109"/>
        <v>4.3</v>
      </c>
      <c r="AD173" s="130">
        <f t="shared" si="109"/>
        <v>3.7666666666666666</v>
      </c>
      <c r="AE173" s="130">
        <f t="shared" si="109"/>
        <v>7.3</v>
      </c>
      <c r="AF173" s="130">
        <f t="shared" si="109"/>
        <v>8.1666666666666661</v>
      </c>
      <c r="AG173" s="130">
        <f t="shared" si="109"/>
        <v>9.7666666666666675</v>
      </c>
      <c r="AH173" s="130">
        <f t="shared" si="105"/>
        <v>5.9638888888888886</v>
      </c>
      <c r="AI173" s="129"/>
      <c r="AK173" s="102" t="s">
        <v>430</v>
      </c>
      <c r="AL173" s="101"/>
      <c r="AM173" s="101"/>
      <c r="AN173" s="127"/>
      <c r="AO173" s="101"/>
      <c r="AP173" s="101">
        <v>1</v>
      </c>
      <c r="AQ173" s="127">
        <f>+AH173*AP173</f>
        <v>5.9638888888888886</v>
      </c>
      <c r="AR173" s="101"/>
      <c r="AS173" s="89"/>
      <c r="AT173" s="236">
        <f>+D173*(1+'[52]Jefferson Reg Price Out'!$BA$3)</f>
        <v>17.7698672</v>
      </c>
      <c r="AU173" s="229">
        <f>+AT173*AH173*12*30</f>
        <v>38151.904878399997</v>
      </c>
      <c r="AV173" s="229">
        <f t="shared" si="104"/>
        <v>3799.904878399997</v>
      </c>
      <c r="AW173" s="235"/>
      <c r="AX173" s="99"/>
      <c r="AY173" s="99"/>
      <c r="AZ173" s="99"/>
      <c r="BA173" s="99"/>
    </row>
    <row r="174" spans="1:53" s="106" customFormat="1" ht="12" customHeight="1">
      <c r="A174" s="131" t="str">
        <f t="shared" si="90"/>
        <v>PA-CRORENT30M</v>
      </c>
      <c r="B174" s="100" t="s">
        <v>431</v>
      </c>
      <c r="C174" s="100" t="s">
        <v>548</v>
      </c>
      <c r="D174" s="149">
        <v>81.900000000000006</v>
      </c>
      <c r="E174" s="148">
        <v>39</v>
      </c>
      <c r="F174" s="99"/>
      <c r="G174" s="130">
        <v>1770.09</v>
      </c>
      <c r="H174" s="130">
        <v>1801.8</v>
      </c>
      <c r="I174" s="130">
        <v>1801.8</v>
      </c>
      <c r="J174" s="130">
        <v>1801.8</v>
      </c>
      <c r="K174" s="130">
        <v>1801.8</v>
      </c>
      <c r="L174" s="130">
        <v>1801.8</v>
      </c>
      <c r="M174" s="130">
        <v>1804.71</v>
      </c>
      <c r="N174" s="130">
        <v>1767.43</v>
      </c>
      <c r="O174" s="130">
        <v>1719.9</v>
      </c>
      <c r="P174" s="130">
        <v>1762.17</v>
      </c>
      <c r="Q174" s="130">
        <v>1741.72</v>
      </c>
      <c r="R174" s="130">
        <v>1719.9</v>
      </c>
      <c r="S174" s="130">
        <f t="shared" si="91"/>
        <v>21294.920000000002</v>
      </c>
      <c r="T174" s="131">
        <v>31002</v>
      </c>
      <c r="U174" s="99"/>
      <c r="V174" s="130">
        <f t="shared" ref="V174:AG175" si="110">IFERROR(G174/$D174,0)</f>
        <v>21.612820512820509</v>
      </c>
      <c r="W174" s="130">
        <f t="shared" si="110"/>
        <v>21.999999999999996</v>
      </c>
      <c r="X174" s="130">
        <f t="shared" si="110"/>
        <v>21.999999999999996</v>
      </c>
      <c r="Y174" s="130">
        <f t="shared" si="110"/>
        <v>21.999999999999996</v>
      </c>
      <c r="Z174" s="130">
        <f t="shared" si="110"/>
        <v>21.999999999999996</v>
      </c>
      <c r="AA174" s="130">
        <f t="shared" si="110"/>
        <v>21.999999999999996</v>
      </c>
      <c r="AB174" s="130">
        <f t="shared" si="110"/>
        <v>22.035531135531134</v>
      </c>
      <c r="AC174" s="130">
        <f t="shared" si="110"/>
        <v>21.58034188034188</v>
      </c>
      <c r="AD174" s="130">
        <f t="shared" si="110"/>
        <v>21</v>
      </c>
      <c r="AE174" s="130">
        <f t="shared" si="110"/>
        <v>21.516117216117216</v>
      </c>
      <c r="AF174" s="130">
        <f t="shared" si="110"/>
        <v>21.266422466422465</v>
      </c>
      <c r="AG174" s="130">
        <f t="shared" si="110"/>
        <v>21</v>
      </c>
      <c r="AH174" s="130">
        <f t="shared" si="105"/>
        <v>21.667602767602762</v>
      </c>
      <c r="AI174" s="129"/>
      <c r="AK174" s="102" t="s">
        <v>430</v>
      </c>
      <c r="AL174" s="101"/>
      <c r="AM174" s="101"/>
      <c r="AN174" s="127"/>
      <c r="AO174" s="101"/>
      <c r="AP174" s="101">
        <v>1</v>
      </c>
      <c r="AQ174" s="127">
        <f>+AH174*AP174</f>
        <v>21.667602767602762</v>
      </c>
      <c r="AR174" s="101"/>
      <c r="AS174" s="89"/>
      <c r="AT174" s="236">
        <f>+D174*(1+'[52]Jefferson Reg Price Out'!$BA$3)</f>
        <v>90.959507730000013</v>
      </c>
      <c r="AU174" s="229">
        <f>+AT174*AH174*12</f>
        <v>23650.493777163996</v>
      </c>
      <c r="AV174" s="229">
        <f t="shared" si="104"/>
        <v>2355.5737771639942</v>
      </c>
      <c r="AW174" s="235"/>
    </row>
    <row r="175" spans="1:53" s="99" customFormat="1" ht="12" customHeight="1">
      <c r="A175" s="106" t="str">
        <f t="shared" si="90"/>
        <v>PA-CROWAIT</v>
      </c>
      <c r="B175" s="99" t="s">
        <v>429</v>
      </c>
      <c r="C175" s="99" t="s">
        <v>428</v>
      </c>
      <c r="D175" s="149">
        <v>80.72</v>
      </c>
      <c r="E175" s="148">
        <v>29</v>
      </c>
      <c r="G175" s="120">
        <v>0</v>
      </c>
      <c r="H175" s="120">
        <v>40.36</v>
      </c>
      <c r="I175" s="120">
        <v>0</v>
      </c>
      <c r="J175" s="120">
        <v>0</v>
      </c>
      <c r="K175" s="120">
        <v>0</v>
      </c>
      <c r="L175" s="120">
        <v>40.36</v>
      </c>
      <c r="M175" s="120">
        <v>0</v>
      </c>
      <c r="N175" s="120">
        <v>0</v>
      </c>
      <c r="O175" s="120">
        <v>0</v>
      </c>
      <c r="P175" s="120">
        <v>60.54</v>
      </c>
      <c r="Q175" s="120">
        <v>0</v>
      </c>
      <c r="R175" s="120">
        <v>40.36</v>
      </c>
      <c r="S175" s="120">
        <f t="shared" si="91"/>
        <v>181.62</v>
      </c>
      <c r="T175" s="106">
        <v>31010</v>
      </c>
      <c r="V175" s="123">
        <f t="shared" si="110"/>
        <v>0</v>
      </c>
      <c r="W175" s="123">
        <f t="shared" si="110"/>
        <v>0.5</v>
      </c>
      <c r="X175" s="123">
        <f t="shared" si="110"/>
        <v>0</v>
      </c>
      <c r="Y175" s="123">
        <f t="shared" si="110"/>
        <v>0</v>
      </c>
      <c r="Z175" s="123">
        <f t="shared" si="110"/>
        <v>0</v>
      </c>
      <c r="AA175" s="123">
        <f t="shared" si="110"/>
        <v>0.5</v>
      </c>
      <c r="AB175" s="123">
        <f t="shared" si="110"/>
        <v>0</v>
      </c>
      <c r="AC175" s="123">
        <f t="shared" si="110"/>
        <v>0</v>
      </c>
      <c r="AD175" s="123">
        <f t="shared" si="110"/>
        <v>0</v>
      </c>
      <c r="AE175" s="123">
        <f t="shared" si="110"/>
        <v>0.75</v>
      </c>
      <c r="AF175" s="123">
        <f t="shared" si="110"/>
        <v>0</v>
      </c>
      <c r="AG175" s="123">
        <f t="shared" si="110"/>
        <v>0.5</v>
      </c>
      <c r="AH175" s="120">
        <f t="shared" si="105"/>
        <v>0.5625</v>
      </c>
      <c r="AI175" s="128"/>
      <c r="AJ175" s="106"/>
      <c r="AK175" s="102"/>
      <c r="AL175" s="101"/>
      <c r="AM175" s="101"/>
      <c r="AN175" s="127"/>
      <c r="AO175" s="101"/>
      <c r="AP175" s="101"/>
      <c r="AQ175" s="127"/>
      <c r="AR175" s="101"/>
      <c r="AS175" s="89"/>
      <c r="AT175" s="236">
        <f>+D175*(1+'[52]Jefferson Reg Price Out'!$BA$3)</f>
        <v>89.648980023999997</v>
      </c>
      <c r="AU175" s="229">
        <f>+AT175*AH175*12</f>
        <v>605.13061516200003</v>
      </c>
      <c r="AV175" s="229">
        <f t="shared" si="104"/>
        <v>423.51061516200002</v>
      </c>
      <c r="AW175" s="235"/>
      <c r="AX175" s="106"/>
      <c r="AY175" s="106"/>
      <c r="AZ175" s="106"/>
      <c r="BA175" s="106"/>
    </row>
    <row r="176" spans="1:53" ht="12" customHeight="1" thickBot="1">
      <c r="B176" s="99"/>
      <c r="C176" s="99"/>
      <c r="D176" s="216"/>
      <c r="E176" s="234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107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0"/>
      <c r="AN176" s="127"/>
      <c r="AP176" s="127"/>
      <c r="AS176" s="89"/>
      <c r="AT176" s="236">
        <f>+D176*(1+'[52]Jefferson Reg Price Out'!$BA$3)</f>
        <v>0</v>
      </c>
      <c r="AU176" s="229">
        <f>+AT176*AH176*12</f>
        <v>0</v>
      </c>
      <c r="AV176" s="229">
        <f t="shared" si="104"/>
        <v>0</v>
      </c>
      <c r="AW176" s="235"/>
      <c r="AX176" s="99"/>
      <c r="AY176" s="99"/>
      <c r="AZ176" s="99"/>
      <c r="BA176" s="99"/>
    </row>
    <row r="177" spans="1:73" s="105" customFormat="1" ht="12" customHeight="1" thickBot="1">
      <c r="B177" s="113"/>
      <c r="C177" s="113"/>
      <c r="D177" s="216"/>
      <c r="E177" s="234"/>
      <c r="F177" s="113"/>
      <c r="G177" s="178">
        <f t="shared" ref="G177:R177" si="111">SUM(G160:G176)</f>
        <v>35967.789999999994</v>
      </c>
      <c r="H177" s="178">
        <f t="shared" si="111"/>
        <v>27429.86</v>
      </c>
      <c r="I177" s="178">
        <f t="shared" si="111"/>
        <v>33410.39</v>
      </c>
      <c r="J177" s="178">
        <f t="shared" si="111"/>
        <v>26615.010000000002</v>
      </c>
      <c r="K177" s="178">
        <f t="shared" si="111"/>
        <v>25584.04</v>
      </c>
      <c r="L177" s="178">
        <f t="shared" si="111"/>
        <v>30236.799999999999</v>
      </c>
      <c r="M177" s="178">
        <f t="shared" si="111"/>
        <v>25528.97</v>
      </c>
      <c r="N177" s="178">
        <f t="shared" si="111"/>
        <v>27618.719999999998</v>
      </c>
      <c r="O177" s="178">
        <f t="shared" si="111"/>
        <v>25578.91</v>
      </c>
      <c r="P177" s="178">
        <f t="shared" si="111"/>
        <v>34128</v>
      </c>
      <c r="Q177" s="178">
        <f t="shared" si="111"/>
        <v>32109.16</v>
      </c>
      <c r="R177" s="178">
        <f t="shared" si="111"/>
        <v>31735.119999999999</v>
      </c>
      <c r="S177" s="178">
        <f>SUM(G177:R177)</f>
        <v>355942.76999999996</v>
      </c>
      <c r="T177" s="112"/>
      <c r="V177" s="126">
        <f t="shared" ref="V177:AH177" si="112">+SUM(V161:V162,V171:V174)</f>
        <v>56.122292858656493</v>
      </c>
      <c r="W177" s="126">
        <f t="shared" si="112"/>
        <v>54.233248569612201</v>
      </c>
      <c r="X177" s="126">
        <f t="shared" si="112"/>
        <v>61.166666666666657</v>
      </c>
      <c r="Y177" s="126">
        <f t="shared" si="112"/>
        <v>53.066581902945536</v>
      </c>
      <c r="Z177" s="126">
        <f t="shared" si="112"/>
        <v>55.666666666666671</v>
      </c>
      <c r="AA177" s="126">
        <f t="shared" si="112"/>
        <v>48.466666666666669</v>
      </c>
      <c r="AB177" s="126">
        <f t="shared" si="112"/>
        <v>44.949771440680529</v>
      </c>
      <c r="AC177" s="126">
        <f t="shared" si="112"/>
        <v>52.01365402274493</v>
      </c>
      <c r="AD177" s="126">
        <f t="shared" si="112"/>
        <v>50.033248569612205</v>
      </c>
      <c r="AE177" s="126">
        <f t="shared" si="112"/>
        <v>59.525716707534883</v>
      </c>
      <c r="AF177" s="126">
        <f t="shared" si="112"/>
        <v>57.399692226964959</v>
      </c>
      <c r="AG177" s="126">
        <f t="shared" si="112"/>
        <v>58.166666666666664</v>
      </c>
      <c r="AH177" s="126">
        <f t="shared" si="112"/>
        <v>49.234239413784863</v>
      </c>
      <c r="AI177" s="103">
        <f>AH177-39</f>
        <v>10.234239413784863</v>
      </c>
      <c r="AK177" s="102"/>
      <c r="AL177" s="101"/>
      <c r="AM177" s="110">
        <f>SUM(AM156:AM176)</f>
        <v>478.38063786645694</v>
      </c>
      <c r="AN177"/>
      <c r="AO177" s="110">
        <f>SUM(AO156:AO176)</f>
        <v>2906.3705919129561</v>
      </c>
      <c r="AP177"/>
      <c r="AQ177" s="110">
        <f>SUM(AQ156:AQ176)</f>
        <v>44.234239413784863</v>
      </c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</row>
    <row r="178" spans="1:73" ht="12" customHeight="1">
      <c r="B178" s="106"/>
      <c r="C178" s="106"/>
      <c r="D178" s="216"/>
      <c r="E178" s="216"/>
      <c r="F178" s="99"/>
      <c r="G178" s="125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107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105"/>
      <c r="AS178" s="105"/>
    </row>
    <row r="179" spans="1:73" ht="12" customHeight="1">
      <c r="B179" s="109" t="s">
        <v>427</v>
      </c>
      <c r="C179" s="109" t="s">
        <v>427</v>
      </c>
      <c r="D179" s="216"/>
      <c r="E179" s="216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107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105"/>
      <c r="AT179" s="105"/>
      <c r="AU179" s="233">
        <f ca="1">SUM(AU161:OFFSET(AU179,-1,0))</f>
        <v>397544.51475797797</v>
      </c>
      <c r="AV179" s="233">
        <f ca="1">SUM(AV161:OFFSET(AV179,-1,0))</f>
        <v>42324.144757977963</v>
      </c>
      <c r="AW179" s="105"/>
      <c r="AX179" s="105"/>
      <c r="AY179" s="105"/>
      <c r="AZ179" s="105"/>
      <c r="BA179" s="105"/>
    </row>
    <row r="180" spans="1:73" ht="12" customHeight="1">
      <c r="A180" s="107" t="str">
        <f>"PA-C"&amp;B180</f>
        <v>PA-CDISP</v>
      </c>
      <c r="B180" s="99" t="s">
        <v>426</v>
      </c>
      <c r="C180" s="99" t="s">
        <v>425</v>
      </c>
      <c r="D180" s="149">
        <v>144.99</v>
      </c>
      <c r="E180" s="148">
        <v>34</v>
      </c>
      <c r="F180" s="99"/>
      <c r="G180" s="120">
        <v>51910.79</v>
      </c>
      <c r="H180" s="120">
        <v>36711.51</v>
      </c>
      <c r="I180" s="120">
        <v>44364.07</v>
      </c>
      <c r="J180" s="120">
        <v>43995.76</v>
      </c>
      <c r="K180" s="120">
        <v>38580.400000000001</v>
      </c>
      <c r="L180" s="120">
        <v>39303.839999999997</v>
      </c>
      <c r="M180" s="120">
        <v>44519.14</v>
      </c>
      <c r="N180" s="120">
        <v>46582.39</v>
      </c>
      <c r="O180" s="120">
        <v>36737.620000000003</v>
      </c>
      <c r="P180" s="120">
        <v>50563.77</v>
      </c>
      <c r="Q180" s="120">
        <v>45074.49</v>
      </c>
      <c r="R180" s="120">
        <v>39109.550000000003</v>
      </c>
      <c r="S180" s="120">
        <f>SUM(G180:R180)</f>
        <v>517453.33</v>
      </c>
      <c r="T180" s="107">
        <v>31005</v>
      </c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105"/>
      <c r="AX180" s="105"/>
    </row>
    <row r="181" spans="1:73" ht="12" customHeight="1">
      <c r="B181" s="99"/>
      <c r="C181" s="99"/>
      <c r="D181" s="216"/>
      <c r="E181" s="216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107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105"/>
      <c r="AJ181" s="106"/>
      <c r="AT181" s="229"/>
      <c r="AX181" s="232"/>
    </row>
    <row r="182" spans="1:73" s="105" customFormat="1" ht="12" customHeight="1">
      <c r="A182" s="112"/>
      <c r="B182" s="117"/>
      <c r="C182" s="179" t="s">
        <v>424</v>
      </c>
      <c r="D182" s="216"/>
      <c r="E182" s="216"/>
      <c r="F182" s="113"/>
      <c r="G182" s="178">
        <f t="shared" ref="G182:R182" si="113">SUM(G180:G181)</f>
        <v>51910.79</v>
      </c>
      <c r="H182" s="178">
        <f t="shared" si="113"/>
        <v>36711.51</v>
      </c>
      <c r="I182" s="178">
        <f t="shared" si="113"/>
        <v>44364.07</v>
      </c>
      <c r="J182" s="178">
        <f t="shared" si="113"/>
        <v>43995.76</v>
      </c>
      <c r="K182" s="178">
        <f t="shared" si="113"/>
        <v>38580.400000000001</v>
      </c>
      <c r="L182" s="178">
        <f t="shared" si="113"/>
        <v>39303.839999999997</v>
      </c>
      <c r="M182" s="178">
        <f t="shared" si="113"/>
        <v>44519.14</v>
      </c>
      <c r="N182" s="178">
        <f t="shared" si="113"/>
        <v>46582.39</v>
      </c>
      <c r="O182" s="178">
        <f t="shared" si="113"/>
        <v>36737.620000000003</v>
      </c>
      <c r="P182" s="178">
        <f t="shared" si="113"/>
        <v>50563.77</v>
      </c>
      <c r="Q182" s="178">
        <f t="shared" si="113"/>
        <v>45074.49</v>
      </c>
      <c r="R182" s="178">
        <f t="shared" si="113"/>
        <v>39109.550000000003</v>
      </c>
      <c r="S182" s="178">
        <f>SUM(G182:R182)</f>
        <v>517453.33</v>
      </c>
      <c r="T182" s="112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I182" s="103"/>
      <c r="AJ182" s="106"/>
      <c r="AK182" s="102"/>
      <c r="AL182" s="101"/>
      <c r="AM182" s="101"/>
      <c r="AN182" s="101"/>
      <c r="AO182" s="101"/>
      <c r="AP182" s="101"/>
      <c r="AQ182" s="101"/>
      <c r="AR182" s="101"/>
      <c r="AS182" s="89">
        <f>+AH182</f>
        <v>0</v>
      </c>
      <c r="AT182" s="229">
        <f>+D182</f>
        <v>0</v>
      </c>
      <c r="AU182" s="229">
        <f>+S182</f>
        <v>517453.33</v>
      </c>
      <c r="AV182" s="229">
        <f>+AU182-S182</f>
        <v>0</v>
      </c>
      <c r="AW182" s="101"/>
      <c r="AX182" s="101"/>
      <c r="AY182" s="101"/>
      <c r="AZ182" s="101"/>
      <c r="BA182" s="101"/>
    </row>
    <row r="183" spans="1:73" s="107" customFormat="1" ht="12" customHeight="1">
      <c r="B183" s="106"/>
      <c r="C183" s="228"/>
      <c r="D183" s="216"/>
      <c r="E183" s="216"/>
      <c r="F183" s="99"/>
      <c r="G183" s="191"/>
      <c r="H183" s="191"/>
      <c r="I183" s="191"/>
      <c r="J183" s="191"/>
      <c r="K183" s="191"/>
      <c r="L183" s="191"/>
      <c r="M183" s="191"/>
      <c r="N183" s="191"/>
      <c r="O183" s="191"/>
      <c r="P183" s="191"/>
      <c r="Q183" s="191"/>
      <c r="R183" s="191"/>
      <c r="S183" s="191"/>
      <c r="U183" s="101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105"/>
      <c r="AI183" s="118"/>
      <c r="AJ183" s="106"/>
      <c r="AK183" s="102"/>
      <c r="AL183" s="101"/>
      <c r="AM183" s="101"/>
      <c r="AN183" s="101"/>
      <c r="AO183" s="101"/>
      <c r="AP183" s="101"/>
      <c r="AQ183" s="101"/>
      <c r="AR183" s="101"/>
      <c r="AS183" s="106"/>
      <c r="AT183" s="229"/>
      <c r="AU183" s="229"/>
      <c r="AV183" s="101"/>
      <c r="AW183" s="101"/>
      <c r="AX183" s="101"/>
      <c r="AY183" s="101"/>
      <c r="AZ183" s="101"/>
      <c r="BA183" s="101"/>
    </row>
    <row r="184" spans="1:73" s="107" customFormat="1" ht="12" customHeight="1">
      <c r="B184" s="124" t="s">
        <v>423</v>
      </c>
      <c r="C184" s="124" t="s">
        <v>423</v>
      </c>
      <c r="D184" s="231"/>
      <c r="E184" s="231"/>
      <c r="F184" s="122"/>
      <c r="G184" s="121"/>
      <c r="H184" s="120" t="str">
        <f>IF(F184="","",(#REF!/F184)+(#REF!/D184))</f>
        <v/>
      </c>
      <c r="I184" s="120" t="str">
        <f>IF(F184="","",H184/12)</f>
        <v/>
      </c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05"/>
      <c r="AI184" s="118"/>
      <c r="AJ184" s="106"/>
      <c r="AK184" s="102"/>
      <c r="AL184" s="101"/>
      <c r="AM184" s="101"/>
      <c r="AN184" s="101"/>
      <c r="AO184" s="101"/>
      <c r="AP184" s="101"/>
      <c r="AQ184" s="101"/>
      <c r="AR184" s="101"/>
      <c r="AS184" s="106"/>
      <c r="AT184" s="229"/>
      <c r="AU184" s="178">
        <f>SUM(AU182:AU183)</f>
        <v>517453.33</v>
      </c>
      <c r="AV184" s="178">
        <f>SUM(AV182:AV183)</f>
        <v>0</v>
      </c>
      <c r="AW184" s="105"/>
      <c r="AX184" s="105"/>
      <c r="AY184" s="105"/>
      <c r="AZ184" s="105"/>
      <c r="BA184" s="105"/>
    </row>
    <row r="185" spans="1:73" s="107" customFormat="1" ht="12" customHeight="1">
      <c r="A185" s="107" t="str">
        <f>"PA-C"&amp;B185</f>
        <v>PA-CFINCHG</v>
      </c>
      <c r="B185" s="99" t="s">
        <v>421</v>
      </c>
      <c r="C185" s="99" t="s">
        <v>420</v>
      </c>
      <c r="D185" s="149">
        <v>1</v>
      </c>
      <c r="E185" s="148">
        <v>8</v>
      </c>
      <c r="F185" s="122"/>
      <c r="G185" s="120">
        <v>379.61</v>
      </c>
      <c r="H185" s="120">
        <v>440.13</v>
      </c>
      <c r="I185" s="120">
        <v>383.91</v>
      </c>
      <c r="J185" s="120">
        <v>317.91000000000003</v>
      </c>
      <c r="K185" s="120">
        <v>426.48999999999995</v>
      </c>
      <c r="L185" s="120">
        <v>294.48999999999995</v>
      </c>
      <c r="M185" s="120">
        <v>393.59</v>
      </c>
      <c r="N185" s="120">
        <v>163.6</v>
      </c>
      <c r="O185" s="120">
        <v>345.4</v>
      </c>
      <c r="P185" s="120">
        <v>333.73999999999995</v>
      </c>
      <c r="Q185" s="120">
        <v>191.24</v>
      </c>
      <c r="R185" s="120">
        <v>315.58999999999997</v>
      </c>
      <c r="S185" s="120">
        <f>SUM(G185:R185)</f>
        <v>3985.7</v>
      </c>
      <c r="T185" s="107">
        <v>38000</v>
      </c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05"/>
      <c r="AI185" s="118"/>
      <c r="AJ185" s="106"/>
      <c r="AK185" s="102"/>
      <c r="AL185" s="101"/>
      <c r="AM185" s="101"/>
      <c r="AN185" s="101"/>
      <c r="AO185" s="101"/>
      <c r="AP185" s="101"/>
      <c r="AQ185" s="101"/>
      <c r="AR185" s="101"/>
      <c r="AS185" s="106"/>
      <c r="AT185" s="230"/>
      <c r="AU185" s="230"/>
    </row>
    <row r="186" spans="1:73" s="107" customFormat="1" ht="12" customHeight="1">
      <c r="A186" s="101"/>
      <c r="B186" s="99"/>
      <c r="C186" s="99"/>
      <c r="D186" s="231"/>
      <c r="E186" s="231"/>
      <c r="F186" s="122"/>
      <c r="G186" s="121"/>
      <c r="H186" s="120"/>
      <c r="I186" s="120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05"/>
      <c r="AI186" s="118"/>
      <c r="AJ186" s="106"/>
      <c r="AK186" s="102"/>
      <c r="AL186" s="101"/>
      <c r="AM186" s="101"/>
      <c r="AN186" s="101"/>
      <c r="AO186" s="101"/>
      <c r="AP186" s="101"/>
      <c r="AQ186" s="101"/>
      <c r="AR186" s="101"/>
      <c r="AS186" s="106"/>
      <c r="AT186" s="230"/>
      <c r="AU186" s="230"/>
    </row>
    <row r="187" spans="1:73" s="105" customFormat="1" ht="12" customHeight="1">
      <c r="B187" s="117"/>
      <c r="C187" s="179" t="s">
        <v>419</v>
      </c>
      <c r="D187" s="231"/>
      <c r="E187" s="231"/>
      <c r="F187" s="116"/>
      <c r="G187" s="178">
        <f t="shared" ref="G187:R187" si="114">SUM(G185:G186)</f>
        <v>379.61</v>
      </c>
      <c r="H187" s="178">
        <f t="shared" si="114"/>
        <v>440.13</v>
      </c>
      <c r="I187" s="178">
        <f t="shared" si="114"/>
        <v>383.91</v>
      </c>
      <c r="J187" s="178">
        <f t="shared" si="114"/>
        <v>317.91000000000003</v>
      </c>
      <c r="K187" s="178">
        <f t="shared" si="114"/>
        <v>426.48999999999995</v>
      </c>
      <c r="L187" s="178">
        <f t="shared" si="114"/>
        <v>294.48999999999995</v>
      </c>
      <c r="M187" s="178">
        <f t="shared" si="114"/>
        <v>393.59</v>
      </c>
      <c r="N187" s="178">
        <f t="shared" si="114"/>
        <v>163.6</v>
      </c>
      <c r="O187" s="178">
        <f t="shared" si="114"/>
        <v>345.4</v>
      </c>
      <c r="P187" s="178">
        <f t="shared" si="114"/>
        <v>333.73999999999995</v>
      </c>
      <c r="Q187" s="178">
        <f t="shared" si="114"/>
        <v>191.24</v>
      </c>
      <c r="R187" s="178">
        <f t="shared" si="114"/>
        <v>315.58999999999997</v>
      </c>
      <c r="S187" s="178">
        <f>SUM(G187:R187)</f>
        <v>3985.7</v>
      </c>
      <c r="T187" s="112"/>
      <c r="U187" s="112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I187" s="103"/>
      <c r="AJ187" s="106"/>
      <c r="AK187" s="102"/>
      <c r="AL187" s="101"/>
      <c r="AM187" s="101"/>
      <c r="AN187" s="101"/>
      <c r="AO187" s="101"/>
      <c r="AP187" s="101"/>
      <c r="AQ187" s="101"/>
      <c r="AR187" s="101"/>
      <c r="AS187" s="106"/>
      <c r="AT187" s="230">
        <f>+D187</f>
        <v>0</v>
      </c>
      <c r="AU187" s="230">
        <f>+S187</f>
        <v>3985.7</v>
      </c>
      <c r="AV187" s="229">
        <f>+AU187-S187</f>
        <v>0</v>
      </c>
      <c r="AW187" s="107"/>
      <c r="AX187" s="107"/>
      <c r="AY187" s="107"/>
      <c r="AZ187" s="107"/>
      <c r="BA187" s="107"/>
    </row>
    <row r="188" spans="1:73" ht="13.5" thickBot="1">
      <c r="B188" s="106"/>
      <c r="C188" s="228"/>
      <c r="D188" s="216"/>
      <c r="E188" s="216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107"/>
      <c r="AH188" s="105"/>
      <c r="AJ188" s="106"/>
      <c r="AS188" s="106"/>
      <c r="AT188" s="107"/>
      <c r="AU188" s="107"/>
      <c r="AV188" s="107"/>
      <c r="AW188" s="107"/>
      <c r="AX188" s="107"/>
      <c r="AY188" s="107"/>
      <c r="AZ188" s="107"/>
      <c r="BA188" s="107"/>
    </row>
    <row r="189" spans="1:73" s="105" customFormat="1" ht="15.75" thickBot="1">
      <c r="B189" s="114"/>
      <c r="C189" s="179" t="s">
        <v>418</v>
      </c>
      <c r="D189" s="216"/>
      <c r="E189" s="216"/>
      <c r="F189" s="113"/>
      <c r="G189" s="178">
        <f t="shared" ref="G189:R189" si="115">G187+G182+G177+G155+G55+G49</f>
        <v>564520.9800000001</v>
      </c>
      <c r="H189" s="178">
        <f t="shared" si="115"/>
        <v>546719.8899999999</v>
      </c>
      <c r="I189" s="178">
        <f t="shared" si="115"/>
        <v>550788.22000000009</v>
      </c>
      <c r="J189" s="178">
        <f t="shared" si="115"/>
        <v>545109.1</v>
      </c>
      <c r="K189" s="178">
        <f t="shared" si="115"/>
        <v>527609.91000000015</v>
      </c>
      <c r="L189" s="178">
        <f t="shared" si="115"/>
        <v>538269.73</v>
      </c>
      <c r="M189" s="178">
        <f t="shared" si="115"/>
        <v>533483.18000000017</v>
      </c>
      <c r="N189" s="178">
        <f t="shared" si="115"/>
        <v>546483.74000000011</v>
      </c>
      <c r="O189" s="178">
        <f t="shared" si="115"/>
        <v>532429.16</v>
      </c>
      <c r="P189" s="178">
        <f t="shared" si="115"/>
        <v>567951.80000000005</v>
      </c>
      <c r="Q189" s="178">
        <f t="shared" si="115"/>
        <v>560577.41000000015</v>
      </c>
      <c r="R189" s="178">
        <f t="shared" si="115"/>
        <v>566318.06000000006</v>
      </c>
      <c r="S189" s="178">
        <f>SUM(G189:R189)</f>
        <v>6580261.1800000016</v>
      </c>
      <c r="T189" s="112"/>
      <c r="AH189" s="111">
        <f>+AH177+AH155+AH55+AH49</f>
        <v>17351.209965540096</v>
      </c>
      <c r="AI189" s="103">
        <f>AI55+AI155+AI177</f>
        <v>205.27257004501291</v>
      </c>
      <c r="AJ189" s="106"/>
      <c r="AK189" s="102"/>
      <c r="AL189" s="101"/>
      <c r="AM189" s="110">
        <f>AM49+AM55+AM155+AM177</f>
        <v>16831.225297001482</v>
      </c>
      <c r="AN189"/>
      <c r="AO189" s="110">
        <f>AO49+AO55+AO155+AO177</f>
        <v>3865.9788162331079</v>
      </c>
      <c r="AP189"/>
      <c r="AQ189" s="110">
        <f>AQ49+AQ55+AQ155+AQ177</f>
        <v>44.234239413784863</v>
      </c>
      <c r="AR189" s="101"/>
      <c r="AS189" s="110">
        <f>+AQ189+AO189+AM189</f>
        <v>20741.438352648373</v>
      </c>
      <c r="AT189" s="107"/>
      <c r="AU189" s="107"/>
      <c r="AV189" s="107"/>
      <c r="AW189" s="107"/>
      <c r="AX189" s="107"/>
      <c r="AY189" s="107"/>
      <c r="AZ189" s="107"/>
      <c r="BA189" s="107"/>
    </row>
    <row r="190" spans="1:73">
      <c r="B190" s="109"/>
      <c r="C190" s="109"/>
      <c r="D190" s="216"/>
      <c r="E190" s="216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107"/>
      <c r="AH190" s="105"/>
      <c r="AS190" s="106"/>
      <c r="AT190" s="105"/>
      <c r="AU190" s="178">
        <f>SUM(AU187:AU189)</f>
        <v>3985.7</v>
      </c>
      <c r="AV190" s="178">
        <f>SUM(AV187:AV189)</f>
        <v>0</v>
      </c>
      <c r="AW190" s="105"/>
      <c r="AX190" s="105"/>
      <c r="AY190" s="105"/>
      <c r="AZ190" s="105"/>
      <c r="BA190" s="105"/>
    </row>
    <row r="191" spans="1:73">
      <c r="B191" s="99"/>
      <c r="C191" s="99"/>
      <c r="D191" s="216"/>
      <c r="E191" s="216"/>
      <c r="F191" s="99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99"/>
      <c r="T191" s="107"/>
      <c r="AH191" s="105"/>
      <c r="BB191" s="107"/>
      <c r="BC191" s="107"/>
      <c r="BD191" s="107"/>
      <c r="BE191" s="107"/>
      <c r="BF191" s="107"/>
      <c r="BG191" s="107"/>
      <c r="BH191" s="107"/>
      <c r="BI191" s="107"/>
      <c r="BJ191" s="107"/>
      <c r="BK191" s="107"/>
      <c r="BL191" s="107"/>
      <c r="BM191" s="107"/>
      <c r="BN191" s="107"/>
      <c r="BO191" s="107"/>
      <c r="BP191" s="107"/>
      <c r="BQ191" s="107"/>
      <c r="BR191" s="107"/>
      <c r="BS191" s="107"/>
      <c r="BT191" s="107"/>
      <c r="BU191" s="107"/>
    </row>
    <row r="192" spans="1:73">
      <c r="B192" s="99"/>
      <c r="C192" s="99"/>
      <c r="D192" s="216"/>
      <c r="E192" s="216"/>
      <c r="F192" s="99"/>
      <c r="G192" s="108"/>
      <c r="H192" s="108"/>
      <c r="I192" s="108"/>
      <c r="J192" s="108"/>
      <c r="K192" s="108"/>
      <c r="L192" s="108"/>
      <c r="M192" s="108"/>
      <c r="N192" s="108"/>
      <c r="O192" s="99"/>
      <c r="P192" s="99"/>
      <c r="Q192" s="99"/>
      <c r="R192" s="99"/>
      <c r="S192" s="99"/>
      <c r="AH192" s="105"/>
      <c r="AT192" s="105"/>
      <c r="AU192" s="105"/>
      <c r="AV192" s="105"/>
      <c r="AW192" s="105"/>
      <c r="AX192" s="105"/>
      <c r="AY192" s="105"/>
      <c r="AZ192" s="105"/>
      <c r="BA192" s="105"/>
      <c r="BB192" s="107"/>
      <c r="BC192" s="107"/>
      <c r="BD192" s="107"/>
      <c r="BE192" s="107"/>
      <c r="BF192" s="107"/>
      <c r="BG192" s="107"/>
      <c r="BH192" s="107"/>
      <c r="BI192" s="107"/>
      <c r="BJ192" s="107"/>
      <c r="BK192" s="107"/>
      <c r="BL192" s="107"/>
      <c r="BM192" s="107"/>
      <c r="BN192" s="107"/>
      <c r="BO192" s="107"/>
      <c r="BP192" s="107"/>
      <c r="BQ192" s="107"/>
      <c r="BR192" s="107"/>
      <c r="BS192" s="107"/>
      <c r="BT192" s="107"/>
      <c r="BU192" s="107"/>
    </row>
    <row r="193" spans="2:73">
      <c r="B193" s="99"/>
      <c r="C193" s="99"/>
      <c r="D193" s="216"/>
      <c r="E193" s="216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AH193" s="105"/>
      <c r="BB193" s="107"/>
      <c r="BC193" s="107"/>
      <c r="BD193" s="107"/>
      <c r="BE193" s="107"/>
      <c r="BF193" s="107"/>
      <c r="BG193" s="107"/>
      <c r="BH193" s="107"/>
      <c r="BI193" s="107"/>
      <c r="BJ193" s="107"/>
      <c r="BK193" s="107"/>
      <c r="BL193" s="107"/>
      <c r="BM193" s="107"/>
      <c r="BN193" s="107"/>
      <c r="BO193" s="107"/>
      <c r="BP193" s="107"/>
      <c r="BQ193" s="107"/>
      <c r="BR193" s="107"/>
      <c r="BS193" s="107"/>
      <c r="BT193" s="107"/>
      <c r="BU193" s="107"/>
    </row>
    <row r="194" spans="2:73" ht="13.5" thickBot="1">
      <c r="B194" s="99"/>
      <c r="C194" s="99"/>
      <c r="D194" s="216"/>
      <c r="E194" s="216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AH194" s="105"/>
      <c r="AU194" s="175" t="s">
        <v>557</v>
      </c>
      <c r="AV194" s="175" t="s">
        <v>556</v>
      </c>
      <c r="BB194" s="107"/>
      <c r="BC194" s="107"/>
      <c r="BD194" s="107"/>
      <c r="BE194" s="107"/>
      <c r="BF194" s="107"/>
      <c r="BG194" s="107"/>
      <c r="BH194" s="107"/>
      <c r="BI194" s="107"/>
      <c r="BJ194" s="107"/>
      <c r="BK194" s="107"/>
      <c r="BL194" s="107"/>
      <c r="BM194" s="107"/>
      <c r="BN194" s="107"/>
      <c r="BO194" s="107"/>
      <c r="BP194" s="107"/>
      <c r="BQ194" s="107"/>
      <c r="BR194" s="107"/>
      <c r="BS194" s="107"/>
      <c r="BT194" s="107"/>
      <c r="BU194" s="107"/>
    </row>
    <row r="195" spans="2:73">
      <c r="B195" s="99"/>
      <c r="C195" s="99"/>
      <c r="D195" s="216"/>
      <c r="E195" s="216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AH195" s="105"/>
      <c r="AT195" s="226" t="s">
        <v>555</v>
      </c>
      <c r="AU195" s="225">
        <f ca="1">+AU190+AU184+AU179+AU155+AU55+AU49</f>
        <v>7271683.0066987248</v>
      </c>
      <c r="AV195" s="224">
        <f ca="1">+AV190+AV184+AV179+AV155+AV55+AV49</f>
        <v>692144.22669872409</v>
      </c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</row>
    <row r="196" spans="2:73">
      <c r="B196" s="99"/>
      <c r="C196" s="99"/>
      <c r="D196" s="216"/>
      <c r="E196" s="216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AH196" s="105"/>
      <c r="AT196" s="223" t="s">
        <v>554</v>
      </c>
      <c r="AU196" s="222">
        <f ca="1">+'CityPA-M Price Out'!AV71</f>
        <v>508871.95234637603</v>
      </c>
      <c r="AV196" s="222">
        <f ca="1">+'CityPA-M Price Out'!AW71</f>
        <v>56858.737911325981</v>
      </c>
      <c r="BB196" s="106"/>
      <c r="BC196" s="106"/>
      <c r="BD196" s="106"/>
      <c r="BE196" s="106"/>
      <c r="BF196" s="106"/>
      <c r="BG196" s="106"/>
      <c r="BH196" s="106"/>
      <c r="BI196" s="106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06"/>
    </row>
    <row r="197" spans="2:73">
      <c r="B197" s="99"/>
      <c r="C197" s="99"/>
      <c r="D197" s="216"/>
      <c r="E197" s="216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AH197" s="105"/>
      <c r="AT197" s="221"/>
      <c r="AU197" s="105">
        <f ca="1">+AU195+AU196</f>
        <v>7780554.959045101</v>
      </c>
      <c r="AV197" s="220">
        <f ca="1">+AV196+AV195</f>
        <v>749002.96461005008</v>
      </c>
      <c r="BB197" s="106"/>
      <c r="BC197" s="106"/>
      <c r="BD197" s="106"/>
      <c r="BE197" s="106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06"/>
      <c r="BP197" s="106"/>
      <c r="BQ197" s="106"/>
      <c r="BR197" s="106"/>
      <c r="BS197" s="106"/>
      <c r="BT197" s="106"/>
      <c r="BU197" s="106"/>
    </row>
    <row r="198" spans="2:73" ht="13.5" thickBot="1">
      <c r="B198" s="99"/>
      <c r="C198" s="99"/>
      <c r="D198" s="216"/>
      <c r="E198" s="216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AH198" s="105"/>
      <c r="AT198" s="219"/>
      <c r="AU198" s="218"/>
      <c r="AV198" s="217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</row>
    <row r="199" spans="2:73">
      <c r="B199" s="99"/>
      <c r="C199" s="99"/>
      <c r="D199" s="216"/>
      <c r="E199" s="216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AH199" s="105"/>
      <c r="BB199" s="106"/>
      <c r="BC199" s="106"/>
      <c r="BD199" s="106"/>
      <c r="BE199" s="106"/>
      <c r="BF199" s="106"/>
      <c r="BG199" s="106"/>
      <c r="BH199" s="106"/>
      <c r="BI199" s="106"/>
      <c r="BJ199" s="106"/>
      <c r="BK199" s="106"/>
      <c r="BL199" s="106"/>
      <c r="BM199" s="106"/>
      <c r="BN199" s="106"/>
      <c r="BO199" s="106"/>
      <c r="BP199" s="106"/>
      <c r="BQ199" s="106"/>
      <c r="BR199" s="106"/>
      <c r="BS199" s="106"/>
      <c r="BT199" s="106"/>
      <c r="BU199" s="106"/>
    </row>
    <row r="200" spans="2:73">
      <c r="B200" s="99"/>
      <c r="C200" s="99"/>
      <c r="D200" s="216"/>
      <c r="E200" s="216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AH200" s="105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</row>
    <row r="201" spans="2:73">
      <c r="B201" s="99"/>
      <c r="C201" s="99"/>
      <c r="D201" s="216"/>
      <c r="E201" s="216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AH201" s="105"/>
      <c r="BB201" s="107"/>
      <c r="BC201" s="107"/>
      <c r="BD201" s="107"/>
      <c r="BE201" s="107"/>
      <c r="BF201" s="107"/>
      <c r="BG201" s="107"/>
      <c r="BH201" s="107"/>
      <c r="BI201" s="107"/>
      <c r="BJ201" s="107"/>
      <c r="BK201" s="107"/>
      <c r="BL201" s="107"/>
      <c r="BM201" s="107"/>
      <c r="BN201" s="107"/>
      <c r="BO201" s="107"/>
      <c r="BP201" s="107"/>
      <c r="BQ201" s="107"/>
      <c r="BR201" s="107"/>
      <c r="BS201" s="107"/>
      <c r="BT201" s="107"/>
      <c r="BU201" s="107"/>
    </row>
    <row r="202" spans="2:73">
      <c r="AH202" s="105"/>
      <c r="BB202" s="107"/>
      <c r="BC202" s="107"/>
      <c r="BD202" s="107"/>
      <c r="BE202" s="107"/>
      <c r="BF202" s="107"/>
      <c r="BG202" s="107"/>
      <c r="BH202" s="107"/>
      <c r="BI202" s="107"/>
      <c r="BJ202" s="107"/>
      <c r="BK202" s="107"/>
      <c r="BL202" s="107"/>
      <c r="BM202" s="107"/>
      <c r="BN202" s="107"/>
      <c r="BO202" s="107"/>
      <c r="BP202" s="107"/>
      <c r="BQ202" s="107"/>
      <c r="BR202" s="107"/>
      <c r="BS202" s="107"/>
      <c r="BT202" s="107"/>
      <c r="BU202" s="107"/>
    </row>
    <row r="203" spans="2:73">
      <c r="AH203" s="105"/>
      <c r="BB203" s="107"/>
      <c r="BC203" s="107"/>
      <c r="BD203" s="107"/>
      <c r="BE203" s="107"/>
      <c r="BF203" s="107"/>
      <c r="BG203" s="107"/>
      <c r="BH203" s="107"/>
      <c r="BI203" s="107"/>
      <c r="BJ203" s="107"/>
      <c r="BK203" s="107"/>
      <c r="BL203" s="107"/>
      <c r="BM203" s="107"/>
      <c r="BN203" s="107"/>
      <c r="BO203" s="107"/>
      <c r="BP203" s="107"/>
      <c r="BQ203" s="107"/>
      <c r="BR203" s="107"/>
      <c r="BS203" s="107"/>
      <c r="BT203" s="107"/>
      <c r="BU203" s="107"/>
    </row>
    <row r="204" spans="2:73">
      <c r="AH204" s="105"/>
      <c r="BB204" s="107"/>
      <c r="BC204" s="107"/>
      <c r="BD204" s="107"/>
      <c r="BE204" s="107"/>
      <c r="BF204" s="107"/>
      <c r="BG204" s="107"/>
      <c r="BH204" s="107"/>
      <c r="BI204" s="107"/>
      <c r="BJ204" s="107"/>
      <c r="BK204" s="107"/>
      <c r="BL204" s="107"/>
      <c r="BM204" s="107"/>
      <c r="BN204" s="107"/>
      <c r="BO204" s="107"/>
      <c r="BP204" s="107"/>
      <c r="BQ204" s="107"/>
      <c r="BR204" s="107"/>
      <c r="BS204" s="107"/>
      <c r="BT204" s="107"/>
      <c r="BU204" s="107"/>
    </row>
    <row r="205" spans="2:73">
      <c r="AH205" s="105"/>
      <c r="BB205" s="107"/>
      <c r="BC205" s="107"/>
      <c r="BD205" s="107"/>
      <c r="BE205" s="107"/>
      <c r="BF205" s="107"/>
      <c r="BG205" s="107"/>
      <c r="BH205" s="107"/>
      <c r="BI205" s="107"/>
      <c r="BJ205" s="107"/>
      <c r="BK205" s="107"/>
      <c r="BL205" s="107"/>
      <c r="BM205" s="107"/>
      <c r="BN205" s="107"/>
      <c r="BO205" s="107"/>
      <c r="BP205" s="107"/>
      <c r="BQ205" s="107"/>
      <c r="BR205" s="107"/>
      <c r="BS205" s="107"/>
      <c r="BT205" s="107"/>
      <c r="BU205" s="107"/>
    </row>
    <row r="206" spans="2:73">
      <c r="AH206" s="105"/>
      <c r="BB206" s="107"/>
      <c r="BC206" s="107"/>
      <c r="BD206" s="107"/>
      <c r="BE206" s="107"/>
      <c r="BF206" s="107"/>
      <c r="BG206" s="107"/>
      <c r="BH206" s="107"/>
      <c r="BI206" s="107"/>
      <c r="BJ206" s="107"/>
      <c r="BK206" s="107"/>
      <c r="BL206" s="107"/>
      <c r="BM206" s="107"/>
      <c r="BN206" s="107"/>
      <c r="BO206" s="107"/>
      <c r="BP206" s="107"/>
      <c r="BQ206" s="107"/>
      <c r="BR206" s="107"/>
      <c r="BS206" s="107"/>
      <c r="BT206" s="107"/>
      <c r="BU206" s="107"/>
    </row>
    <row r="207" spans="2:73">
      <c r="AH207" s="105"/>
      <c r="BB207" s="107"/>
      <c r="BC207" s="107"/>
      <c r="BD207" s="107"/>
      <c r="BE207" s="107"/>
      <c r="BF207" s="107"/>
      <c r="BG207" s="107"/>
      <c r="BH207" s="107"/>
      <c r="BI207" s="107"/>
      <c r="BJ207" s="107"/>
      <c r="BK207" s="107"/>
      <c r="BL207" s="107"/>
      <c r="BM207" s="107"/>
      <c r="BN207" s="107"/>
      <c r="BO207" s="107"/>
      <c r="BP207" s="107"/>
      <c r="BQ207" s="107"/>
      <c r="BR207" s="107"/>
      <c r="BS207" s="107"/>
      <c r="BT207" s="107"/>
      <c r="BU207" s="107"/>
    </row>
    <row r="208" spans="2:73">
      <c r="AH208" s="105"/>
      <c r="BB208" s="107"/>
      <c r="BC208" s="107"/>
      <c r="BD208" s="107"/>
      <c r="BE208" s="107"/>
      <c r="BF208" s="107"/>
      <c r="BG208" s="107"/>
      <c r="BH208" s="107"/>
      <c r="BI208" s="107"/>
      <c r="BJ208" s="107"/>
      <c r="BK208" s="107"/>
      <c r="BL208" s="107"/>
      <c r="BM208" s="107"/>
      <c r="BN208" s="107"/>
      <c r="BO208" s="107"/>
      <c r="BP208" s="107"/>
      <c r="BQ208" s="107"/>
      <c r="BR208" s="107"/>
      <c r="BS208" s="107"/>
      <c r="BT208" s="107"/>
      <c r="BU208" s="107"/>
    </row>
    <row r="209" spans="34:73">
      <c r="AH209" s="105"/>
      <c r="BB209" s="106"/>
      <c r="BC209" s="106"/>
      <c r="BD209" s="106"/>
      <c r="BE209" s="106"/>
      <c r="BF209" s="106"/>
      <c r="BG209" s="106"/>
      <c r="BH209" s="106"/>
      <c r="BI209" s="106"/>
      <c r="BJ209" s="106"/>
      <c r="BK209" s="106"/>
      <c r="BL209" s="106"/>
      <c r="BM209" s="106"/>
      <c r="BN209" s="106"/>
      <c r="BO209" s="106"/>
      <c r="BP209" s="106"/>
      <c r="BQ209" s="106"/>
      <c r="BR209" s="106"/>
      <c r="BS209" s="106"/>
      <c r="BT209" s="106"/>
      <c r="BU209" s="106"/>
    </row>
    <row r="210" spans="34:73">
      <c r="AH210" s="105"/>
      <c r="BB210" s="106"/>
      <c r="BC210" s="106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</row>
    <row r="211" spans="34:73">
      <c r="AH211" s="105"/>
      <c r="BB211" s="106"/>
      <c r="BC211" s="106"/>
      <c r="BD211" s="106"/>
      <c r="BE211" s="106"/>
      <c r="BF211" s="106"/>
      <c r="BG211" s="106"/>
      <c r="BH211" s="106"/>
      <c r="BI211" s="106"/>
      <c r="BJ211" s="106"/>
      <c r="BK211" s="106"/>
      <c r="BL211" s="106"/>
      <c r="BM211" s="106"/>
      <c r="BN211" s="106"/>
      <c r="BO211" s="106"/>
      <c r="BP211" s="106"/>
      <c r="BQ211" s="106"/>
      <c r="BR211" s="106"/>
      <c r="BS211" s="106"/>
      <c r="BT211" s="106"/>
      <c r="BU211" s="106"/>
    </row>
    <row r="212" spans="34:73">
      <c r="AH212" s="105"/>
      <c r="BB212" s="106"/>
      <c r="BC212" s="106"/>
      <c r="BD212" s="106"/>
      <c r="BE212" s="106"/>
      <c r="BF212" s="106"/>
      <c r="BG212" s="106"/>
      <c r="BH212" s="106"/>
      <c r="BI212" s="106"/>
      <c r="BJ212" s="106"/>
      <c r="BK212" s="106"/>
      <c r="BL212" s="106"/>
      <c r="BM212" s="106"/>
      <c r="BN212" s="106"/>
      <c r="BO212" s="106"/>
      <c r="BP212" s="106"/>
      <c r="BQ212" s="106"/>
      <c r="BR212" s="106"/>
      <c r="BS212" s="106"/>
      <c r="BT212" s="106"/>
      <c r="BU212" s="106"/>
    </row>
    <row r="213" spans="34:73">
      <c r="AH213" s="105"/>
      <c r="BB213" s="106"/>
      <c r="BC213" s="106"/>
      <c r="BD213" s="106"/>
      <c r="BE213" s="106"/>
      <c r="BF213" s="106"/>
      <c r="BG213" s="106"/>
      <c r="BH213" s="106"/>
      <c r="BI213" s="106"/>
      <c r="BJ213" s="106"/>
      <c r="BK213" s="106"/>
      <c r="BL213" s="106"/>
      <c r="BM213" s="106"/>
      <c r="BN213" s="106"/>
      <c r="BO213" s="106"/>
      <c r="BP213" s="106"/>
      <c r="BQ213" s="106"/>
      <c r="BR213" s="106"/>
      <c r="BS213" s="106"/>
      <c r="BT213" s="106"/>
      <c r="BU213" s="106"/>
    </row>
    <row r="214" spans="34:73">
      <c r="AH214" s="105"/>
    </row>
    <row r="215" spans="34:73">
      <c r="AH215" s="105"/>
    </row>
    <row r="216" spans="34:73">
      <c r="AH216" s="105"/>
    </row>
    <row r="217" spans="34:73">
      <c r="AH217" s="105"/>
    </row>
    <row r="218" spans="34:73">
      <c r="AH218" s="105"/>
    </row>
    <row r="219" spans="34:73">
      <c r="AH219" s="105"/>
    </row>
    <row r="220" spans="34:73">
      <c r="AH220" s="105"/>
    </row>
    <row r="221" spans="34:73">
      <c r="AH221" s="105"/>
    </row>
    <row r="222" spans="34:73">
      <c r="AH222" s="105"/>
    </row>
    <row r="223" spans="34:73">
      <c r="AH223" s="105"/>
    </row>
    <row r="224" spans="34:73">
      <c r="AH224" s="105"/>
    </row>
    <row r="225" spans="34:34">
      <c r="AH225" s="105"/>
    </row>
    <row r="226" spans="34:34">
      <c r="AH226" s="105"/>
    </row>
    <row r="227" spans="34:34">
      <c r="AH227" s="105"/>
    </row>
    <row r="228" spans="34:34">
      <c r="AH228" s="105"/>
    </row>
    <row r="229" spans="34:34">
      <c r="AH229" s="105"/>
    </row>
    <row r="230" spans="34:34">
      <c r="AH230" s="105"/>
    </row>
    <row r="231" spans="34:34">
      <c r="AH231" s="105"/>
    </row>
    <row r="232" spans="34:34">
      <c r="AH232" s="105"/>
    </row>
    <row r="233" spans="34:34">
      <c r="AH233" s="105"/>
    </row>
    <row r="234" spans="34:34">
      <c r="AH234" s="105"/>
    </row>
    <row r="235" spans="34:34">
      <c r="AH235" s="105"/>
    </row>
    <row r="236" spans="34:34">
      <c r="AH236" s="105"/>
    </row>
    <row r="237" spans="34:34">
      <c r="AH237" s="105"/>
    </row>
    <row r="238" spans="34:34">
      <c r="AH238" s="105"/>
    </row>
    <row r="239" spans="34:34">
      <c r="AH239" s="105"/>
    </row>
    <row r="240" spans="34:34">
      <c r="AH240" s="105"/>
    </row>
    <row r="241" spans="34:34">
      <c r="AH241" s="105"/>
    </row>
    <row r="242" spans="34:34">
      <c r="AH242" s="105"/>
    </row>
    <row r="243" spans="34:34">
      <c r="AH243" s="105"/>
    </row>
    <row r="244" spans="34:34">
      <c r="AH244" s="105"/>
    </row>
    <row r="245" spans="34:34">
      <c r="AH245" s="105"/>
    </row>
    <row r="246" spans="34:34">
      <c r="AH246" s="105"/>
    </row>
    <row r="247" spans="34:34">
      <c r="AH247" s="105"/>
    </row>
    <row r="248" spans="34:34">
      <c r="AH248" s="105"/>
    </row>
    <row r="249" spans="34:34">
      <c r="AH249" s="105"/>
    </row>
    <row r="250" spans="34:34">
      <c r="AH250" s="105"/>
    </row>
    <row r="251" spans="34:34">
      <c r="AH251" s="105"/>
    </row>
    <row r="252" spans="34:34">
      <c r="AH252" s="105"/>
    </row>
    <row r="253" spans="34:34">
      <c r="AH253" s="105"/>
    </row>
    <row r="254" spans="34:34">
      <c r="AH254" s="105"/>
    </row>
    <row r="255" spans="34:34">
      <c r="AH255" s="105"/>
    </row>
    <row r="256" spans="34:34">
      <c r="AH256" s="105"/>
    </row>
    <row r="257" spans="34:34">
      <c r="AH257" s="105"/>
    </row>
    <row r="258" spans="34:34">
      <c r="AH258" s="105"/>
    </row>
    <row r="259" spans="34:34">
      <c r="AH259" s="105"/>
    </row>
    <row r="260" spans="34:34">
      <c r="AH260" s="105"/>
    </row>
    <row r="261" spans="34:34">
      <c r="AH261" s="105"/>
    </row>
    <row r="262" spans="34:34">
      <c r="AH262" s="105"/>
    </row>
    <row r="263" spans="34:34">
      <c r="AH263" s="105"/>
    </row>
    <row r="264" spans="34:34">
      <c r="AH264" s="105"/>
    </row>
    <row r="265" spans="34:34">
      <c r="AH265" s="105"/>
    </row>
    <row r="266" spans="34:34">
      <c r="AH266" s="105"/>
    </row>
    <row r="267" spans="34:34">
      <c r="AH267" s="105"/>
    </row>
    <row r="268" spans="34:34">
      <c r="AH268" s="105"/>
    </row>
    <row r="269" spans="34:34">
      <c r="AH269" s="105"/>
    </row>
    <row r="270" spans="34:34">
      <c r="AH270" s="105"/>
    </row>
    <row r="271" spans="34:34">
      <c r="AH271" s="105"/>
    </row>
    <row r="272" spans="34:34">
      <c r="AH272" s="105"/>
    </row>
    <row r="273" spans="34:34">
      <c r="AH273" s="105"/>
    </row>
    <row r="274" spans="34:34">
      <c r="AH274" s="105"/>
    </row>
    <row r="275" spans="34:34">
      <c r="AH275" s="105"/>
    </row>
    <row r="276" spans="34:34">
      <c r="AH276" s="105"/>
    </row>
    <row r="277" spans="34:34">
      <c r="AH277" s="105"/>
    </row>
    <row r="278" spans="34:34">
      <c r="AH278" s="105"/>
    </row>
    <row r="279" spans="34:34">
      <c r="AH279" s="105"/>
    </row>
    <row r="280" spans="34:34">
      <c r="AH280" s="105"/>
    </row>
    <row r="281" spans="34:34">
      <c r="AH281" s="105"/>
    </row>
    <row r="282" spans="34:34">
      <c r="AH282" s="105"/>
    </row>
    <row r="283" spans="34:34">
      <c r="AH283" s="105"/>
    </row>
    <row r="284" spans="34:34">
      <c r="AH284" s="105"/>
    </row>
    <row r="285" spans="34:34">
      <c r="AH285" s="105"/>
    </row>
    <row r="286" spans="34:34">
      <c r="AH286" s="105"/>
    </row>
    <row r="287" spans="34:34">
      <c r="AH287" s="105"/>
    </row>
    <row r="288" spans="34:34">
      <c r="AH288" s="105"/>
    </row>
    <row r="289" spans="34:34">
      <c r="AH289" s="105"/>
    </row>
    <row r="290" spans="34:34">
      <c r="AH290" s="105"/>
    </row>
    <row r="291" spans="34:34">
      <c r="AH291" s="105"/>
    </row>
    <row r="292" spans="34:34">
      <c r="AH292" s="105"/>
    </row>
    <row r="293" spans="34:34">
      <c r="AH293" s="105"/>
    </row>
    <row r="294" spans="34:34">
      <c r="AH294" s="105"/>
    </row>
    <row r="295" spans="34:34">
      <c r="AH295" s="105"/>
    </row>
    <row r="296" spans="34:34">
      <c r="AH296" s="105"/>
    </row>
    <row r="297" spans="34:34">
      <c r="AH297" s="105"/>
    </row>
    <row r="298" spans="34:34">
      <c r="AH298" s="105"/>
    </row>
    <row r="299" spans="34:34">
      <c r="AH299" s="105"/>
    </row>
    <row r="300" spans="34:34">
      <c r="AH300" s="105"/>
    </row>
    <row r="301" spans="34:34">
      <c r="AH301" s="105"/>
    </row>
    <row r="302" spans="34:34">
      <c r="AH302" s="105"/>
    </row>
    <row r="303" spans="34:34">
      <c r="AH303" s="105"/>
    </row>
    <row r="304" spans="34:34">
      <c r="AH304" s="105"/>
    </row>
    <row r="305" spans="34:34">
      <c r="AH305" s="105"/>
    </row>
    <row r="306" spans="34:34">
      <c r="AH306" s="105"/>
    </row>
    <row r="307" spans="34:34">
      <c r="AH307" s="105"/>
    </row>
    <row r="308" spans="34:34">
      <c r="AH308" s="105"/>
    </row>
    <row r="309" spans="34:34">
      <c r="AH309" s="105"/>
    </row>
    <row r="310" spans="34:34">
      <c r="AH310" s="105"/>
    </row>
    <row r="311" spans="34:34">
      <c r="AH311" s="105"/>
    </row>
    <row r="312" spans="34:34">
      <c r="AH312" s="105"/>
    </row>
    <row r="313" spans="34:34">
      <c r="AH313" s="105"/>
    </row>
    <row r="314" spans="34:34">
      <c r="AH314" s="105"/>
    </row>
    <row r="315" spans="34:34">
      <c r="AH315" s="105"/>
    </row>
    <row r="316" spans="34:34">
      <c r="AH316" s="105"/>
    </row>
    <row r="317" spans="34:34">
      <c r="AH317" s="105"/>
    </row>
    <row r="318" spans="34:34">
      <c r="AH318" s="105"/>
    </row>
    <row r="319" spans="34:34">
      <c r="AH319" s="105"/>
    </row>
    <row r="320" spans="34:34">
      <c r="AH320" s="105"/>
    </row>
    <row r="321" spans="34:34">
      <c r="AH321" s="105"/>
    </row>
    <row r="322" spans="34:34">
      <c r="AH322" s="105"/>
    </row>
    <row r="323" spans="34:34">
      <c r="AH323" s="105"/>
    </row>
    <row r="324" spans="34:34">
      <c r="AH324" s="105"/>
    </row>
    <row r="325" spans="34:34">
      <c r="AH325" s="105"/>
    </row>
    <row r="326" spans="34:34">
      <c r="AH326" s="105"/>
    </row>
    <row r="327" spans="34:34">
      <c r="AH327" s="105"/>
    </row>
    <row r="328" spans="34:34">
      <c r="AH328" s="105"/>
    </row>
    <row r="329" spans="34:34">
      <c r="AH329" s="105"/>
    </row>
    <row r="330" spans="34:34">
      <c r="AH330" s="105"/>
    </row>
    <row r="331" spans="34:34">
      <c r="AH331" s="105"/>
    </row>
    <row r="332" spans="34:34">
      <c r="AH332" s="105"/>
    </row>
    <row r="333" spans="34:34">
      <c r="AH333" s="105"/>
    </row>
    <row r="334" spans="34:34">
      <c r="AH334" s="105"/>
    </row>
    <row r="335" spans="34:34">
      <c r="AH335" s="105"/>
    </row>
    <row r="336" spans="34:34">
      <c r="AH336" s="105"/>
    </row>
    <row r="337" spans="34:34">
      <c r="AH337" s="105"/>
    </row>
    <row r="338" spans="34:34">
      <c r="AH338" s="105"/>
    </row>
    <row r="339" spans="34:34">
      <c r="AH339" s="105"/>
    </row>
    <row r="340" spans="34:34">
      <c r="AH340" s="105"/>
    </row>
    <row r="341" spans="34:34">
      <c r="AH341" s="105"/>
    </row>
    <row r="342" spans="34:34">
      <c r="AH342" s="105"/>
    </row>
    <row r="343" spans="34:34">
      <c r="AH343" s="105"/>
    </row>
    <row r="344" spans="34:34">
      <c r="AH344" s="105"/>
    </row>
    <row r="345" spans="34:34">
      <c r="AH345" s="105"/>
    </row>
    <row r="346" spans="34:34">
      <c r="AH346" s="105"/>
    </row>
    <row r="347" spans="34:34">
      <c r="AH347" s="105"/>
    </row>
    <row r="348" spans="34:34">
      <c r="AH348" s="105"/>
    </row>
    <row r="349" spans="34:34">
      <c r="AH349" s="105"/>
    </row>
    <row r="350" spans="34:34">
      <c r="AH350" s="105"/>
    </row>
    <row r="351" spans="34:34">
      <c r="AH351" s="105"/>
    </row>
    <row r="352" spans="34:34">
      <c r="AH352" s="105"/>
    </row>
    <row r="353" spans="34:34">
      <c r="AH353" s="105"/>
    </row>
    <row r="354" spans="34:34">
      <c r="AH354" s="105"/>
    </row>
    <row r="355" spans="34:34">
      <c r="AH355" s="105"/>
    </row>
    <row r="356" spans="34:34">
      <c r="AH356" s="105"/>
    </row>
    <row r="357" spans="34:34">
      <c r="AH357" s="105"/>
    </row>
    <row r="358" spans="34:34">
      <c r="AH358" s="105"/>
    </row>
    <row r="359" spans="34:34">
      <c r="AH359" s="105"/>
    </row>
    <row r="360" spans="34:34">
      <c r="AH360" s="105"/>
    </row>
    <row r="361" spans="34:34">
      <c r="AH361" s="105"/>
    </row>
    <row r="362" spans="34:34">
      <c r="AH362" s="105"/>
    </row>
    <row r="363" spans="34:34">
      <c r="AH363" s="105"/>
    </row>
    <row r="364" spans="34:34">
      <c r="AH364" s="105"/>
    </row>
    <row r="365" spans="34:34">
      <c r="AH365" s="105"/>
    </row>
    <row r="366" spans="34:34">
      <c r="AH366" s="105"/>
    </row>
    <row r="367" spans="34:34">
      <c r="AH367" s="105"/>
    </row>
    <row r="368" spans="34:34">
      <c r="AH368" s="105"/>
    </row>
    <row r="369" spans="34:34">
      <c r="AH369" s="105"/>
    </row>
    <row r="370" spans="34:34">
      <c r="AH370" s="105"/>
    </row>
    <row r="371" spans="34:34">
      <c r="AH371" s="105"/>
    </row>
    <row r="372" spans="34:34">
      <c r="AH372" s="105"/>
    </row>
    <row r="373" spans="34:34">
      <c r="AH373" s="105"/>
    </row>
    <row r="374" spans="34:34">
      <c r="AH374" s="105"/>
    </row>
    <row r="375" spans="34:34">
      <c r="AH375" s="105"/>
    </row>
    <row r="376" spans="34:34">
      <c r="AH376" s="105"/>
    </row>
    <row r="377" spans="34:34">
      <c r="AH377" s="105"/>
    </row>
    <row r="378" spans="34:34">
      <c r="AH378" s="105"/>
    </row>
    <row r="379" spans="34:34">
      <c r="AH379" s="105"/>
    </row>
    <row r="380" spans="34:34">
      <c r="AH380" s="105"/>
    </row>
    <row r="381" spans="34:34">
      <c r="AH381" s="105"/>
    </row>
    <row r="382" spans="34:34">
      <c r="AH382" s="105"/>
    </row>
    <row r="383" spans="34:34">
      <c r="AH383" s="105"/>
    </row>
    <row r="384" spans="34:34">
      <c r="AH384" s="105"/>
    </row>
    <row r="385" spans="34:34">
      <c r="AH385" s="105"/>
    </row>
    <row r="386" spans="34:34">
      <c r="AH386" s="105"/>
    </row>
    <row r="387" spans="34:34">
      <c r="AH387" s="105"/>
    </row>
    <row r="388" spans="34:34">
      <c r="AH388" s="105"/>
    </row>
    <row r="389" spans="34:34">
      <c r="AH389" s="105"/>
    </row>
    <row r="390" spans="34:34">
      <c r="AH390" s="105"/>
    </row>
    <row r="391" spans="34:34">
      <c r="AH391" s="105"/>
    </row>
    <row r="392" spans="34:34">
      <c r="AH392" s="105"/>
    </row>
    <row r="393" spans="34:34">
      <c r="AH393" s="105"/>
    </row>
    <row r="394" spans="34:34">
      <c r="AH394" s="105"/>
    </row>
    <row r="395" spans="34:34">
      <c r="AH395" s="105"/>
    </row>
    <row r="396" spans="34:34">
      <c r="AH396" s="105"/>
    </row>
    <row r="397" spans="34:34">
      <c r="AH397" s="105"/>
    </row>
    <row r="398" spans="34:34">
      <c r="AH398" s="105"/>
    </row>
    <row r="399" spans="34:34">
      <c r="AH399" s="105"/>
    </row>
    <row r="400" spans="34:34">
      <c r="AH400" s="105"/>
    </row>
    <row r="401" spans="34:34">
      <c r="AH401" s="105"/>
    </row>
    <row r="402" spans="34:34">
      <c r="AH402" s="105"/>
    </row>
    <row r="403" spans="34:34">
      <c r="AH403" s="105"/>
    </row>
    <row r="404" spans="34:34">
      <c r="AH404" s="105"/>
    </row>
    <row r="405" spans="34:34">
      <c r="AH405" s="105"/>
    </row>
    <row r="406" spans="34:34">
      <c r="AH406" s="105"/>
    </row>
    <row r="407" spans="34:34">
      <c r="AH407" s="105"/>
    </row>
    <row r="408" spans="34:34">
      <c r="AH408" s="105"/>
    </row>
    <row r="409" spans="34:34">
      <c r="AH409" s="105"/>
    </row>
    <row r="410" spans="34:34">
      <c r="AH410" s="105"/>
    </row>
    <row r="411" spans="34:34">
      <c r="AH411" s="105"/>
    </row>
    <row r="412" spans="34:34">
      <c r="AH412" s="105"/>
    </row>
    <row r="413" spans="34:34">
      <c r="AH413" s="105"/>
    </row>
    <row r="414" spans="34:34">
      <c r="AH414" s="105"/>
    </row>
    <row r="415" spans="34:34">
      <c r="AH415" s="105"/>
    </row>
    <row r="416" spans="34:34">
      <c r="AH416" s="105"/>
    </row>
    <row r="417" spans="34:34">
      <c r="AH417" s="105"/>
    </row>
    <row r="418" spans="34:34">
      <c r="AH418" s="105"/>
    </row>
    <row r="419" spans="34:34">
      <c r="AH419" s="105"/>
    </row>
    <row r="420" spans="34:34">
      <c r="AH420" s="105"/>
    </row>
    <row r="421" spans="34:34">
      <c r="AH421" s="105"/>
    </row>
    <row r="422" spans="34:34">
      <c r="AH422" s="105"/>
    </row>
    <row r="423" spans="34:34">
      <c r="AH423" s="105"/>
    </row>
    <row r="424" spans="34:34">
      <c r="AH424" s="105"/>
    </row>
    <row r="425" spans="34:34">
      <c r="AH425" s="105"/>
    </row>
    <row r="426" spans="34:34">
      <c r="AH426" s="105"/>
    </row>
    <row r="427" spans="34:34">
      <c r="AH427" s="105"/>
    </row>
    <row r="428" spans="34:34">
      <c r="AH428" s="105"/>
    </row>
    <row r="429" spans="34:34">
      <c r="AH429" s="105"/>
    </row>
    <row r="430" spans="34:34">
      <c r="AH430" s="105"/>
    </row>
    <row r="431" spans="34:34">
      <c r="AH431" s="105"/>
    </row>
    <row r="432" spans="34:34">
      <c r="AH432" s="105"/>
    </row>
    <row r="433" spans="34:34">
      <c r="AH433" s="105"/>
    </row>
    <row r="434" spans="34:34">
      <c r="AH434" s="105"/>
    </row>
    <row r="435" spans="34:34">
      <c r="AH435" s="105"/>
    </row>
    <row r="436" spans="34:34">
      <c r="AH436" s="105"/>
    </row>
    <row r="437" spans="34:34">
      <c r="AH437" s="105"/>
    </row>
    <row r="438" spans="34:34">
      <c r="AH438" s="105"/>
    </row>
    <row r="439" spans="34:34">
      <c r="AH439" s="105"/>
    </row>
    <row r="440" spans="34:34">
      <c r="AH440" s="105"/>
    </row>
    <row r="441" spans="34:34">
      <c r="AH441" s="105"/>
    </row>
    <row r="442" spans="34:34">
      <c r="AH442" s="105"/>
    </row>
    <row r="443" spans="34:34">
      <c r="AH443" s="105"/>
    </row>
    <row r="444" spans="34:34">
      <c r="AH444" s="105"/>
    </row>
    <row r="445" spans="34:34">
      <c r="AH445" s="105"/>
    </row>
    <row r="446" spans="34:34">
      <c r="AH446" s="105"/>
    </row>
    <row r="447" spans="34:34">
      <c r="AH447" s="105"/>
    </row>
    <row r="448" spans="34:34">
      <c r="AH448" s="105"/>
    </row>
    <row r="449" spans="34:34">
      <c r="AH449" s="105"/>
    </row>
    <row r="450" spans="34:34">
      <c r="AH450" s="105"/>
    </row>
    <row r="451" spans="34:34">
      <c r="AH451" s="105"/>
    </row>
    <row r="452" spans="34:34">
      <c r="AH452" s="105"/>
    </row>
    <row r="453" spans="34:34">
      <c r="AH453" s="105"/>
    </row>
    <row r="454" spans="34:34">
      <c r="AH454" s="105"/>
    </row>
    <row r="455" spans="34:34">
      <c r="AH455" s="105"/>
    </row>
    <row r="456" spans="34:34">
      <c r="AH456" s="105"/>
    </row>
    <row r="457" spans="34:34">
      <c r="AH457" s="105"/>
    </row>
    <row r="458" spans="34:34">
      <c r="AH458" s="105"/>
    </row>
    <row r="459" spans="34:34">
      <c r="AH459" s="105"/>
    </row>
    <row r="460" spans="34:34">
      <c r="AH460" s="105"/>
    </row>
    <row r="461" spans="34:34">
      <c r="AH461" s="105"/>
    </row>
    <row r="462" spans="34:34">
      <c r="AH462" s="105"/>
    </row>
    <row r="463" spans="34:34">
      <c r="AH463" s="105"/>
    </row>
    <row r="464" spans="34:34">
      <c r="AH464" s="105"/>
    </row>
    <row r="465" spans="34:34">
      <c r="AH465" s="105"/>
    </row>
    <row r="466" spans="34:34">
      <c r="AH466" s="105"/>
    </row>
    <row r="467" spans="34:34">
      <c r="AH467" s="105"/>
    </row>
    <row r="468" spans="34:34">
      <c r="AH468" s="105"/>
    </row>
    <row r="469" spans="34:34">
      <c r="AH469" s="105"/>
    </row>
    <row r="470" spans="34:34">
      <c r="AH470" s="105"/>
    </row>
    <row r="471" spans="34:34">
      <c r="AH471" s="105"/>
    </row>
    <row r="472" spans="34:34">
      <c r="AH472" s="105"/>
    </row>
    <row r="473" spans="34:34">
      <c r="AH473" s="105"/>
    </row>
    <row r="474" spans="34:34">
      <c r="AH474" s="105"/>
    </row>
    <row r="475" spans="34:34">
      <c r="AH475" s="105"/>
    </row>
    <row r="476" spans="34:34">
      <c r="AH476" s="105"/>
    </row>
    <row r="477" spans="34:34">
      <c r="AH477" s="105"/>
    </row>
    <row r="478" spans="34:34">
      <c r="AH478" s="105"/>
    </row>
    <row r="479" spans="34:34">
      <c r="AH479" s="105"/>
    </row>
    <row r="480" spans="34:34">
      <c r="AH480" s="105"/>
    </row>
    <row r="481" spans="34:34">
      <c r="AH481" s="105"/>
    </row>
    <row r="482" spans="34:34">
      <c r="AH482" s="105"/>
    </row>
    <row r="483" spans="34:34">
      <c r="AH483" s="105"/>
    </row>
    <row r="484" spans="34:34">
      <c r="AH484" s="105"/>
    </row>
    <row r="485" spans="34:34">
      <c r="AH485" s="105"/>
    </row>
    <row r="486" spans="34:34">
      <c r="AH486" s="105"/>
    </row>
    <row r="487" spans="34:34">
      <c r="AH487" s="105"/>
    </row>
    <row r="488" spans="34:34">
      <c r="AH488" s="105"/>
    </row>
    <row r="489" spans="34:34">
      <c r="AH489" s="105"/>
    </row>
    <row r="490" spans="34:34">
      <c r="AH490" s="105"/>
    </row>
    <row r="491" spans="34:34">
      <c r="AH491" s="105"/>
    </row>
    <row r="492" spans="34:34">
      <c r="AH492" s="105"/>
    </row>
    <row r="493" spans="34:34">
      <c r="AH493" s="105"/>
    </row>
    <row r="494" spans="34:34">
      <c r="AH494" s="105"/>
    </row>
    <row r="495" spans="34:34">
      <c r="AH495" s="105"/>
    </row>
    <row r="496" spans="34:34">
      <c r="AH496" s="105"/>
    </row>
    <row r="497" spans="34:34">
      <c r="AH497" s="105"/>
    </row>
    <row r="498" spans="34:34">
      <c r="AH498" s="105"/>
    </row>
    <row r="499" spans="34:34">
      <c r="AH499" s="105"/>
    </row>
    <row r="500" spans="34:34">
      <c r="AH500" s="105"/>
    </row>
    <row r="501" spans="34:34">
      <c r="AH501" s="105"/>
    </row>
    <row r="502" spans="34:34">
      <c r="AH502" s="105"/>
    </row>
    <row r="503" spans="34:34">
      <c r="AH503" s="105"/>
    </row>
    <row r="504" spans="34:34">
      <c r="AH504" s="105"/>
    </row>
    <row r="505" spans="34:34">
      <c r="AH505" s="105"/>
    </row>
    <row r="506" spans="34:34">
      <c r="AH506" s="105"/>
    </row>
    <row r="507" spans="34:34">
      <c r="AH507" s="105"/>
    </row>
    <row r="508" spans="34:34">
      <c r="AH508" s="105"/>
    </row>
    <row r="509" spans="34:34">
      <c r="AH509" s="105"/>
    </row>
    <row r="510" spans="34:34">
      <c r="AH510" s="105"/>
    </row>
    <row r="511" spans="34:34">
      <c r="AH511" s="105"/>
    </row>
    <row r="512" spans="34:34">
      <c r="AH512" s="105"/>
    </row>
    <row r="513" spans="34:34">
      <c r="AH513" s="105"/>
    </row>
    <row r="514" spans="34:34">
      <c r="AH514" s="105"/>
    </row>
    <row r="515" spans="34:34">
      <c r="AH515" s="105"/>
    </row>
    <row r="516" spans="34:34">
      <c r="AH516" s="105"/>
    </row>
    <row r="517" spans="34:34">
      <c r="AH517" s="105"/>
    </row>
    <row r="518" spans="34:34">
      <c r="AH518" s="105"/>
    </row>
    <row r="519" spans="34:34">
      <c r="AH519" s="105"/>
    </row>
    <row r="520" spans="34:34">
      <c r="AH520" s="105"/>
    </row>
    <row r="521" spans="34:34">
      <c r="AH521" s="105"/>
    </row>
    <row r="522" spans="34:34">
      <c r="AH522" s="105"/>
    </row>
    <row r="523" spans="34:34">
      <c r="AH523" s="105"/>
    </row>
    <row r="524" spans="34:34">
      <c r="AH524" s="105"/>
    </row>
    <row r="525" spans="34:34">
      <c r="AH525" s="105"/>
    </row>
    <row r="526" spans="34:34">
      <c r="AH526" s="105"/>
    </row>
    <row r="527" spans="34:34">
      <c r="AH527" s="105"/>
    </row>
    <row r="528" spans="34:34">
      <c r="AH528" s="105"/>
    </row>
    <row r="529" spans="34:34">
      <c r="AH529" s="105"/>
    </row>
    <row r="530" spans="34:34">
      <c r="AH530" s="105"/>
    </row>
    <row r="531" spans="34:34">
      <c r="AH531" s="105"/>
    </row>
    <row r="532" spans="34:34">
      <c r="AH532" s="105"/>
    </row>
    <row r="533" spans="34:34">
      <c r="AH533" s="105"/>
    </row>
    <row r="534" spans="34:34">
      <c r="AH534" s="105"/>
    </row>
    <row r="535" spans="34:34">
      <c r="AH535" s="105"/>
    </row>
    <row r="536" spans="34:34">
      <c r="AH536" s="105"/>
    </row>
    <row r="537" spans="34:34">
      <c r="AH537" s="105"/>
    </row>
    <row r="538" spans="34:34">
      <c r="AH538" s="105"/>
    </row>
    <row r="539" spans="34:34">
      <c r="AH539" s="105"/>
    </row>
    <row r="540" spans="34:34">
      <c r="AH540" s="105"/>
    </row>
    <row r="541" spans="34:34">
      <c r="AH541" s="105"/>
    </row>
    <row r="542" spans="34:34">
      <c r="AH542" s="105"/>
    </row>
    <row r="543" spans="34:34">
      <c r="AH543" s="105"/>
    </row>
    <row r="544" spans="34:34">
      <c r="AH544" s="105"/>
    </row>
    <row r="545" spans="34:34">
      <c r="AH545" s="105"/>
    </row>
    <row r="546" spans="34:34">
      <c r="AH546" s="105"/>
    </row>
    <row r="547" spans="34:34">
      <c r="AH547" s="105"/>
    </row>
    <row r="548" spans="34:34">
      <c r="AH548" s="105"/>
    </row>
    <row r="549" spans="34:34">
      <c r="AH549" s="105"/>
    </row>
    <row r="550" spans="34:34">
      <c r="AH550" s="105"/>
    </row>
    <row r="551" spans="34:34">
      <c r="AH551" s="105"/>
    </row>
    <row r="552" spans="34:34">
      <c r="AH552" s="105"/>
    </row>
    <row r="553" spans="34:34">
      <c r="AH553" s="105"/>
    </row>
    <row r="554" spans="34:34">
      <c r="AH554" s="105"/>
    </row>
    <row r="555" spans="34:34">
      <c r="AH555" s="105"/>
    </row>
    <row r="556" spans="34:34">
      <c r="AH556" s="105"/>
    </row>
    <row r="557" spans="34:34">
      <c r="AH557" s="105"/>
    </row>
    <row r="558" spans="34:34">
      <c r="AH558" s="105"/>
    </row>
    <row r="559" spans="34:34">
      <c r="AH559" s="105"/>
    </row>
    <row r="560" spans="34:34">
      <c r="AH560" s="105"/>
    </row>
    <row r="561" spans="34:34">
      <c r="AH561" s="105"/>
    </row>
    <row r="562" spans="34:34">
      <c r="AH562" s="105"/>
    </row>
    <row r="563" spans="34:34">
      <c r="AH563" s="105"/>
    </row>
    <row r="564" spans="34:34">
      <c r="AH564" s="105"/>
    </row>
    <row r="565" spans="34:34">
      <c r="AH565" s="105"/>
    </row>
    <row r="566" spans="34:34">
      <c r="AH566" s="105"/>
    </row>
    <row r="567" spans="34:34">
      <c r="AH567" s="105"/>
    </row>
    <row r="568" spans="34:34">
      <c r="AH568" s="105"/>
    </row>
    <row r="569" spans="34:34">
      <c r="AH569" s="105"/>
    </row>
    <row r="570" spans="34:34">
      <c r="AH570" s="105"/>
    </row>
    <row r="571" spans="34:34">
      <c r="AH571" s="105"/>
    </row>
    <row r="572" spans="34:34">
      <c r="AH572" s="105"/>
    </row>
    <row r="573" spans="34:34">
      <c r="AH573" s="105"/>
    </row>
    <row r="574" spans="34:34">
      <c r="AH574" s="105"/>
    </row>
    <row r="575" spans="34:34">
      <c r="AH575" s="105"/>
    </row>
    <row r="576" spans="34:34">
      <c r="AH576" s="105"/>
    </row>
    <row r="577" spans="34:34">
      <c r="AH577" s="105"/>
    </row>
    <row r="578" spans="34:34">
      <c r="AH578" s="105"/>
    </row>
    <row r="579" spans="34:34">
      <c r="AH579" s="105"/>
    </row>
    <row r="580" spans="34:34">
      <c r="AH580" s="105"/>
    </row>
    <row r="581" spans="34:34">
      <c r="AH581" s="105"/>
    </row>
    <row r="582" spans="34:34">
      <c r="AH582" s="105"/>
    </row>
    <row r="583" spans="34:34">
      <c r="AH583" s="105"/>
    </row>
    <row r="584" spans="34:34">
      <c r="AH584" s="105"/>
    </row>
    <row r="585" spans="34:34">
      <c r="AH585" s="105"/>
    </row>
    <row r="586" spans="34:34">
      <c r="AH586" s="105"/>
    </row>
    <row r="587" spans="34:34">
      <c r="AH587" s="105"/>
    </row>
    <row r="588" spans="34:34">
      <c r="AH588" s="105"/>
    </row>
    <row r="589" spans="34:34">
      <c r="AH589" s="105"/>
    </row>
    <row r="590" spans="34:34">
      <c r="AH590" s="105"/>
    </row>
    <row r="591" spans="34:34">
      <c r="AH591" s="105"/>
    </row>
    <row r="592" spans="34:34">
      <c r="AH592" s="105"/>
    </row>
    <row r="593" spans="34:34">
      <c r="AH593" s="105"/>
    </row>
    <row r="594" spans="34:34">
      <c r="AH594" s="105"/>
    </row>
    <row r="595" spans="34:34">
      <c r="AH595" s="105"/>
    </row>
    <row r="596" spans="34:34">
      <c r="AH596" s="105"/>
    </row>
    <row r="597" spans="34:34">
      <c r="AH597" s="105"/>
    </row>
    <row r="598" spans="34:34">
      <c r="AH598" s="105"/>
    </row>
    <row r="599" spans="34:34">
      <c r="AH599" s="105"/>
    </row>
    <row r="600" spans="34:34">
      <c r="AH600" s="105"/>
    </row>
    <row r="601" spans="34:34">
      <c r="AH601" s="105"/>
    </row>
    <row r="602" spans="34:34">
      <c r="AH602" s="105"/>
    </row>
    <row r="603" spans="34:34">
      <c r="AH603" s="105"/>
    </row>
    <row r="604" spans="34:34">
      <c r="AH604" s="105"/>
    </row>
    <row r="605" spans="34:34">
      <c r="AH605" s="105"/>
    </row>
    <row r="606" spans="34:34">
      <c r="AH606" s="105"/>
    </row>
    <row r="607" spans="34:34">
      <c r="AH607" s="105"/>
    </row>
    <row r="608" spans="34:34">
      <c r="AH608" s="105"/>
    </row>
    <row r="609" spans="34:34">
      <c r="AH609" s="105"/>
    </row>
    <row r="610" spans="34:34">
      <c r="AH610" s="105"/>
    </row>
    <row r="611" spans="34:34">
      <c r="AH611" s="105"/>
    </row>
    <row r="612" spans="34:34">
      <c r="AH612" s="105"/>
    </row>
    <row r="613" spans="34:34">
      <c r="AH613" s="105"/>
    </row>
    <row r="614" spans="34:34">
      <c r="AH614" s="105"/>
    </row>
    <row r="615" spans="34:34">
      <c r="AH615" s="105"/>
    </row>
    <row r="616" spans="34:34">
      <c r="AH616" s="105"/>
    </row>
    <row r="617" spans="34:34">
      <c r="AH617" s="105"/>
    </row>
    <row r="618" spans="34:34">
      <c r="AH618" s="105"/>
    </row>
    <row r="619" spans="34:34">
      <c r="AH619" s="105"/>
    </row>
    <row r="620" spans="34:34">
      <c r="AH620" s="105"/>
    </row>
    <row r="621" spans="34:34">
      <c r="AH621" s="105"/>
    </row>
    <row r="622" spans="34:34">
      <c r="AH622" s="105"/>
    </row>
    <row r="623" spans="34:34">
      <c r="AH623" s="105"/>
    </row>
    <row r="624" spans="34:34">
      <c r="AH624" s="105"/>
    </row>
    <row r="625" spans="34:34">
      <c r="AH625" s="105"/>
    </row>
    <row r="626" spans="34:34">
      <c r="AH626" s="105"/>
    </row>
    <row r="627" spans="34:34">
      <c r="AH627" s="105"/>
    </row>
    <row r="628" spans="34:34">
      <c r="AH628" s="105"/>
    </row>
    <row r="629" spans="34:34">
      <c r="AH629" s="105"/>
    </row>
    <row r="630" spans="34:34">
      <c r="AH630" s="105"/>
    </row>
    <row r="631" spans="34:34">
      <c r="AH631" s="105"/>
    </row>
    <row r="632" spans="34:34">
      <c r="AH632" s="105"/>
    </row>
    <row r="633" spans="34:34">
      <c r="AH633" s="105"/>
    </row>
    <row r="634" spans="34:34">
      <c r="AH634" s="105"/>
    </row>
    <row r="635" spans="34:34">
      <c r="AH635" s="105"/>
    </row>
    <row r="636" spans="34:34">
      <c r="AH636" s="105"/>
    </row>
    <row r="637" spans="34:34">
      <c r="AH637" s="105"/>
    </row>
    <row r="638" spans="34:34">
      <c r="AH638" s="105"/>
    </row>
    <row r="639" spans="34:34">
      <c r="AH639" s="105"/>
    </row>
    <row r="640" spans="34:34">
      <c r="AH640" s="105"/>
    </row>
    <row r="641" spans="34:34">
      <c r="AH641" s="105"/>
    </row>
    <row r="642" spans="34:34">
      <c r="AH642" s="105"/>
    </row>
    <row r="643" spans="34:34">
      <c r="AH643" s="105"/>
    </row>
    <row r="644" spans="34:34">
      <c r="AH644" s="105"/>
    </row>
    <row r="645" spans="34:34">
      <c r="AH645" s="105"/>
    </row>
    <row r="646" spans="34:34">
      <c r="AH646" s="105"/>
    </row>
    <row r="647" spans="34:34">
      <c r="AH647" s="105"/>
    </row>
    <row r="648" spans="34:34">
      <c r="AH648" s="105"/>
    </row>
    <row r="649" spans="34:34">
      <c r="AH649" s="105"/>
    </row>
    <row r="650" spans="34:34">
      <c r="AH650" s="105"/>
    </row>
    <row r="651" spans="34:34">
      <c r="AH651" s="105"/>
    </row>
    <row r="652" spans="34:34">
      <c r="AH652" s="105"/>
    </row>
    <row r="653" spans="34:34">
      <c r="AH653" s="105"/>
    </row>
    <row r="654" spans="34:34">
      <c r="AH654" s="105"/>
    </row>
    <row r="655" spans="34:34">
      <c r="AH655" s="105"/>
    </row>
    <row r="656" spans="34:34">
      <c r="AH656" s="105"/>
    </row>
    <row r="657" spans="34:34">
      <c r="AH657" s="105"/>
    </row>
    <row r="658" spans="34:34">
      <c r="AH658" s="105"/>
    </row>
    <row r="659" spans="34:34">
      <c r="AH659" s="105"/>
    </row>
    <row r="660" spans="34:34">
      <c r="AH660" s="105"/>
    </row>
    <row r="661" spans="34:34">
      <c r="AH661" s="105"/>
    </row>
    <row r="662" spans="34:34">
      <c r="AH662" s="105"/>
    </row>
    <row r="663" spans="34:34">
      <c r="AH663" s="105"/>
    </row>
    <row r="664" spans="34:34">
      <c r="AH664" s="105"/>
    </row>
    <row r="665" spans="34:34">
      <c r="AH665" s="105"/>
    </row>
    <row r="666" spans="34:34">
      <c r="AH666" s="105"/>
    </row>
    <row r="667" spans="34:34">
      <c r="AH667" s="105"/>
    </row>
    <row r="668" spans="34:34">
      <c r="AH668" s="105"/>
    </row>
    <row r="669" spans="34:34">
      <c r="AH669" s="105"/>
    </row>
    <row r="670" spans="34:34">
      <c r="AH670" s="105"/>
    </row>
    <row r="671" spans="34:34">
      <c r="AH671" s="105"/>
    </row>
    <row r="672" spans="34:34">
      <c r="AH672" s="105"/>
    </row>
    <row r="673" spans="34:34">
      <c r="AH673" s="105"/>
    </row>
    <row r="674" spans="34:34">
      <c r="AH674" s="105"/>
    </row>
    <row r="675" spans="34:34">
      <c r="AH675" s="105"/>
    </row>
    <row r="676" spans="34:34">
      <c r="AH676" s="105"/>
    </row>
    <row r="677" spans="34:34">
      <c r="AH677" s="105"/>
    </row>
    <row r="678" spans="34:34">
      <c r="AH678" s="105"/>
    </row>
    <row r="679" spans="34:34">
      <c r="AH679" s="105"/>
    </row>
    <row r="680" spans="34:34">
      <c r="AH680" s="105"/>
    </row>
    <row r="681" spans="34:34">
      <c r="AH681" s="105"/>
    </row>
    <row r="682" spans="34:34">
      <c r="AH682" s="105"/>
    </row>
    <row r="683" spans="34:34">
      <c r="AH683" s="105"/>
    </row>
    <row r="684" spans="34:34">
      <c r="AH684" s="105"/>
    </row>
    <row r="685" spans="34:34">
      <c r="AH685" s="105"/>
    </row>
    <row r="686" spans="34:34">
      <c r="AH686" s="105"/>
    </row>
    <row r="687" spans="34:34">
      <c r="AH687" s="105"/>
    </row>
    <row r="688" spans="34:34">
      <c r="AH688" s="105"/>
    </row>
    <row r="689" spans="34:34">
      <c r="AH689" s="105"/>
    </row>
    <row r="690" spans="34:34">
      <c r="AH690" s="105"/>
    </row>
    <row r="691" spans="34:34">
      <c r="AH691" s="105"/>
    </row>
    <row r="692" spans="34:34">
      <c r="AH692" s="105"/>
    </row>
    <row r="693" spans="34:34">
      <c r="AH693" s="105"/>
    </row>
    <row r="694" spans="34:34">
      <c r="AH694" s="105"/>
    </row>
    <row r="695" spans="34:34">
      <c r="AH695" s="105"/>
    </row>
    <row r="696" spans="34:34">
      <c r="AH696" s="105"/>
    </row>
    <row r="697" spans="34:34">
      <c r="AH697" s="105"/>
    </row>
  </sheetData>
  <autoFilter ref="B6:AH185" xr:uid="{00000000-0001-0000-0300-000000000000}"/>
  <conditionalFormatting sqref="B13:B47">
    <cfRule type="duplicateValues" dxfId="12" priority="3"/>
  </conditionalFormatting>
  <conditionalFormatting sqref="B52:B53">
    <cfRule type="duplicateValues" dxfId="11" priority="2"/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0D375-9C67-4EC1-8C94-A6A00075C8B8}">
  <sheetPr>
    <tabColor theme="9" tint="0.59999389629810485"/>
  </sheetPr>
  <dimension ref="A1:BE182"/>
  <sheetViews>
    <sheetView tabSelected="1" topLeftCell="B1" workbookViewId="0">
      <selection activeCell="I16" sqref="I16"/>
    </sheetView>
  </sheetViews>
  <sheetFormatPr defaultColWidth="9.140625" defaultRowHeight="12.75" outlineLevelCol="1"/>
  <cols>
    <col min="1" max="1" width="27.7109375" style="101" hidden="1" customWidth="1" outlineLevel="1"/>
    <col min="2" max="2" width="22.7109375" style="101" customWidth="1" collapsed="1"/>
    <col min="3" max="3" width="29.140625" style="101" bestFit="1" customWidth="1"/>
    <col min="4" max="5" width="17.5703125" style="105" customWidth="1"/>
    <col min="6" max="6" width="12" style="101" customWidth="1"/>
    <col min="7" max="7" width="3" style="101" customWidth="1"/>
    <col min="8" max="9" width="12" style="101" hidden="1" customWidth="1" outlineLevel="1"/>
    <col min="10" max="15" width="11.140625" style="101" hidden="1" customWidth="1" outlineLevel="1"/>
    <col min="16" max="17" width="12" style="101" hidden="1" customWidth="1" outlineLevel="1"/>
    <col min="18" max="18" width="11.140625" style="101" hidden="1" customWidth="1" outlineLevel="1"/>
    <col min="19" max="19" width="12" style="101" hidden="1" customWidth="1" outlineLevel="1"/>
    <col min="20" max="20" width="13" style="101" bestFit="1" customWidth="1" collapsed="1"/>
    <col min="21" max="21" width="6.5703125" style="101" bestFit="1" customWidth="1"/>
    <col min="22" max="22" width="4.7109375" style="101" customWidth="1"/>
    <col min="23" max="34" width="9.42578125" style="101" hidden="1" customWidth="1" outlineLevel="1"/>
    <col min="35" max="35" width="10.28515625" style="107" bestFit="1" customWidth="1" collapsed="1"/>
    <col min="36" max="36" width="18" style="101" bestFit="1" customWidth="1"/>
    <col min="37" max="37" width="9.140625" style="101"/>
    <col min="38" max="38" width="9.140625" style="102"/>
    <col min="39" max="39" width="11" style="101" hidden="1" customWidth="1" outlineLevel="1"/>
    <col min="40" max="40" width="17.7109375" style="101" hidden="1" customWidth="1" outlineLevel="1"/>
    <col min="41" max="42" width="9.140625" style="101" hidden="1" customWidth="1" outlineLevel="1"/>
    <col min="43" max="43" width="9.85546875" style="101" hidden="1" customWidth="1" outlineLevel="1"/>
    <col min="44" max="45" width="9.140625" style="101" hidden="1" customWidth="1" outlineLevel="1"/>
    <col min="46" max="46" width="9.140625" style="102" collapsed="1"/>
    <col min="47" max="47" width="30.85546875" style="101" bestFit="1" customWidth="1"/>
    <col min="48" max="48" width="19.85546875" style="101" bestFit="1" customWidth="1"/>
    <col min="49" max="49" width="25.28515625" style="101" bestFit="1" customWidth="1"/>
    <col min="50" max="50" width="9" style="101" bestFit="1" customWidth="1"/>
    <col min="51" max="51" width="11.5703125" style="101" bestFit="1" customWidth="1"/>
    <col min="52" max="16384" width="9.140625" style="101"/>
  </cols>
  <sheetData>
    <row r="1" spans="1:57" ht="12" customHeight="1">
      <c r="B1" s="175" t="s">
        <v>553</v>
      </c>
      <c r="D1" s="112"/>
      <c r="E1" s="112"/>
      <c r="F1" s="212"/>
      <c r="G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X1" s="256"/>
      <c r="AY1" s="255" t="s">
        <v>573</v>
      </c>
      <c r="AZ1" s="255" t="s">
        <v>572</v>
      </c>
      <c r="BA1" s="255" t="s">
        <v>571</v>
      </c>
    </row>
    <row r="2" spans="1:57" ht="12" customHeight="1">
      <c r="B2" s="175" t="s">
        <v>344</v>
      </c>
      <c r="D2" s="112"/>
      <c r="E2" s="112"/>
      <c r="F2" s="212"/>
      <c r="G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X2" s="254" t="s">
        <v>569</v>
      </c>
      <c r="AY2" s="252">
        <f>+'Clallam Reg Price Out'!AX2</f>
        <v>0.10263591605601019</v>
      </c>
      <c r="AZ2" s="252">
        <f>+'Clallam Reg Price Out'!AY2</f>
        <v>5.2729999999999999E-3</v>
      </c>
      <c r="BA2" s="252">
        <f>+'Clallam Reg Price Out'!AZ2</f>
        <v>0.10790891605601019</v>
      </c>
      <c r="BB2" s="143"/>
    </row>
    <row r="3" spans="1:57" ht="12" customHeight="1">
      <c r="B3" s="156" t="s">
        <v>552</v>
      </c>
      <c r="D3" s="112"/>
      <c r="E3" s="112"/>
      <c r="F3" s="212"/>
      <c r="G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X3" s="254"/>
      <c r="AY3" s="252"/>
      <c r="AZ3" s="252"/>
      <c r="BA3" s="252"/>
      <c r="BB3" s="143"/>
    </row>
    <row r="4" spans="1:57" ht="12" customHeight="1">
      <c r="B4" s="174" t="str">
        <f>'Clallam Reg Price Out'!B4</f>
        <v>August 1, 2022 - July 31, 2023</v>
      </c>
      <c r="C4" s="107"/>
      <c r="D4" s="112"/>
      <c r="E4" s="112"/>
      <c r="F4" s="212"/>
      <c r="G4" s="107"/>
      <c r="H4" s="107"/>
      <c r="I4" s="107"/>
      <c r="J4" s="107"/>
      <c r="K4" s="173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N4" s="172" t="s">
        <v>535</v>
      </c>
      <c r="AO4" s="171"/>
      <c r="AP4" s="172" t="s">
        <v>534</v>
      </c>
      <c r="AQ4" s="171"/>
      <c r="AR4" s="172" t="s">
        <v>533</v>
      </c>
      <c r="AS4" s="171"/>
    </row>
    <row r="5" spans="1:57" ht="12" customHeight="1">
      <c r="B5" s="107"/>
      <c r="C5" s="165"/>
      <c r="D5" s="214" t="s">
        <v>164</v>
      </c>
      <c r="E5" s="214" t="s">
        <v>164</v>
      </c>
      <c r="F5" s="214" t="s">
        <v>532</v>
      </c>
      <c r="G5" s="107"/>
      <c r="H5" s="170">
        <f>+'Clallam Reg Price Out'!G5</f>
        <v>44774</v>
      </c>
      <c r="I5" s="170">
        <f>+'Clallam Reg Price Out'!H5</f>
        <v>44805</v>
      </c>
      <c r="J5" s="170">
        <f>+'Clallam Reg Price Out'!I5</f>
        <v>44836</v>
      </c>
      <c r="K5" s="170">
        <f>+'Clallam Reg Price Out'!J5</f>
        <v>44867</v>
      </c>
      <c r="L5" s="170">
        <f>+'Clallam Reg Price Out'!K5</f>
        <v>44898</v>
      </c>
      <c r="M5" s="170">
        <f>+'Clallam Reg Price Out'!L5</f>
        <v>44929</v>
      </c>
      <c r="N5" s="170">
        <f>+'Clallam Reg Price Out'!M5</f>
        <v>44960</v>
      </c>
      <c r="O5" s="170">
        <f>+'Clallam Reg Price Out'!N5</f>
        <v>44991</v>
      </c>
      <c r="P5" s="170">
        <f>+'Clallam Reg Price Out'!O5</f>
        <v>45022</v>
      </c>
      <c r="Q5" s="170">
        <f>+'Clallam Reg Price Out'!P5</f>
        <v>45053</v>
      </c>
      <c r="R5" s="170">
        <f>+'Clallam Reg Price Out'!Q5</f>
        <v>45084</v>
      </c>
      <c r="S5" s="170">
        <f>+'Clallam Reg Price Out'!R5</f>
        <v>45115</v>
      </c>
      <c r="T5" s="170" t="s">
        <v>15</v>
      </c>
      <c r="U5" s="107"/>
      <c r="V5" s="107"/>
      <c r="W5" s="169">
        <f t="shared" ref="W5:AH5" si="0">+H5</f>
        <v>44774</v>
      </c>
      <c r="X5" s="169">
        <f t="shared" si="0"/>
        <v>44805</v>
      </c>
      <c r="Y5" s="169">
        <f t="shared" si="0"/>
        <v>44836</v>
      </c>
      <c r="Z5" s="169">
        <f t="shared" si="0"/>
        <v>44867</v>
      </c>
      <c r="AA5" s="169">
        <f t="shared" si="0"/>
        <v>44898</v>
      </c>
      <c r="AB5" s="169">
        <f t="shared" si="0"/>
        <v>44929</v>
      </c>
      <c r="AC5" s="169">
        <f t="shared" si="0"/>
        <v>44960</v>
      </c>
      <c r="AD5" s="169">
        <f t="shared" si="0"/>
        <v>44991</v>
      </c>
      <c r="AE5" s="169">
        <f t="shared" si="0"/>
        <v>45022</v>
      </c>
      <c r="AF5" s="169">
        <f t="shared" si="0"/>
        <v>45053</v>
      </c>
      <c r="AG5" s="169">
        <f t="shared" si="0"/>
        <v>45084</v>
      </c>
      <c r="AH5" s="169">
        <f t="shared" si="0"/>
        <v>45115</v>
      </c>
      <c r="AI5" s="169" t="s">
        <v>531</v>
      </c>
      <c r="AJ5" s="101" t="s">
        <v>551</v>
      </c>
      <c r="AN5" s="168" t="s">
        <v>530</v>
      </c>
      <c r="AO5" s="167" t="s">
        <v>529</v>
      </c>
      <c r="AP5" s="168" t="s">
        <v>530</v>
      </c>
      <c r="AQ5" s="167" t="s">
        <v>529</v>
      </c>
      <c r="AR5" s="168" t="s">
        <v>530</v>
      </c>
      <c r="AS5" s="167" t="s">
        <v>529</v>
      </c>
    </row>
    <row r="6" spans="1:57" ht="12" customHeight="1">
      <c r="B6" s="166" t="s">
        <v>99</v>
      </c>
      <c r="C6" s="165" t="s">
        <v>100</v>
      </c>
      <c r="D6" s="213" t="s">
        <v>550</v>
      </c>
      <c r="E6" s="213" t="s">
        <v>549</v>
      </c>
      <c r="F6" s="213" t="s">
        <v>527</v>
      </c>
      <c r="G6" s="165"/>
      <c r="H6" s="164" t="s">
        <v>87</v>
      </c>
      <c r="I6" s="164" t="s">
        <v>87</v>
      </c>
      <c r="J6" s="164" t="s">
        <v>87</v>
      </c>
      <c r="K6" s="164" t="s">
        <v>87</v>
      </c>
      <c r="L6" s="164" t="s">
        <v>87</v>
      </c>
      <c r="M6" s="164" t="s">
        <v>87</v>
      </c>
      <c r="N6" s="164" t="s">
        <v>87</v>
      </c>
      <c r="O6" s="164" t="s">
        <v>87</v>
      </c>
      <c r="P6" s="164" t="s">
        <v>87</v>
      </c>
      <c r="Q6" s="164" t="s">
        <v>87</v>
      </c>
      <c r="R6" s="164" t="s">
        <v>87</v>
      </c>
      <c r="S6" s="164" t="s">
        <v>87</v>
      </c>
      <c r="T6" s="164" t="s">
        <v>87</v>
      </c>
      <c r="U6" s="107"/>
      <c r="V6" s="107"/>
      <c r="W6" s="163" t="s">
        <v>88</v>
      </c>
      <c r="X6" s="163" t="s">
        <v>88</v>
      </c>
      <c r="Y6" s="163" t="s">
        <v>88</v>
      </c>
      <c r="Z6" s="163" t="s">
        <v>88</v>
      </c>
      <c r="AA6" s="163" t="s">
        <v>88</v>
      </c>
      <c r="AB6" s="163" t="s">
        <v>88</v>
      </c>
      <c r="AC6" s="163" t="s">
        <v>88</v>
      </c>
      <c r="AD6" s="163" t="s">
        <v>88</v>
      </c>
      <c r="AE6" s="163" t="s">
        <v>88</v>
      </c>
      <c r="AF6" s="163" t="s">
        <v>88</v>
      </c>
      <c r="AG6" s="163" t="s">
        <v>88</v>
      </c>
      <c r="AH6" s="163" t="s">
        <v>88</v>
      </c>
      <c r="AI6" s="163" t="s">
        <v>526</v>
      </c>
      <c r="AU6" s="251" t="s">
        <v>566</v>
      </c>
      <c r="AV6" s="250" t="s">
        <v>557</v>
      </c>
      <c r="AW6" s="250" t="s">
        <v>565</v>
      </c>
    </row>
    <row r="7" spans="1:57" s="107" customFormat="1" ht="12" customHeight="1">
      <c r="D7" s="112"/>
      <c r="E7" s="112"/>
      <c r="F7" s="212"/>
      <c r="G7" s="161"/>
      <c r="H7" s="161"/>
      <c r="AL7" s="119"/>
      <c r="AT7" s="119"/>
      <c r="AU7" s="101"/>
      <c r="AV7" s="101"/>
      <c r="AW7" s="101"/>
      <c r="AX7" s="101"/>
      <c r="AY7" s="101"/>
      <c r="AZ7" s="101"/>
      <c r="BA7" s="101"/>
      <c r="BB7" s="101"/>
      <c r="BC7"/>
      <c r="BD7"/>
      <c r="BE7"/>
    </row>
    <row r="8" spans="1:57" ht="12" customHeight="1">
      <c r="B8" s="134" t="s">
        <v>502</v>
      </c>
      <c r="C8" s="134" t="s">
        <v>502</v>
      </c>
      <c r="D8" s="206"/>
      <c r="E8" s="206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19"/>
      <c r="AM8" s="107"/>
      <c r="AN8" s="107"/>
      <c r="AO8" s="107"/>
      <c r="AP8" s="156"/>
      <c r="AQ8" s="156"/>
      <c r="AR8" s="107"/>
      <c r="AS8" s="107"/>
      <c r="BC8"/>
      <c r="BD8"/>
      <c r="BE8"/>
    </row>
    <row r="9" spans="1:57" ht="12" customHeight="1">
      <c r="B9" s="134"/>
      <c r="C9" s="134"/>
      <c r="D9" s="206"/>
      <c r="E9" s="206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19"/>
      <c r="AM9" s="107"/>
      <c r="AN9" s="107"/>
      <c r="AO9" s="107"/>
      <c r="AP9" s="15"/>
      <c r="AQ9" s="136"/>
      <c r="AR9" s="107"/>
      <c r="AS9" s="107"/>
      <c r="BC9"/>
      <c r="BD9"/>
      <c r="BE9"/>
    </row>
    <row r="10" spans="1:57" s="107" customFormat="1" ht="12" customHeight="1">
      <c r="B10" s="150" t="s">
        <v>501</v>
      </c>
      <c r="C10" s="150" t="s">
        <v>501</v>
      </c>
      <c r="D10" s="211"/>
      <c r="E10" s="211"/>
      <c r="F10" s="122"/>
      <c r="G10" s="122"/>
      <c r="H10" s="121"/>
      <c r="I10" s="120" t="str">
        <f>IF(G10="","",(#REF!/G10)+(#REF!/F10))</f>
        <v/>
      </c>
      <c r="J10" s="120" t="str">
        <f>IF(G10="","",I10/12)</f>
        <v/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19"/>
      <c r="AL10" s="119"/>
      <c r="AP10" s="15"/>
      <c r="AQ10" s="136"/>
      <c r="AT10" s="119"/>
      <c r="AX10" s="101"/>
      <c r="AY10" s="101"/>
      <c r="AZ10" s="101"/>
      <c r="BA10" s="101"/>
      <c r="BB10" s="101"/>
      <c r="BC10"/>
      <c r="BD10"/>
      <c r="BE10"/>
    </row>
    <row r="11" spans="1:57" s="106" customFormat="1" ht="12" customHeight="1">
      <c r="A11" s="131" t="str">
        <f t="shared" ref="A11:A19" si="1">"CITYPA-M"&amp;B11</f>
        <v>CITYPA-MF2YD1W</v>
      </c>
      <c r="B11" s="100" t="s">
        <v>200</v>
      </c>
      <c r="C11" s="100" t="s">
        <v>123</v>
      </c>
      <c r="D11" s="184">
        <v>185.41</v>
      </c>
      <c r="E11" s="184">
        <f t="shared" ref="E11:E19" si="2">D11</f>
        <v>185.41</v>
      </c>
      <c r="F11" s="183" t="s">
        <v>161</v>
      </c>
      <c r="G11" s="122"/>
      <c r="H11" s="130">
        <v>185.41</v>
      </c>
      <c r="I11" s="130">
        <v>185.41</v>
      </c>
      <c r="J11" s="130">
        <v>185.41</v>
      </c>
      <c r="K11" s="130">
        <v>185.41</v>
      </c>
      <c r="L11" s="130">
        <v>185.41</v>
      </c>
      <c r="M11" s="130">
        <v>185.41</v>
      </c>
      <c r="N11" s="130">
        <v>185.41</v>
      </c>
      <c r="O11" s="130">
        <v>185.41</v>
      </c>
      <c r="P11" s="130">
        <v>185.41</v>
      </c>
      <c r="Q11" s="130">
        <v>185.41</v>
      </c>
      <c r="R11" s="130">
        <v>185.41</v>
      </c>
      <c r="S11" s="130">
        <v>185.41</v>
      </c>
      <c r="T11" s="130">
        <f t="shared" ref="T11:T19" si="3">SUM(H11:S11)</f>
        <v>2224.9200000000005</v>
      </c>
      <c r="U11" s="131">
        <v>33010</v>
      </c>
      <c r="W11" s="130">
        <f t="shared" ref="W11:AG18" si="4">IFERROR(H11/$D11,0)</f>
        <v>1</v>
      </c>
      <c r="X11" s="130">
        <f t="shared" si="4"/>
        <v>1</v>
      </c>
      <c r="Y11" s="130">
        <f t="shared" si="4"/>
        <v>1</v>
      </c>
      <c r="Z11" s="130">
        <f t="shared" si="4"/>
        <v>1</v>
      </c>
      <c r="AA11" s="130">
        <f t="shared" si="4"/>
        <v>1</v>
      </c>
      <c r="AB11" s="130">
        <f t="shared" si="4"/>
        <v>1</v>
      </c>
      <c r="AC11" s="130">
        <f t="shared" si="4"/>
        <v>1</v>
      </c>
      <c r="AD11" s="130">
        <f t="shared" si="4"/>
        <v>1</v>
      </c>
      <c r="AE11" s="130">
        <f t="shared" si="4"/>
        <v>1</v>
      </c>
      <c r="AF11" s="130">
        <f t="shared" si="4"/>
        <v>1</v>
      </c>
      <c r="AG11" s="130">
        <f t="shared" si="4"/>
        <v>1</v>
      </c>
      <c r="AH11" s="130">
        <f t="shared" ref="AH11:AH18" si="5">IFERROR(S11/$E11,0)</f>
        <v>1</v>
      </c>
      <c r="AI11" s="130">
        <f t="shared" ref="AI11:AI19" si="6">IFERROR(AVERAGEIF(W11:AH11,"&gt;0"),0)</f>
        <v>1</v>
      </c>
      <c r="AJ11" s="107"/>
      <c r="AL11" s="123"/>
      <c r="AM11" s="106" t="s">
        <v>479</v>
      </c>
      <c r="AN11" s="107"/>
      <c r="AO11" s="118"/>
      <c r="AP11" s="15">
        <v>1</v>
      </c>
      <c r="AQ11" s="199">
        <f t="shared" ref="AQ11:AQ16" si="7">AP11*AI11</f>
        <v>1</v>
      </c>
      <c r="AR11" s="107"/>
      <c r="AS11" s="107"/>
      <c r="AT11" s="123"/>
      <c r="AU11" s="236">
        <f t="shared" ref="AU11:AU19" si="8">+E11*(1+$BA$2)</f>
        <v>205.41739212594487</v>
      </c>
      <c r="AV11" s="229">
        <f t="shared" ref="AV11:AV18" si="9">+AU11*AVERAGE(W11:AH11)*12</f>
        <v>2465.0087055113386</v>
      </c>
      <c r="AW11" s="229">
        <f t="shared" ref="AW11:AW19" si="10">+AV11-T11</f>
        <v>240.08870551133805</v>
      </c>
      <c r="AX11" s="101"/>
      <c r="AY11" s="101"/>
      <c r="AZ11" s="101"/>
      <c r="BA11" s="101"/>
      <c r="BB11" s="101"/>
      <c r="BC11"/>
      <c r="BD11"/>
      <c r="BE11"/>
    </row>
    <row r="12" spans="1:57" s="106" customFormat="1" ht="12" customHeight="1">
      <c r="A12" s="131" t="str">
        <f t="shared" si="1"/>
        <v>CITYPA-MF6YD1W</v>
      </c>
      <c r="B12" s="100" t="s">
        <v>206</v>
      </c>
      <c r="C12" s="100" t="s">
        <v>129</v>
      </c>
      <c r="D12" s="184">
        <v>470.45</v>
      </c>
      <c r="E12" s="184">
        <f t="shared" si="2"/>
        <v>470.45</v>
      </c>
      <c r="F12" s="183" t="s">
        <v>162</v>
      </c>
      <c r="G12" s="122"/>
      <c r="H12" s="130">
        <v>2361.66</v>
      </c>
      <c r="I12" s="130">
        <v>2361.66</v>
      </c>
      <c r="J12" s="130">
        <v>1881.8</v>
      </c>
      <c r="K12" s="130">
        <v>2234.63</v>
      </c>
      <c r="L12" s="130">
        <v>2352.25</v>
      </c>
      <c r="M12" s="130">
        <v>2352.25</v>
      </c>
      <c r="N12" s="130">
        <v>2352.25</v>
      </c>
      <c r="O12" s="130">
        <v>2352.25</v>
      </c>
      <c r="P12" s="130">
        <v>2352.25</v>
      </c>
      <c r="Q12" s="130">
        <v>2352.25</v>
      </c>
      <c r="R12" s="130">
        <v>2352.25</v>
      </c>
      <c r="S12" s="130">
        <v>2352.25</v>
      </c>
      <c r="T12" s="130">
        <f t="shared" si="3"/>
        <v>27657.75</v>
      </c>
      <c r="U12" s="131">
        <v>33010</v>
      </c>
      <c r="W12" s="130">
        <f t="shared" si="4"/>
        <v>5.0200021256244023</v>
      </c>
      <c r="X12" s="130">
        <f t="shared" si="4"/>
        <v>5.0200021256244023</v>
      </c>
      <c r="Y12" s="130">
        <f t="shared" si="4"/>
        <v>4</v>
      </c>
      <c r="Z12" s="130">
        <f t="shared" si="4"/>
        <v>4.7499840578169845</v>
      </c>
      <c r="AA12" s="130">
        <f t="shared" si="4"/>
        <v>5</v>
      </c>
      <c r="AB12" s="130">
        <f t="shared" si="4"/>
        <v>5</v>
      </c>
      <c r="AC12" s="130">
        <f t="shared" si="4"/>
        <v>5</v>
      </c>
      <c r="AD12" s="130">
        <f t="shared" si="4"/>
        <v>5</v>
      </c>
      <c r="AE12" s="130">
        <f t="shared" si="4"/>
        <v>5</v>
      </c>
      <c r="AF12" s="130">
        <f t="shared" si="4"/>
        <v>5</v>
      </c>
      <c r="AG12" s="130">
        <f t="shared" si="4"/>
        <v>5</v>
      </c>
      <c r="AH12" s="130">
        <f t="shared" si="5"/>
        <v>5</v>
      </c>
      <c r="AI12" s="130">
        <f t="shared" si="6"/>
        <v>4.8991656924221489</v>
      </c>
      <c r="AJ12" s="107"/>
      <c r="AL12" s="123"/>
      <c r="AM12" s="106" t="s">
        <v>482</v>
      </c>
      <c r="AN12" s="107"/>
      <c r="AO12" s="118"/>
      <c r="AP12" s="15">
        <v>1</v>
      </c>
      <c r="AQ12" s="199">
        <f t="shared" si="7"/>
        <v>4.8991656924221489</v>
      </c>
      <c r="AR12" s="107"/>
      <c r="AS12" s="107"/>
      <c r="AT12" s="123"/>
      <c r="AU12" s="236">
        <f t="shared" si="8"/>
        <v>521.21574955854999</v>
      </c>
      <c r="AV12" s="229">
        <f t="shared" si="9"/>
        <v>30642.267823048114</v>
      </c>
      <c r="AW12" s="229">
        <f t="shared" si="10"/>
        <v>2984.5178230481142</v>
      </c>
      <c r="AX12" s="101"/>
      <c r="AY12" s="101"/>
      <c r="AZ12" s="101"/>
      <c r="BA12" s="101"/>
      <c r="BB12" s="101"/>
      <c r="BC12"/>
      <c r="BD12"/>
      <c r="BE12"/>
    </row>
    <row r="13" spans="1:57" s="106" customFormat="1" ht="12" customHeight="1">
      <c r="A13" s="131" t="str">
        <f t="shared" si="1"/>
        <v>CITYPA-MF6YD2W</v>
      </c>
      <c r="B13" s="100" t="s">
        <v>378</v>
      </c>
      <c r="C13" s="100" t="s">
        <v>379</v>
      </c>
      <c r="D13" s="184">
        <v>940.91</v>
      </c>
      <c r="E13" s="184">
        <f t="shared" si="2"/>
        <v>940.91</v>
      </c>
      <c r="F13" s="183" t="s">
        <v>162</v>
      </c>
      <c r="G13" s="122"/>
      <c r="H13" s="130">
        <v>940.91</v>
      </c>
      <c r="I13" s="130">
        <v>940.91</v>
      </c>
      <c r="J13" s="130">
        <v>940.91</v>
      </c>
      <c r="K13" s="130">
        <v>940.91</v>
      </c>
      <c r="L13" s="130">
        <v>940.91</v>
      </c>
      <c r="M13" s="130">
        <v>940.91</v>
      </c>
      <c r="N13" s="130">
        <v>940.91</v>
      </c>
      <c r="O13" s="130">
        <v>940.91</v>
      </c>
      <c r="P13" s="130">
        <v>940.91</v>
      </c>
      <c r="Q13" s="130">
        <v>940.91</v>
      </c>
      <c r="R13" s="130">
        <v>940.91</v>
      </c>
      <c r="S13" s="130">
        <v>940.91</v>
      </c>
      <c r="T13" s="130">
        <f t="shared" si="3"/>
        <v>11290.92</v>
      </c>
      <c r="U13" s="131">
        <v>33010</v>
      </c>
      <c r="W13" s="130">
        <f t="shared" si="4"/>
        <v>1</v>
      </c>
      <c r="X13" s="130">
        <f t="shared" si="4"/>
        <v>1</v>
      </c>
      <c r="Y13" s="130">
        <f t="shared" si="4"/>
        <v>1</v>
      </c>
      <c r="Z13" s="130">
        <f t="shared" si="4"/>
        <v>1</v>
      </c>
      <c r="AA13" s="130">
        <f t="shared" si="4"/>
        <v>1</v>
      </c>
      <c r="AB13" s="130">
        <f t="shared" si="4"/>
        <v>1</v>
      </c>
      <c r="AC13" s="130">
        <f t="shared" si="4"/>
        <v>1</v>
      </c>
      <c r="AD13" s="130">
        <f t="shared" si="4"/>
        <v>1</v>
      </c>
      <c r="AE13" s="130">
        <f t="shared" si="4"/>
        <v>1</v>
      </c>
      <c r="AF13" s="130">
        <f t="shared" si="4"/>
        <v>1</v>
      </c>
      <c r="AG13" s="130">
        <f t="shared" si="4"/>
        <v>1</v>
      </c>
      <c r="AH13" s="130">
        <f t="shared" si="5"/>
        <v>1</v>
      </c>
      <c r="AI13" s="130">
        <f t="shared" si="6"/>
        <v>1</v>
      </c>
      <c r="AJ13" s="107"/>
      <c r="AL13" s="123"/>
      <c r="AM13" s="106" t="s">
        <v>482</v>
      </c>
      <c r="AN13" s="107"/>
      <c r="AO13" s="118"/>
      <c r="AP13" s="15">
        <v>1</v>
      </c>
      <c r="AQ13" s="199">
        <f t="shared" si="7"/>
        <v>1</v>
      </c>
      <c r="AR13" s="107"/>
      <c r="AS13" s="107"/>
      <c r="AT13" s="123"/>
      <c r="AU13" s="236">
        <f t="shared" si="8"/>
        <v>1042.4425782062606</v>
      </c>
      <c r="AV13" s="229">
        <f t="shared" si="9"/>
        <v>12509.310938475126</v>
      </c>
      <c r="AW13" s="229">
        <f t="shared" si="10"/>
        <v>1218.3909384751259</v>
      </c>
      <c r="AX13" s="235"/>
      <c r="AY13" s="101"/>
      <c r="AZ13" s="101"/>
      <c r="BA13" s="101"/>
      <c r="BB13" s="101"/>
      <c r="BC13"/>
      <c r="BD13"/>
      <c r="BE13"/>
    </row>
    <row r="14" spans="1:57" s="106" customFormat="1" ht="12" customHeight="1">
      <c r="A14" s="131" t="str">
        <f t="shared" si="1"/>
        <v>CITYPA-MFCP4YD1W</v>
      </c>
      <c r="B14" s="100" t="s">
        <v>235</v>
      </c>
      <c r="C14" s="100" t="s">
        <v>156</v>
      </c>
      <c r="D14" s="184">
        <v>692.84</v>
      </c>
      <c r="E14" s="184">
        <f t="shared" si="2"/>
        <v>692.84</v>
      </c>
      <c r="F14" s="183">
        <v>38</v>
      </c>
      <c r="G14" s="122"/>
      <c r="H14" s="130">
        <v>692.84</v>
      </c>
      <c r="I14" s="130">
        <v>692.84</v>
      </c>
      <c r="J14" s="130">
        <v>692.84</v>
      </c>
      <c r="K14" s="130">
        <v>692.84</v>
      </c>
      <c r="L14" s="130">
        <v>692.84</v>
      </c>
      <c r="M14" s="130">
        <v>692.84</v>
      </c>
      <c r="N14" s="130">
        <v>692.84</v>
      </c>
      <c r="O14" s="130">
        <v>692.84</v>
      </c>
      <c r="P14" s="130">
        <v>692.84</v>
      </c>
      <c r="Q14" s="130">
        <v>692.84</v>
      </c>
      <c r="R14" s="130">
        <v>751.73</v>
      </c>
      <c r="S14" s="130">
        <v>751.73</v>
      </c>
      <c r="T14" s="130">
        <f t="shared" si="3"/>
        <v>8431.86</v>
      </c>
      <c r="U14" s="131">
        <v>33010</v>
      </c>
      <c r="W14" s="130">
        <f t="shared" si="4"/>
        <v>1</v>
      </c>
      <c r="X14" s="130">
        <f t="shared" si="4"/>
        <v>1</v>
      </c>
      <c r="Y14" s="130">
        <f t="shared" si="4"/>
        <v>1</v>
      </c>
      <c r="Z14" s="130">
        <f t="shared" si="4"/>
        <v>1</v>
      </c>
      <c r="AA14" s="130">
        <f t="shared" si="4"/>
        <v>1</v>
      </c>
      <c r="AB14" s="130">
        <f t="shared" si="4"/>
        <v>1</v>
      </c>
      <c r="AC14" s="130">
        <f t="shared" si="4"/>
        <v>1</v>
      </c>
      <c r="AD14" s="130">
        <f t="shared" si="4"/>
        <v>1</v>
      </c>
      <c r="AE14" s="130">
        <f t="shared" si="4"/>
        <v>1</v>
      </c>
      <c r="AF14" s="130">
        <f t="shared" si="4"/>
        <v>1</v>
      </c>
      <c r="AG14" s="130">
        <f t="shared" si="4"/>
        <v>1.0849979793314473</v>
      </c>
      <c r="AH14" s="130">
        <f t="shared" si="5"/>
        <v>1.0849979793314473</v>
      </c>
      <c r="AI14" s="130">
        <f t="shared" si="6"/>
        <v>1.0141663298885746</v>
      </c>
      <c r="AJ14" s="107"/>
      <c r="AL14" s="123"/>
      <c r="AM14" s="106" t="s">
        <v>478</v>
      </c>
      <c r="AN14" s="107"/>
      <c r="AO14" s="118"/>
      <c r="AP14" s="15">
        <v>1</v>
      </c>
      <c r="AQ14" s="199">
        <f t="shared" si="7"/>
        <v>1.0141663298885746</v>
      </c>
      <c r="AR14" s="107"/>
      <c r="AS14" s="107"/>
      <c r="AT14" s="123"/>
      <c r="AU14" s="236">
        <f t="shared" si="8"/>
        <v>767.60361340024622</v>
      </c>
      <c r="AV14" s="229">
        <f t="shared" si="9"/>
        <v>9341.7328729360306</v>
      </c>
      <c r="AW14" s="229">
        <f t="shared" si="10"/>
        <v>909.87287293603003</v>
      </c>
      <c r="AX14" s="235"/>
      <c r="AY14" s="101"/>
      <c r="AZ14" s="101"/>
      <c r="BA14" s="101"/>
      <c r="BB14" s="101"/>
      <c r="BC14"/>
      <c r="BD14"/>
      <c r="BE14"/>
    </row>
    <row r="15" spans="1:57" s="106" customFormat="1" ht="12" customHeight="1">
      <c r="A15" s="131" t="str">
        <f t="shared" si="1"/>
        <v>CITYPA-MF3TC-COM</v>
      </c>
      <c r="B15" s="100" t="s">
        <v>380</v>
      </c>
      <c r="C15" s="100" t="s">
        <v>381</v>
      </c>
      <c r="D15" s="184">
        <v>56.85</v>
      </c>
      <c r="E15" s="184">
        <f t="shared" si="2"/>
        <v>56.85</v>
      </c>
      <c r="F15" s="183" t="s">
        <v>161</v>
      </c>
      <c r="G15" s="122"/>
      <c r="H15" s="130">
        <v>1250.7</v>
      </c>
      <c r="I15" s="130">
        <v>568.5</v>
      </c>
      <c r="J15" s="130">
        <v>795.9</v>
      </c>
      <c r="K15" s="130">
        <v>852.75</v>
      </c>
      <c r="L15" s="130">
        <v>739.05</v>
      </c>
      <c r="M15" s="130">
        <v>1137</v>
      </c>
      <c r="N15" s="130">
        <v>1023.3</v>
      </c>
      <c r="O15" s="130">
        <v>739.05</v>
      </c>
      <c r="P15" s="130">
        <v>625.35</v>
      </c>
      <c r="Q15" s="130">
        <v>852.75</v>
      </c>
      <c r="R15" s="130">
        <v>1250.7</v>
      </c>
      <c r="S15" s="130">
        <v>284.25</v>
      </c>
      <c r="T15" s="130">
        <f t="shared" si="3"/>
        <v>10119.300000000001</v>
      </c>
      <c r="U15" s="131">
        <v>33010</v>
      </c>
      <c r="W15" s="130">
        <f t="shared" si="4"/>
        <v>22</v>
      </c>
      <c r="X15" s="130">
        <f t="shared" si="4"/>
        <v>10</v>
      </c>
      <c r="Y15" s="130">
        <f t="shared" si="4"/>
        <v>14</v>
      </c>
      <c r="Z15" s="130">
        <f t="shared" si="4"/>
        <v>15</v>
      </c>
      <c r="AA15" s="130">
        <f t="shared" si="4"/>
        <v>12.999999999999998</v>
      </c>
      <c r="AB15" s="130">
        <f t="shared" si="4"/>
        <v>20</v>
      </c>
      <c r="AC15" s="130">
        <f t="shared" si="4"/>
        <v>18</v>
      </c>
      <c r="AD15" s="130">
        <f t="shared" si="4"/>
        <v>12.999999999999998</v>
      </c>
      <c r="AE15" s="130">
        <f t="shared" si="4"/>
        <v>11</v>
      </c>
      <c r="AF15" s="130">
        <f t="shared" si="4"/>
        <v>15</v>
      </c>
      <c r="AG15" s="130">
        <f t="shared" si="4"/>
        <v>22</v>
      </c>
      <c r="AH15" s="130">
        <f t="shared" si="5"/>
        <v>5</v>
      </c>
      <c r="AI15" s="130">
        <f t="shared" si="6"/>
        <v>14.833333333333334</v>
      </c>
      <c r="AJ15" s="107"/>
      <c r="AL15" s="123"/>
      <c r="AM15" s="106" t="s">
        <v>488</v>
      </c>
      <c r="AN15" s="107"/>
      <c r="AO15" s="118"/>
      <c r="AP15" s="15">
        <v>1</v>
      </c>
      <c r="AQ15" s="199">
        <f t="shared" si="7"/>
        <v>14.833333333333334</v>
      </c>
      <c r="AR15" s="107"/>
      <c r="AS15" s="107"/>
      <c r="AT15" s="123"/>
      <c r="AU15" s="236">
        <f t="shared" si="8"/>
        <v>62.984621877784186</v>
      </c>
      <c r="AV15" s="229">
        <f t="shared" si="9"/>
        <v>11211.262694245586</v>
      </c>
      <c r="AW15" s="229">
        <f t="shared" si="10"/>
        <v>1091.9626942455852</v>
      </c>
      <c r="AX15" s="235"/>
      <c r="AY15" s="101"/>
      <c r="AZ15" s="101"/>
      <c r="BA15" s="101"/>
      <c r="BB15" s="101"/>
      <c r="BC15"/>
      <c r="BD15"/>
      <c r="BE15"/>
    </row>
    <row r="16" spans="1:57" s="106" customFormat="1" ht="12" customHeight="1">
      <c r="A16" s="131" t="str">
        <f t="shared" si="1"/>
        <v>CITYPA-MF4TC-COM</v>
      </c>
      <c r="B16" s="100" t="s">
        <v>370</v>
      </c>
      <c r="C16" s="100" t="s">
        <v>371</v>
      </c>
      <c r="D16" s="184">
        <v>77.709999999999994</v>
      </c>
      <c r="E16" s="184">
        <f t="shared" si="2"/>
        <v>77.709999999999994</v>
      </c>
      <c r="F16" s="183" t="s">
        <v>161</v>
      </c>
      <c r="G16" s="122"/>
      <c r="H16" s="130">
        <v>466.26</v>
      </c>
      <c r="I16" s="130">
        <v>777.1</v>
      </c>
      <c r="J16" s="130">
        <v>777.1</v>
      </c>
      <c r="K16" s="130">
        <v>777.1</v>
      </c>
      <c r="L16" s="130">
        <v>466.26</v>
      </c>
      <c r="M16" s="130">
        <v>777.1</v>
      </c>
      <c r="N16" s="130">
        <v>155.41999999999999</v>
      </c>
      <c r="O16" s="130">
        <v>0</v>
      </c>
      <c r="P16" s="130">
        <v>0</v>
      </c>
      <c r="Q16" s="130">
        <v>466.26</v>
      </c>
      <c r="R16" s="130">
        <v>0</v>
      </c>
      <c r="S16" s="130">
        <v>310.83999999999997</v>
      </c>
      <c r="T16" s="130">
        <f t="shared" si="3"/>
        <v>4973.4399999999996</v>
      </c>
      <c r="U16" s="131">
        <v>33010</v>
      </c>
      <c r="W16" s="130">
        <f t="shared" si="4"/>
        <v>6</v>
      </c>
      <c r="X16" s="130">
        <f t="shared" si="4"/>
        <v>10.000000000000002</v>
      </c>
      <c r="Y16" s="130">
        <f t="shared" si="4"/>
        <v>10.000000000000002</v>
      </c>
      <c r="Z16" s="130">
        <f t="shared" si="4"/>
        <v>10.000000000000002</v>
      </c>
      <c r="AA16" s="130">
        <f t="shared" si="4"/>
        <v>6</v>
      </c>
      <c r="AB16" s="130">
        <f t="shared" si="4"/>
        <v>10.000000000000002</v>
      </c>
      <c r="AC16" s="130">
        <f t="shared" si="4"/>
        <v>2</v>
      </c>
      <c r="AD16" s="130">
        <f t="shared" si="4"/>
        <v>0</v>
      </c>
      <c r="AE16" s="130">
        <f t="shared" si="4"/>
        <v>0</v>
      </c>
      <c r="AF16" s="130">
        <f t="shared" si="4"/>
        <v>6</v>
      </c>
      <c r="AG16" s="130">
        <f t="shared" si="4"/>
        <v>0</v>
      </c>
      <c r="AH16" s="130">
        <f t="shared" si="5"/>
        <v>4</v>
      </c>
      <c r="AI16" s="130">
        <f t="shared" si="6"/>
        <v>7.1111111111111107</v>
      </c>
      <c r="AJ16" s="107"/>
      <c r="AL16" s="123"/>
      <c r="AM16" s="106" t="s">
        <v>478</v>
      </c>
      <c r="AN16" s="107"/>
      <c r="AO16" s="118"/>
      <c r="AP16" s="15">
        <v>1</v>
      </c>
      <c r="AQ16" s="199">
        <f t="shared" si="7"/>
        <v>7.1111111111111107</v>
      </c>
      <c r="AR16" s="107"/>
      <c r="AS16" s="107"/>
      <c r="AT16" s="123"/>
      <c r="AU16" s="236">
        <f t="shared" si="8"/>
        <v>86.095601866712556</v>
      </c>
      <c r="AV16" s="229">
        <f t="shared" si="9"/>
        <v>5510.1185194696036</v>
      </c>
      <c r="AW16" s="229">
        <f t="shared" si="10"/>
        <v>536.678519469604</v>
      </c>
      <c r="AX16" s="235"/>
      <c r="AY16" s="101"/>
      <c r="AZ16" s="101"/>
      <c r="BA16" s="101"/>
      <c r="BB16" s="101"/>
      <c r="BC16"/>
      <c r="BD16"/>
      <c r="BE16"/>
    </row>
    <row r="17" spans="1:57" s="107" customFormat="1" ht="12" customHeight="1">
      <c r="A17" s="106" t="str">
        <f t="shared" si="1"/>
        <v>CITYPA-MCLOCKWKLY</v>
      </c>
      <c r="B17" s="99" t="s">
        <v>261</v>
      </c>
      <c r="C17" s="99" t="s">
        <v>262</v>
      </c>
      <c r="D17" s="184">
        <v>4.8499999999999996</v>
      </c>
      <c r="E17" s="184">
        <f t="shared" si="2"/>
        <v>4.8499999999999996</v>
      </c>
      <c r="F17" s="183" t="s">
        <v>161</v>
      </c>
      <c r="G17" s="122"/>
      <c r="H17" s="120">
        <v>14.55</v>
      </c>
      <c r="I17" s="120">
        <v>14.55</v>
      </c>
      <c r="J17" s="120">
        <v>14.55</v>
      </c>
      <c r="K17" s="120">
        <v>14.55</v>
      </c>
      <c r="L17" s="120">
        <v>14.55</v>
      </c>
      <c r="M17" s="120">
        <v>14.55</v>
      </c>
      <c r="N17" s="120">
        <v>14.55</v>
      </c>
      <c r="O17" s="120">
        <v>14.55</v>
      </c>
      <c r="P17" s="120">
        <v>14.55</v>
      </c>
      <c r="Q17" s="120">
        <v>14.55</v>
      </c>
      <c r="R17" s="120">
        <v>14.55</v>
      </c>
      <c r="S17" s="120">
        <v>14.55</v>
      </c>
      <c r="T17" s="120">
        <f t="shared" si="3"/>
        <v>174.60000000000002</v>
      </c>
      <c r="U17" s="106">
        <v>33011</v>
      </c>
      <c r="V17" s="106"/>
      <c r="W17" s="120">
        <f t="shared" si="4"/>
        <v>3.0000000000000004</v>
      </c>
      <c r="X17" s="120">
        <f t="shared" si="4"/>
        <v>3.0000000000000004</v>
      </c>
      <c r="Y17" s="120">
        <f t="shared" si="4"/>
        <v>3.0000000000000004</v>
      </c>
      <c r="Z17" s="120">
        <f t="shared" si="4"/>
        <v>3.0000000000000004</v>
      </c>
      <c r="AA17" s="120">
        <f t="shared" si="4"/>
        <v>3.0000000000000004</v>
      </c>
      <c r="AB17" s="120">
        <f t="shared" si="4"/>
        <v>3.0000000000000004</v>
      </c>
      <c r="AC17" s="120">
        <f t="shared" si="4"/>
        <v>3.0000000000000004</v>
      </c>
      <c r="AD17" s="120">
        <f t="shared" si="4"/>
        <v>3.0000000000000004</v>
      </c>
      <c r="AE17" s="120">
        <f t="shared" si="4"/>
        <v>3.0000000000000004</v>
      </c>
      <c r="AF17" s="120">
        <f t="shared" si="4"/>
        <v>3.0000000000000004</v>
      </c>
      <c r="AG17" s="120">
        <f t="shared" si="4"/>
        <v>3.0000000000000004</v>
      </c>
      <c r="AH17" s="120">
        <f t="shared" si="5"/>
        <v>3.0000000000000004</v>
      </c>
      <c r="AI17" s="120">
        <f t="shared" si="6"/>
        <v>3.0000000000000004</v>
      </c>
      <c r="AJ17" s="173"/>
      <c r="AL17" s="119"/>
      <c r="AO17" s="118"/>
      <c r="AP17" s="15"/>
      <c r="AQ17" s="136"/>
      <c r="AT17" s="119"/>
      <c r="AU17" s="236">
        <f t="shared" si="8"/>
        <v>5.3733582428716495</v>
      </c>
      <c r="AV17" s="229">
        <f t="shared" si="9"/>
        <v>193.44089674337943</v>
      </c>
      <c r="AW17" s="229">
        <f t="shared" si="10"/>
        <v>18.840896743379403</v>
      </c>
      <c r="AX17" s="235"/>
      <c r="AY17"/>
      <c r="AZ17" s="101"/>
      <c r="BA17" s="101"/>
      <c r="BB17" s="101"/>
      <c r="BC17"/>
      <c r="BD17"/>
      <c r="BE17"/>
    </row>
    <row r="18" spans="1:57" s="107" customFormat="1" ht="12" customHeight="1">
      <c r="A18" s="106" t="str">
        <f t="shared" si="1"/>
        <v>CITYPA-MCGATE</v>
      </c>
      <c r="B18" s="99" t="s">
        <v>257</v>
      </c>
      <c r="C18" s="99" t="s">
        <v>258</v>
      </c>
      <c r="D18" s="184">
        <v>2.5299999999999998</v>
      </c>
      <c r="E18" s="184">
        <f t="shared" si="2"/>
        <v>2.5299999999999998</v>
      </c>
      <c r="F18" s="183">
        <v>19</v>
      </c>
      <c r="G18" s="122"/>
      <c r="H18" s="120">
        <v>2.5299999999999998</v>
      </c>
      <c r="I18" s="120">
        <v>2.5299999999999998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f t="shared" si="3"/>
        <v>5.0599999999999996</v>
      </c>
      <c r="U18" s="106">
        <v>33011</v>
      </c>
      <c r="V18" s="106"/>
      <c r="W18" s="120">
        <f t="shared" si="4"/>
        <v>1</v>
      </c>
      <c r="X18" s="120">
        <f t="shared" si="4"/>
        <v>1</v>
      </c>
      <c r="Y18" s="120">
        <f t="shared" si="4"/>
        <v>0</v>
      </c>
      <c r="Z18" s="120">
        <f t="shared" si="4"/>
        <v>0</v>
      </c>
      <c r="AA18" s="120">
        <f t="shared" si="4"/>
        <v>0</v>
      </c>
      <c r="AB18" s="120">
        <f t="shared" si="4"/>
        <v>0</v>
      </c>
      <c r="AC18" s="120">
        <f t="shared" si="4"/>
        <v>0</v>
      </c>
      <c r="AD18" s="120">
        <f t="shared" si="4"/>
        <v>0</v>
      </c>
      <c r="AE18" s="120">
        <f t="shared" si="4"/>
        <v>0</v>
      </c>
      <c r="AF18" s="120">
        <f t="shared" si="4"/>
        <v>0</v>
      </c>
      <c r="AG18" s="120">
        <f t="shared" si="4"/>
        <v>0</v>
      </c>
      <c r="AH18" s="120">
        <f t="shared" si="5"/>
        <v>0</v>
      </c>
      <c r="AI18" s="120">
        <f t="shared" si="6"/>
        <v>1</v>
      </c>
      <c r="AJ18" s="173"/>
      <c r="AL18" s="119"/>
      <c r="AM18" s="193"/>
      <c r="AP18" s="15"/>
      <c r="AQ18" s="136"/>
      <c r="AT18" s="119"/>
      <c r="AU18" s="236">
        <f t="shared" si="8"/>
        <v>2.8030095576217056</v>
      </c>
      <c r="AV18" s="229">
        <f t="shared" si="9"/>
        <v>5.6060191152434111</v>
      </c>
      <c r="AW18" s="229">
        <f t="shared" si="10"/>
        <v>0.54601911524341151</v>
      </c>
      <c r="AX18" s="235"/>
      <c r="AY18" s="101"/>
      <c r="AZ18" s="101"/>
      <c r="BA18" s="101"/>
      <c r="BB18" s="101"/>
    </row>
    <row r="19" spans="1:57" s="107" customFormat="1" ht="12" customHeight="1" thickBot="1">
      <c r="A19" s="106" t="str">
        <f t="shared" si="1"/>
        <v>CITYPA-MR4YDRENTTD</v>
      </c>
      <c r="B19" s="99" t="s">
        <v>473</v>
      </c>
      <c r="C19" s="99" t="s">
        <v>472</v>
      </c>
      <c r="D19" s="184">
        <v>1.1000000000000001</v>
      </c>
      <c r="E19" s="184">
        <f t="shared" si="2"/>
        <v>1.1000000000000001</v>
      </c>
      <c r="F19" s="183" t="s">
        <v>574</v>
      </c>
      <c r="G19" s="122"/>
      <c r="H19" s="120">
        <v>68.2</v>
      </c>
      <c r="I19" s="120">
        <v>66</v>
      </c>
      <c r="J19" s="120">
        <v>68.2</v>
      </c>
      <c r="K19" s="120">
        <v>66</v>
      </c>
      <c r="L19" s="120">
        <v>68.2</v>
      </c>
      <c r="M19" s="120">
        <v>68.2</v>
      </c>
      <c r="N19" s="120">
        <v>2.2000000000000002</v>
      </c>
      <c r="O19" s="120">
        <v>0</v>
      </c>
      <c r="P19" s="120">
        <v>0</v>
      </c>
      <c r="Q19" s="120">
        <v>61.6</v>
      </c>
      <c r="R19" s="120">
        <v>66</v>
      </c>
      <c r="S19" s="120">
        <v>68.2</v>
      </c>
      <c r="T19" s="120">
        <f t="shared" si="3"/>
        <v>602.79999999999995</v>
      </c>
      <c r="U19" s="106">
        <v>33010</v>
      </c>
      <c r="V19" s="106"/>
      <c r="W19" s="120">
        <f t="shared" ref="W19:AH19" si="11">IFERROR(H19/$D19,0)/30</f>
        <v>2.0666666666666669</v>
      </c>
      <c r="X19" s="120">
        <f t="shared" si="11"/>
        <v>1.9999999999999998</v>
      </c>
      <c r="Y19" s="120">
        <f t="shared" si="11"/>
        <v>2.0666666666666669</v>
      </c>
      <c r="Z19" s="120">
        <f t="shared" si="11"/>
        <v>1.9999999999999998</v>
      </c>
      <c r="AA19" s="120">
        <f t="shared" si="11"/>
        <v>2.0666666666666669</v>
      </c>
      <c r="AB19" s="120">
        <f t="shared" si="11"/>
        <v>2.0666666666666669</v>
      </c>
      <c r="AC19" s="120">
        <f t="shared" si="11"/>
        <v>6.6666666666666666E-2</v>
      </c>
      <c r="AD19" s="120">
        <f t="shared" si="11"/>
        <v>0</v>
      </c>
      <c r="AE19" s="120">
        <f t="shared" si="11"/>
        <v>0</v>
      </c>
      <c r="AF19" s="120">
        <f t="shared" si="11"/>
        <v>1.8666666666666667</v>
      </c>
      <c r="AG19" s="120">
        <f t="shared" si="11"/>
        <v>1.9999999999999998</v>
      </c>
      <c r="AH19" s="120">
        <f t="shared" si="11"/>
        <v>2.0666666666666669</v>
      </c>
      <c r="AI19" s="120">
        <f t="shared" si="6"/>
        <v>1.8266666666666667</v>
      </c>
      <c r="AJ19" s="173"/>
      <c r="AL19" s="119"/>
      <c r="AM19" s="193"/>
      <c r="AP19" s="15"/>
      <c r="AQ19" s="136"/>
      <c r="AT19" s="119"/>
      <c r="AU19" s="236">
        <f t="shared" si="8"/>
        <v>1.2186998076616113</v>
      </c>
      <c r="AV19" s="229">
        <f>+AU19*AVERAGE(W19:AH19)*12*30</f>
        <v>667.847494598563</v>
      </c>
      <c r="AW19" s="229">
        <f t="shared" si="10"/>
        <v>65.047494598563048</v>
      </c>
      <c r="AX19" s="235"/>
      <c r="AY19" s="101"/>
      <c r="AZ19" s="101"/>
      <c r="BA19" s="101"/>
      <c r="BB19" s="101"/>
    </row>
    <row r="20" spans="1:57" s="107" customFormat="1" ht="12" customHeight="1" thickBot="1">
      <c r="B20" s="99"/>
      <c r="C20" s="99"/>
      <c r="D20" s="113"/>
      <c r="E20" s="113"/>
      <c r="F20" s="122"/>
      <c r="G20" s="207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06"/>
      <c r="V20" s="106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02"/>
      <c r="AJ20" s="173"/>
      <c r="AK20" s="210" t="s">
        <v>463</v>
      </c>
      <c r="AL20" s="209">
        <f>AI21</f>
        <v>29.857776466755169</v>
      </c>
      <c r="AM20" s="193"/>
      <c r="AO20" s="118"/>
      <c r="AP20" s="15"/>
      <c r="AQ20" s="136"/>
      <c r="AT20" s="119"/>
      <c r="AU20" s="112"/>
      <c r="AX20" s="235"/>
    </row>
    <row r="21" spans="1:57" s="112" customFormat="1" ht="12" customHeight="1" thickBot="1">
      <c r="B21" s="140"/>
      <c r="C21" s="179" t="s">
        <v>464</v>
      </c>
      <c r="D21" s="179"/>
      <c r="E21" s="179"/>
      <c r="F21" s="116"/>
      <c r="G21" s="208"/>
      <c r="H21" s="178">
        <f t="shared" ref="H21:S21" si="12">SUM(H11:H20)</f>
        <v>5983.0599999999995</v>
      </c>
      <c r="I21" s="178">
        <f t="shared" si="12"/>
        <v>5609.5</v>
      </c>
      <c r="J21" s="178">
        <f t="shared" si="12"/>
        <v>5356.71</v>
      </c>
      <c r="K21" s="178">
        <f t="shared" si="12"/>
        <v>5764.1900000000005</v>
      </c>
      <c r="L21" s="178">
        <f t="shared" si="12"/>
        <v>5459.47</v>
      </c>
      <c r="M21" s="178">
        <f t="shared" si="12"/>
        <v>6168.26</v>
      </c>
      <c r="N21" s="178">
        <f t="shared" si="12"/>
        <v>5366.88</v>
      </c>
      <c r="O21" s="178">
        <f t="shared" si="12"/>
        <v>4925.01</v>
      </c>
      <c r="P21" s="178">
        <f t="shared" si="12"/>
        <v>4811.3100000000004</v>
      </c>
      <c r="Q21" s="178">
        <f t="shared" si="12"/>
        <v>5566.5700000000006</v>
      </c>
      <c r="R21" s="178">
        <f t="shared" si="12"/>
        <v>5561.5499999999993</v>
      </c>
      <c r="S21" s="178">
        <f t="shared" si="12"/>
        <v>4908.1399999999994</v>
      </c>
      <c r="T21" s="178">
        <f>SUM(H21:S21)</f>
        <v>65480.649999999994</v>
      </c>
      <c r="U21" s="117"/>
      <c r="V21" s="117"/>
      <c r="W21" s="197">
        <f t="shared" ref="W21:AI21" si="13">SUM(W11:W16)</f>
        <v>36.020002125624401</v>
      </c>
      <c r="X21" s="197">
        <f t="shared" si="13"/>
        <v>28.020002125624401</v>
      </c>
      <c r="Y21" s="197">
        <f t="shared" si="13"/>
        <v>31</v>
      </c>
      <c r="Z21" s="197">
        <f t="shared" si="13"/>
        <v>32.749984057816988</v>
      </c>
      <c r="AA21" s="197">
        <f t="shared" si="13"/>
        <v>27</v>
      </c>
      <c r="AB21" s="197">
        <f t="shared" si="13"/>
        <v>38</v>
      </c>
      <c r="AC21" s="197">
        <f t="shared" si="13"/>
        <v>28</v>
      </c>
      <c r="AD21" s="197">
        <f t="shared" si="13"/>
        <v>21</v>
      </c>
      <c r="AE21" s="197">
        <f t="shared" si="13"/>
        <v>19</v>
      </c>
      <c r="AF21" s="197">
        <f t="shared" si="13"/>
        <v>29</v>
      </c>
      <c r="AG21" s="197">
        <f t="shared" si="13"/>
        <v>30.084997979331447</v>
      </c>
      <c r="AH21" s="197">
        <f t="shared" si="13"/>
        <v>17.084997979331447</v>
      </c>
      <c r="AI21" s="197">
        <f t="shared" si="13"/>
        <v>29.857776466755169</v>
      </c>
      <c r="AJ21" s="173"/>
      <c r="AL21" s="119"/>
      <c r="AM21" s="193"/>
      <c r="AN21" s="107"/>
      <c r="AO21" s="110">
        <f>SUM(AO6:AO20)</f>
        <v>0</v>
      </c>
      <c r="AP21"/>
      <c r="AQ21" s="110">
        <f>SUM(AQ6:AQ20)</f>
        <v>29.857776466755169</v>
      </c>
      <c r="AR21"/>
      <c r="AS21" s="110">
        <f>SUM(AS6:AS20)</f>
        <v>0</v>
      </c>
      <c r="AT21" s="119"/>
      <c r="AV21" s="233">
        <f ca="1">SUM(AV11:OFFSET(AV21,-1,0))</f>
        <v>72546.595964142994</v>
      </c>
      <c r="AW21" s="233">
        <f ca="1">SUM(AW11:OFFSET(AW21,-1,0))</f>
        <v>7065.9459641429839</v>
      </c>
      <c r="AX21" s="235"/>
      <c r="AY21" s="107"/>
      <c r="AZ21" s="107"/>
      <c r="BA21" s="107"/>
      <c r="BB21" s="107"/>
    </row>
    <row r="22" spans="1:57" s="107" customFormat="1" ht="12" customHeight="1">
      <c r="B22" s="135"/>
      <c r="C22" s="135"/>
      <c r="D22" s="140"/>
      <c r="E22" s="140"/>
      <c r="F22" s="122"/>
      <c r="G22" s="207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06"/>
      <c r="V22" s="106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02"/>
      <c r="AJ22" s="173"/>
      <c r="AL22" s="119"/>
      <c r="AM22" s="193"/>
      <c r="AO22" s="118"/>
      <c r="AP22" s="15"/>
      <c r="AQ22" s="136"/>
      <c r="AT22" s="119"/>
      <c r="AX22" s="235"/>
    </row>
    <row r="23" spans="1:57" ht="12" customHeight="1">
      <c r="B23" s="134" t="s">
        <v>462</v>
      </c>
      <c r="C23" s="134" t="s">
        <v>462</v>
      </c>
      <c r="D23" s="206"/>
      <c r="E23" s="206"/>
      <c r="F23" s="99"/>
      <c r="G23" s="205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6"/>
      <c r="V23" s="99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02"/>
      <c r="AJ23" s="194"/>
      <c r="AM23" s="193"/>
      <c r="AN23" s="107"/>
      <c r="AO23" s="118"/>
      <c r="AP23" s="15"/>
      <c r="AQ23" s="136"/>
      <c r="AR23" s="107"/>
      <c r="AS23" s="107"/>
      <c r="AX23" s="235"/>
      <c r="AY23" s="112"/>
      <c r="AZ23" s="112"/>
      <c r="BA23" s="112"/>
      <c r="BB23" s="112"/>
    </row>
    <row r="24" spans="1:57" ht="12" customHeight="1">
      <c r="B24" s="124"/>
      <c r="C24" s="124"/>
      <c r="D24" s="190"/>
      <c r="E24" s="190"/>
      <c r="F24" s="99"/>
      <c r="G24" s="205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106"/>
      <c r="V24" s="99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02"/>
      <c r="AJ24" s="194"/>
      <c r="AM24" s="193"/>
      <c r="AN24" s="107"/>
      <c r="AO24" s="118"/>
      <c r="AP24" s="15"/>
      <c r="AQ24" s="136"/>
      <c r="AR24" s="107"/>
      <c r="AS24" s="107"/>
      <c r="AU24" s="107"/>
      <c r="AV24" s="107"/>
      <c r="AW24" s="107"/>
      <c r="AX24" s="235"/>
      <c r="AY24" s="107"/>
      <c r="AZ24" s="107"/>
      <c r="BA24" s="107"/>
      <c r="BB24" s="107"/>
    </row>
    <row r="25" spans="1:57" ht="12" customHeight="1">
      <c r="B25" s="109" t="s">
        <v>461</v>
      </c>
      <c r="C25" s="109" t="s">
        <v>461</v>
      </c>
      <c r="D25" s="114"/>
      <c r="E25" s="114"/>
      <c r="F25" s="99"/>
      <c r="G25" s="205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106"/>
      <c r="V25" s="99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02"/>
      <c r="AJ25" s="194"/>
      <c r="AM25" s="193"/>
      <c r="AN25" s="107"/>
      <c r="AO25" s="118"/>
      <c r="AP25" s="15"/>
      <c r="AQ25" s="136"/>
      <c r="AR25" s="107"/>
      <c r="AS25" s="107"/>
      <c r="AU25" s="107"/>
      <c r="AV25" s="107"/>
      <c r="AW25" s="107"/>
      <c r="AX25" s="235"/>
      <c r="AY25" s="107"/>
      <c r="AZ25" s="107"/>
      <c r="BA25" s="107"/>
      <c r="BB25" s="107"/>
    </row>
    <row r="26" spans="1:57" ht="12" customHeight="1">
      <c r="A26" s="106" t="str">
        <f t="shared" ref="A26:A42" si="14">"CITYPA-M"&amp;B26</f>
        <v>CITYPA-MCONNECTFEE</v>
      </c>
      <c r="B26" s="99" t="s">
        <v>460</v>
      </c>
      <c r="C26" s="99" t="s">
        <v>459</v>
      </c>
      <c r="D26" s="184">
        <v>6.02</v>
      </c>
      <c r="E26" s="184">
        <f t="shared" ref="E26:E42" si="15">D26</f>
        <v>6.02</v>
      </c>
      <c r="F26" s="183">
        <v>42</v>
      </c>
      <c r="G26" s="99"/>
      <c r="H26" s="120">
        <v>72.239999999999995</v>
      </c>
      <c r="I26" s="120">
        <v>66.22</v>
      </c>
      <c r="J26" s="120">
        <v>78.260000000000005</v>
      </c>
      <c r="K26" s="120">
        <v>54.18</v>
      </c>
      <c r="L26" s="120">
        <v>66.22</v>
      </c>
      <c r="M26" s="120">
        <v>72.239999999999995</v>
      </c>
      <c r="N26" s="120">
        <v>54.18</v>
      </c>
      <c r="O26" s="120">
        <v>78.260000000000005</v>
      </c>
      <c r="P26" s="120">
        <v>60.2</v>
      </c>
      <c r="Q26" s="120">
        <v>72.239999999999995</v>
      </c>
      <c r="R26" s="120">
        <v>78.260000000000005</v>
      </c>
      <c r="S26" s="120">
        <v>60.2</v>
      </c>
      <c r="T26" s="120">
        <f t="shared" ref="T26:T42" si="16">SUM(H26:S26)</f>
        <v>812.70000000000016</v>
      </c>
      <c r="U26" s="106">
        <v>31010</v>
      </c>
      <c r="V26" s="106"/>
      <c r="W26" s="120">
        <f t="shared" ref="W26:W34" si="17">IFERROR(H26/$D26,0)</f>
        <v>12</v>
      </c>
      <c r="X26" s="120">
        <f t="shared" ref="X26:X34" si="18">IFERROR(I26/$D26,0)</f>
        <v>11</v>
      </c>
      <c r="Y26" s="120">
        <f t="shared" ref="Y26:Y34" si="19">IFERROR(J26/$D26,0)</f>
        <v>13.000000000000002</v>
      </c>
      <c r="Z26" s="120">
        <f t="shared" ref="Z26:Z34" si="20">IFERROR(K26/$D26,0)</f>
        <v>9</v>
      </c>
      <c r="AA26" s="120">
        <f t="shared" ref="AA26:AA34" si="21">IFERROR(L26/$D26,0)</f>
        <v>11</v>
      </c>
      <c r="AB26" s="120">
        <f t="shared" ref="AB26:AB34" si="22">IFERROR(M26/$D26,0)</f>
        <v>12</v>
      </c>
      <c r="AC26" s="120">
        <f t="shared" ref="AC26:AC34" si="23">IFERROR(N26/$D26,0)</f>
        <v>9</v>
      </c>
      <c r="AD26" s="120">
        <f t="shared" ref="AD26:AD34" si="24">IFERROR(O26/$D26,0)</f>
        <v>13.000000000000002</v>
      </c>
      <c r="AE26" s="120">
        <f t="shared" ref="AE26:AE34" si="25">IFERROR(P26/$D26,0)</f>
        <v>10.000000000000002</v>
      </c>
      <c r="AF26" s="120">
        <f t="shared" ref="AF26:AF34" si="26">IFERROR(Q26/$D26,0)</f>
        <v>12</v>
      </c>
      <c r="AG26" s="120">
        <f t="shared" ref="AG26:AG34" si="27">IFERROR(R26/$D26,0)</f>
        <v>13.000000000000002</v>
      </c>
      <c r="AH26" s="120">
        <f t="shared" ref="AH26:AH42" si="28">IFERROR(S26/$E26,0)</f>
        <v>10.000000000000002</v>
      </c>
      <c r="AI26" s="120">
        <f>IFERROR(AVERAGEIF(W26:AH26,"&gt;0"),0)</f>
        <v>11.25</v>
      </c>
      <c r="AJ26" s="194"/>
      <c r="AM26" s="193"/>
      <c r="AN26" s="107"/>
      <c r="AO26" s="118"/>
      <c r="AP26" s="15"/>
      <c r="AQ26" s="136"/>
      <c r="AR26" s="107"/>
      <c r="AS26" s="107"/>
      <c r="AU26" s="236">
        <f>+E26*(1+'[52]Jefferson Reg Price Out'!$BA$3)</f>
        <v>6.6859125339999999</v>
      </c>
      <c r="AV26" s="229">
        <f t="shared" ref="AV26:AV34" si="29">+AU26*AVERAGE(W26:AH26)*12</f>
        <v>902.59819209000011</v>
      </c>
      <c r="AW26" s="229">
        <f t="shared" ref="AW26:AW43" si="30">+AV26-T26</f>
        <v>89.898192089999952</v>
      </c>
      <c r="AX26" s="235"/>
    </row>
    <row r="27" spans="1:57" ht="12" customHeight="1">
      <c r="A27" s="106" t="str">
        <f t="shared" si="14"/>
        <v>CITYPA-MCPHAUL20</v>
      </c>
      <c r="B27" s="203" t="s">
        <v>458</v>
      </c>
      <c r="C27" s="203" t="s">
        <v>457</v>
      </c>
      <c r="D27" s="184">
        <v>144.80000000000001</v>
      </c>
      <c r="E27" s="184">
        <f t="shared" si="15"/>
        <v>144.80000000000001</v>
      </c>
      <c r="F27" s="183">
        <v>42</v>
      </c>
      <c r="G27" s="99"/>
      <c r="H27" s="120">
        <v>289.60000000000002</v>
      </c>
      <c r="I27" s="120">
        <v>434.4</v>
      </c>
      <c r="J27" s="120">
        <v>289.60000000000002</v>
      </c>
      <c r="K27" s="120">
        <v>289.60000000000002</v>
      </c>
      <c r="L27" s="120">
        <v>579.20000000000005</v>
      </c>
      <c r="M27" s="120">
        <v>289.60000000000002</v>
      </c>
      <c r="N27" s="120">
        <v>289.60000000000002</v>
      </c>
      <c r="O27" s="120">
        <v>434.4</v>
      </c>
      <c r="P27" s="120">
        <v>289.60000000000002</v>
      </c>
      <c r="Q27" s="120">
        <v>434.4</v>
      </c>
      <c r="R27" s="120">
        <v>434.4</v>
      </c>
      <c r="S27" s="120">
        <v>434.4</v>
      </c>
      <c r="T27" s="202">
        <f t="shared" si="16"/>
        <v>4488.8</v>
      </c>
      <c r="U27" s="181">
        <v>31000</v>
      </c>
      <c r="V27" s="181"/>
      <c r="W27" s="202">
        <f t="shared" si="17"/>
        <v>2</v>
      </c>
      <c r="X27" s="202">
        <f t="shared" si="18"/>
        <v>2.9999999999999996</v>
      </c>
      <c r="Y27" s="202">
        <f t="shared" si="19"/>
        <v>2</v>
      </c>
      <c r="Z27" s="202">
        <f t="shared" si="20"/>
        <v>2</v>
      </c>
      <c r="AA27" s="202">
        <f t="shared" si="21"/>
        <v>4</v>
      </c>
      <c r="AB27" s="202">
        <f t="shared" si="22"/>
        <v>2</v>
      </c>
      <c r="AC27" s="202">
        <f t="shared" si="23"/>
        <v>2</v>
      </c>
      <c r="AD27" s="202">
        <f t="shared" si="24"/>
        <v>2.9999999999999996</v>
      </c>
      <c r="AE27" s="202">
        <f t="shared" si="25"/>
        <v>2</v>
      </c>
      <c r="AF27" s="202">
        <f t="shared" si="26"/>
        <v>2.9999999999999996</v>
      </c>
      <c r="AG27" s="202">
        <f t="shared" si="27"/>
        <v>2.9999999999999996</v>
      </c>
      <c r="AH27" s="202">
        <f t="shared" si="28"/>
        <v>2.9999999999999996</v>
      </c>
      <c r="AI27" s="202">
        <v>3</v>
      </c>
      <c r="AJ27" s="194"/>
      <c r="AM27" s="101" t="s">
        <v>456</v>
      </c>
      <c r="AN27" s="107"/>
      <c r="AO27" s="118"/>
      <c r="AP27" s="15"/>
      <c r="AQ27" s="136"/>
      <c r="AR27" s="107"/>
      <c r="AS27" s="107"/>
      <c r="AU27" s="236">
        <f>+E27*(1+'[52]Jefferson Reg Price Out'!$BA$3)</f>
        <v>160.81729816000001</v>
      </c>
      <c r="AV27" s="229">
        <f t="shared" si="29"/>
        <v>4985.3362429600002</v>
      </c>
      <c r="AW27" s="229">
        <f t="shared" si="30"/>
        <v>496.53624295999998</v>
      </c>
      <c r="AX27" s="235"/>
    </row>
    <row r="28" spans="1:57" ht="12" customHeight="1">
      <c r="A28" s="106" t="str">
        <f t="shared" si="14"/>
        <v>CITYPA-MCPHAUL30</v>
      </c>
      <c r="B28" s="203" t="s">
        <v>455</v>
      </c>
      <c r="C28" s="203" t="s">
        <v>454</v>
      </c>
      <c r="D28" s="184">
        <v>206.82</v>
      </c>
      <c r="E28" s="184">
        <f t="shared" si="15"/>
        <v>206.82</v>
      </c>
      <c r="F28" s="183">
        <v>42</v>
      </c>
      <c r="G28" s="99"/>
      <c r="H28" s="120">
        <v>1240.92</v>
      </c>
      <c r="I28" s="120">
        <v>1034.0999999999999</v>
      </c>
      <c r="J28" s="120">
        <v>1240.92</v>
      </c>
      <c r="K28" s="120">
        <v>827.28</v>
      </c>
      <c r="L28" s="120">
        <v>1034.0999999999999</v>
      </c>
      <c r="M28" s="120">
        <v>1240.92</v>
      </c>
      <c r="N28" s="120">
        <v>827.28</v>
      </c>
      <c r="O28" s="120">
        <v>1034.0999999999999</v>
      </c>
      <c r="P28" s="120">
        <v>1034.0999999999999</v>
      </c>
      <c r="Q28" s="120">
        <v>1034.0999999999999</v>
      </c>
      <c r="R28" s="120">
        <v>1034.0999999999999</v>
      </c>
      <c r="S28" s="120">
        <v>827.28</v>
      </c>
      <c r="T28" s="202">
        <f t="shared" si="16"/>
        <v>12409.2</v>
      </c>
      <c r="U28" s="181">
        <v>31000</v>
      </c>
      <c r="V28" s="181"/>
      <c r="W28" s="202">
        <f t="shared" si="17"/>
        <v>6.0000000000000009</v>
      </c>
      <c r="X28" s="202">
        <f t="shared" si="18"/>
        <v>5</v>
      </c>
      <c r="Y28" s="202">
        <f t="shared" si="19"/>
        <v>6.0000000000000009</v>
      </c>
      <c r="Z28" s="202">
        <f t="shared" si="20"/>
        <v>4</v>
      </c>
      <c r="AA28" s="202">
        <f t="shared" si="21"/>
        <v>5</v>
      </c>
      <c r="AB28" s="202">
        <f t="shared" si="22"/>
        <v>6.0000000000000009</v>
      </c>
      <c r="AC28" s="202">
        <f t="shared" si="23"/>
        <v>4</v>
      </c>
      <c r="AD28" s="202">
        <f t="shared" si="24"/>
        <v>5</v>
      </c>
      <c r="AE28" s="202">
        <f t="shared" si="25"/>
        <v>5</v>
      </c>
      <c r="AF28" s="202">
        <f t="shared" si="26"/>
        <v>5</v>
      </c>
      <c r="AG28" s="202">
        <f t="shared" si="27"/>
        <v>5</v>
      </c>
      <c r="AH28" s="202">
        <f t="shared" si="28"/>
        <v>4</v>
      </c>
      <c r="AI28" s="202">
        <v>3</v>
      </c>
      <c r="AJ28" s="194"/>
      <c r="AM28" s="101" t="s">
        <v>453</v>
      </c>
      <c r="AN28" s="107"/>
      <c r="AO28" s="118"/>
      <c r="AP28" s="15"/>
      <c r="AQ28" s="136"/>
      <c r="AR28" s="107">
        <v>0</v>
      </c>
      <c r="AS28" s="199">
        <f>AR28*AI28</f>
        <v>0</v>
      </c>
      <c r="AU28" s="236">
        <f>+E28*(1+'[52]Jefferson Reg Price Out'!$BA$3)</f>
        <v>229.69774589400001</v>
      </c>
      <c r="AV28" s="229">
        <f t="shared" si="29"/>
        <v>13781.864753639999</v>
      </c>
      <c r="AW28" s="229">
        <f t="shared" si="30"/>
        <v>1372.6647536399978</v>
      </c>
      <c r="AX28" s="235"/>
    </row>
    <row r="29" spans="1:57" ht="12" customHeight="1">
      <c r="A29" s="106" t="str">
        <f t="shared" si="14"/>
        <v>CITYPA-MRODEL</v>
      </c>
      <c r="B29" s="99" t="s">
        <v>452</v>
      </c>
      <c r="C29" s="99" t="s">
        <v>451</v>
      </c>
      <c r="D29" s="184">
        <v>166.66</v>
      </c>
      <c r="E29" s="184">
        <f t="shared" si="15"/>
        <v>166.66</v>
      </c>
      <c r="F29" s="183">
        <v>39</v>
      </c>
      <c r="G29" s="99"/>
      <c r="H29" s="120">
        <v>999.96</v>
      </c>
      <c r="I29" s="120">
        <v>833.3</v>
      </c>
      <c r="J29" s="120">
        <v>666.64</v>
      </c>
      <c r="K29" s="120">
        <v>333.32</v>
      </c>
      <c r="L29" s="120">
        <v>333.32</v>
      </c>
      <c r="M29" s="120">
        <v>499.98</v>
      </c>
      <c r="N29" s="120">
        <v>666.64</v>
      </c>
      <c r="O29" s="120">
        <v>499.98</v>
      </c>
      <c r="P29" s="120">
        <v>333.32</v>
      </c>
      <c r="Q29" s="120">
        <v>499.98</v>
      </c>
      <c r="R29" s="120">
        <v>333.32</v>
      </c>
      <c r="S29" s="120">
        <v>833.3</v>
      </c>
      <c r="T29" s="120">
        <f t="shared" si="16"/>
        <v>6833.06</v>
      </c>
      <c r="U29" s="106">
        <v>31010</v>
      </c>
      <c r="V29" s="99"/>
      <c r="W29" s="120">
        <f t="shared" si="17"/>
        <v>6</v>
      </c>
      <c r="X29" s="120">
        <f t="shared" si="18"/>
        <v>5</v>
      </c>
      <c r="Y29" s="120">
        <f t="shared" si="19"/>
        <v>4</v>
      </c>
      <c r="Z29" s="120">
        <f t="shared" si="20"/>
        <v>2</v>
      </c>
      <c r="AA29" s="120">
        <f t="shared" si="21"/>
        <v>2</v>
      </c>
      <c r="AB29" s="120">
        <f t="shared" si="22"/>
        <v>3</v>
      </c>
      <c r="AC29" s="120">
        <f t="shared" si="23"/>
        <v>4</v>
      </c>
      <c r="AD29" s="120">
        <f t="shared" si="24"/>
        <v>3</v>
      </c>
      <c r="AE29" s="120">
        <f t="shared" si="25"/>
        <v>2</v>
      </c>
      <c r="AF29" s="120">
        <f t="shared" si="26"/>
        <v>3</v>
      </c>
      <c r="AG29" s="120">
        <f t="shared" si="27"/>
        <v>2</v>
      </c>
      <c r="AH29" s="120">
        <f t="shared" si="28"/>
        <v>5</v>
      </c>
      <c r="AI29" s="120">
        <f t="shared" ref="AI29:AI39" si="31">IFERROR(AVERAGEIF(W29:AH29,"&gt;0"),0)</f>
        <v>3.4166666666666665</v>
      </c>
      <c r="AJ29" s="194"/>
      <c r="AM29" s="193"/>
      <c r="AN29" s="107"/>
      <c r="AO29" s="107"/>
      <c r="AP29" s="15"/>
      <c r="AQ29" s="136"/>
      <c r="AR29" s="107"/>
      <c r="AS29" s="107"/>
      <c r="AU29" s="236">
        <f>+E29*(1+'[52]Jefferson Reg Price Out'!$BA$3)</f>
        <v>185.09537922199999</v>
      </c>
      <c r="AV29" s="229">
        <f t="shared" si="29"/>
        <v>7588.9105481019997</v>
      </c>
      <c r="AW29" s="229">
        <f t="shared" si="30"/>
        <v>755.85054810199927</v>
      </c>
      <c r="AX29" s="235"/>
    </row>
    <row r="30" spans="1:57" ht="12" customHeight="1">
      <c r="A30" s="106" t="str">
        <f t="shared" si="14"/>
        <v>CITYPA-MROHAUL20</v>
      </c>
      <c r="B30" s="99" t="s">
        <v>450</v>
      </c>
      <c r="C30" s="99" t="s">
        <v>449</v>
      </c>
      <c r="D30" s="184">
        <v>106.78</v>
      </c>
      <c r="E30" s="184">
        <f t="shared" si="15"/>
        <v>106.78</v>
      </c>
      <c r="F30" s="183">
        <v>39</v>
      </c>
      <c r="G30" s="99"/>
      <c r="H30" s="120">
        <v>1708.48</v>
      </c>
      <c r="I30" s="120">
        <v>1281.3599999999999</v>
      </c>
      <c r="J30" s="120">
        <v>1388.14</v>
      </c>
      <c r="K30" s="120">
        <v>1388.14</v>
      </c>
      <c r="L30" s="120">
        <v>1388.14</v>
      </c>
      <c r="M30" s="120">
        <v>961.02</v>
      </c>
      <c r="N30" s="120">
        <v>961.02</v>
      </c>
      <c r="O30" s="120">
        <v>961.02</v>
      </c>
      <c r="P30" s="120">
        <v>427.12</v>
      </c>
      <c r="Q30" s="120">
        <v>320.33999999999997</v>
      </c>
      <c r="R30" s="120">
        <v>640.67999999999995</v>
      </c>
      <c r="S30" s="120">
        <v>320.33999999999997</v>
      </c>
      <c r="T30" s="120">
        <f t="shared" si="16"/>
        <v>11745.800000000003</v>
      </c>
      <c r="U30" s="106">
        <v>31000</v>
      </c>
      <c r="V30" s="99"/>
      <c r="W30" s="120">
        <f t="shared" si="17"/>
        <v>16</v>
      </c>
      <c r="X30" s="120">
        <f t="shared" si="18"/>
        <v>11.999999999999998</v>
      </c>
      <c r="Y30" s="120">
        <f t="shared" si="19"/>
        <v>13</v>
      </c>
      <c r="Z30" s="120">
        <f t="shared" si="20"/>
        <v>13</v>
      </c>
      <c r="AA30" s="120">
        <f t="shared" si="21"/>
        <v>13</v>
      </c>
      <c r="AB30" s="120">
        <f t="shared" si="22"/>
        <v>9</v>
      </c>
      <c r="AC30" s="120">
        <f t="shared" si="23"/>
        <v>9</v>
      </c>
      <c r="AD30" s="120">
        <f t="shared" si="24"/>
        <v>9</v>
      </c>
      <c r="AE30" s="120">
        <f t="shared" si="25"/>
        <v>4</v>
      </c>
      <c r="AF30" s="120">
        <f t="shared" si="26"/>
        <v>2.9999999999999996</v>
      </c>
      <c r="AG30" s="120">
        <f t="shared" si="27"/>
        <v>5.9999999999999991</v>
      </c>
      <c r="AH30" s="120">
        <f t="shared" si="28"/>
        <v>2.9999999999999996</v>
      </c>
      <c r="AI30" s="120">
        <f t="shared" si="31"/>
        <v>9.1666666666666661</v>
      </c>
      <c r="AJ30" s="194"/>
      <c r="AM30" s="193"/>
      <c r="AN30" s="107"/>
      <c r="AO30" s="107"/>
      <c r="AP30" s="15"/>
      <c r="AQ30" s="136"/>
      <c r="AR30" s="107"/>
      <c r="AS30" s="107"/>
      <c r="AU30" s="236">
        <f>+E30*(1+'[52]Jefferson Reg Price Out'!$BA$3)</f>
        <v>118.591651226</v>
      </c>
      <c r="AV30" s="229">
        <f t="shared" si="29"/>
        <v>13045.081634859998</v>
      </c>
      <c r="AW30" s="229">
        <f t="shared" si="30"/>
        <v>1299.2816348599954</v>
      </c>
      <c r="AX30" s="235"/>
    </row>
    <row r="31" spans="1:57" ht="12" customHeight="1">
      <c r="A31" s="106" t="str">
        <f t="shared" si="14"/>
        <v>CITYPA-MROHAUL20T</v>
      </c>
      <c r="B31" s="99" t="s">
        <v>448</v>
      </c>
      <c r="C31" s="99" t="s">
        <v>447</v>
      </c>
      <c r="D31" s="184">
        <v>153.33000000000001</v>
      </c>
      <c r="E31" s="184">
        <f t="shared" si="15"/>
        <v>153.33000000000001</v>
      </c>
      <c r="F31" s="183">
        <v>39</v>
      </c>
      <c r="G31" s="99"/>
      <c r="H31" s="120">
        <v>919.98</v>
      </c>
      <c r="I31" s="120">
        <v>306.66000000000003</v>
      </c>
      <c r="J31" s="120">
        <v>766.65</v>
      </c>
      <c r="K31" s="120">
        <v>459.99</v>
      </c>
      <c r="L31" s="120">
        <v>0</v>
      </c>
      <c r="M31" s="120">
        <v>0</v>
      </c>
      <c r="N31" s="120">
        <v>153.33000000000001</v>
      </c>
      <c r="O31" s="120">
        <v>306.66000000000003</v>
      </c>
      <c r="P31" s="120">
        <v>0</v>
      </c>
      <c r="Q31" s="120">
        <v>306.66000000000003</v>
      </c>
      <c r="R31" s="120">
        <v>459.99</v>
      </c>
      <c r="S31" s="120">
        <v>306.66000000000003</v>
      </c>
      <c r="T31" s="120">
        <f t="shared" si="16"/>
        <v>3986.579999999999</v>
      </c>
      <c r="U31" s="106">
        <v>31000</v>
      </c>
      <c r="V31" s="99"/>
      <c r="W31" s="120">
        <f t="shared" si="17"/>
        <v>6</v>
      </c>
      <c r="X31" s="120">
        <f t="shared" si="18"/>
        <v>2</v>
      </c>
      <c r="Y31" s="120">
        <f t="shared" si="19"/>
        <v>4.9999999999999991</v>
      </c>
      <c r="Z31" s="120">
        <f t="shared" si="20"/>
        <v>3</v>
      </c>
      <c r="AA31" s="120">
        <f t="shared" si="21"/>
        <v>0</v>
      </c>
      <c r="AB31" s="120">
        <f t="shared" si="22"/>
        <v>0</v>
      </c>
      <c r="AC31" s="120">
        <f t="shared" si="23"/>
        <v>1</v>
      </c>
      <c r="AD31" s="120">
        <f t="shared" si="24"/>
        <v>2</v>
      </c>
      <c r="AE31" s="120">
        <f t="shared" si="25"/>
        <v>0</v>
      </c>
      <c r="AF31" s="120">
        <f t="shared" si="26"/>
        <v>2</v>
      </c>
      <c r="AG31" s="120">
        <f t="shared" si="27"/>
        <v>3</v>
      </c>
      <c r="AH31" s="120">
        <f t="shared" si="28"/>
        <v>2</v>
      </c>
      <c r="AI31" s="120">
        <f t="shared" si="31"/>
        <v>2.8888888888888888</v>
      </c>
      <c r="AJ31" s="194"/>
      <c r="AM31" s="193"/>
      <c r="AN31" s="107"/>
      <c r="AO31" s="107"/>
      <c r="AP31" s="15"/>
      <c r="AQ31" s="136"/>
      <c r="AR31" s="107"/>
      <c r="AS31" s="107"/>
      <c r="AU31" s="236">
        <f>+E31*(1+'[52]Jefferson Reg Price Out'!$BA$3)</f>
        <v>170.290858611</v>
      </c>
      <c r="AV31" s="229">
        <f t="shared" si="29"/>
        <v>4427.5623238859998</v>
      </c>
      <c r="AW31" s="229">
        <f t="shared" si="30"/>
        <v>440.98232388600081</v>
      </c>
      <c r="AX31" s="235"/>
    </row>
    <row r="32" spans="1:57" ht="12" customHeight="1">
      <c r="A32" s="106" t="str">
        <f t="shared" si="14"/>
        <v>CITYPA-MROHAUL30</v>
      </c>
      <c r="B32" s="99" t="s">
        <v>446</v>
      </c>
      <c r="C32" s="99" t="s">
        <v>445</v>
      </c>
      <c r="D32" s="184">
        <v>113.41</v>
      </c>
      <c r="E32" s="184">
        <f t="shared" si="15"/>
        <v>113.41</v>
      </c>
      <c r="F32" s="183">
        <v>39</v>
      </c>
      <c r="G32" s="99"/>
      <c r="H32" s="120">
        <v>1927.97</v>
      </c>
      <c r="I32" s="120">
        <v>1814.56</v>
      </c>
      <c r="J32" s="120">
        <v>1927.97</v>
      </c>
      <c r="K32" s="120">
        <v>1474.33</v>
      </c>
      <c r="L32" s="120">
        <v>1927.97</v>
      </c>
      <c r="M32" s="120">
        <v>2268.1999999999998</v>
      </c>
      <c r="N32" s="120">
        <v>2154.79</v>
      </c>
      <c r="O32" s="120">
        <v>3062.07</v>
      </c>
      <c r="P32" s="120">
        <v>2608.4299999999998</v>
      </c>
      <c r="Q32" s="120">
        <v>3175.48</v>
      </c>
      <c r="R32" s="120">
        <v>2835.25</v>
      </c>
      <c r="S32" s="120">
        <v>1927.97</v>
      </c>
      <c r="T32" s="120">
        <f t="shared" si="16"/>
        <v>27104.99</v>
      </c>
      <c r="U32" s="106">
        <v>31000</v>
      </c>
      <c r="V32" s="99"/>
      <c r="W32" s="120">
        <f t="shared" si="17"/>
        <v>17</v>
      </c>
      <c r="X32" s="120">
        <f t="shared" si="18"/>
        <v>16</v>
      </c>
      <c r="Y32" s="120">
        <f t="shared" si="19"/>
        <v>17</v>
      </c>
      <c r="Z32" s="120">
        <f t="shared" si="20"/>
        <v>13</v>
      </c>
      <c r="AA32" s="120">
        <f t="shared" si="21"/>
        <v>17</v>
      </c>
      <c r="AB32" s="120">
        <f t="shared" si="22"/>
        <v>20</v>
      </c>
      <c r="AC32" s="120">
        <f t="shared" si="23"/>
        <v>19</v>
      </c>
      <c r="AD32" s="120">
        <f t="shared" si="24"/>
        <v>27.000000000000004</v>
      </c>
      <c r="AE32" s="120">
        <f t="shared" si="25"/>
        <v>23</v>
      </c>
      <c r="AF32" s="120">
        <f t="shared" si="26"/>
        <v>28</v>
      </c>
      <c r="AG32" s="120">
        <f t="shared" si="27"/>
        <v>25</v>
      </c>
      <c r="AH32" s="120">
        <f t="shared" si="28"/>
        <v>17</v>
      </c>
      <c r="AI32" s="120">
        <f t="shared" si="31"/>
        <v>19.916666666666668</v>
      </c>
      <c r="AJ32" s="194"/>
      <c r="AM32" s="193"/>
      <c r="AN32" s="107"/>
      <c r="AO32" s="107"/>
      <c r="AP32" s="15"/>
      <c r="AQ32" s="136"/>
      <c r="AR32" s="107"/>
      <c r="AS32" s="107"/>
      <c r="AU32" s="236">
        <f>+E32*(1+'[52]Jefferson Reg Price Out'!$BA$3)</f>
        <v>125.955039947</v>
      </c>
      <c r="AV32" s="229">
        <f t="shared" si="29"/>
        <v>30103.254547333003</v>
      </c>
      <c r="AW32" s="229">
        <f t="shared" si="30"/>
        <v>2998.2645473330012</v>
      </c>
      <c r="AX32" s="235"/>
    </row>
    <row r="33" spans="1:54" ht="12" customHeight="1">
      <c r="A33" s="106" t="str">
        <f t="shared" si="14"/>
        <v>CITYPA-MROHAUL30T</v>
      </c>
      <c r="B33" s="99" t="s">
        <v>444</v>
      </c>
      <c r="C33" s="99" t="s">
        <v>443</v>
      </c>
      <c r="D33" s="184">
        <v>242.07</v>
      </c>
      <c r="E33" s="184">
        <f t="shared" si="15"/>
        <v>242.07</v>
      </c>
      <c r="F33" s="183">
        <v>39</v>
      </c>
      <c r="G33" s="99"/>
      <c r="H33" s="120">
        <v>3631.05</v>
      </c>
      <c r="I33" s="120">
        <v>968.28</v>
      </c>
      <c r="J33" s="120">
        <v>1452.42</v>
      </c>
      <c r="K33" s="120">
        <v>484.14</v>
      </c>
      <c r="L33" s="120">
        <v>484.14</v>
      </c>
      <c r="M33" s="120">
        <v>968.28</v>
      </c>
      <c r="N33" s="120">
        <v>2662.77</v>
      </c>
      <c r="O33" s="120">
        <v>1452.42</v>
      </c>
      <c r="P33" s="120">
        <v>1694.49</v>
      </c>
      <c r="Q33" s="120">
        <v>1936.56</v>
      </c>
      <c r="R33" s="120">
        <v>0</v>
      </c>
      <c r="S33" s="120">
        <v>726.21</v>
      </c>
      <c r="T33" s="120">
        <f t="shared" si="16"/>
        <v>16460.759999999998</v>
      </c>
      <c r="U33" s="106">
        <v>31000</v>
      </c>
      <c r="V33" s="99"/>
      <c r="W33" s="120">
        <f t="shared" si="17"/>
        <v>15.000000000000002</v>
      </c>
      <c r="X33" s="120">
        <f t="shared" si="18"/>
        <v>4</v>
      </c>
      <c r="Y33" s="120">
        <f t="shared" si="19"/>
        <v>6.0000000000000009</v>
      </c>
      <c r="Z33" s="120">
        <f t="shared" si="20"/>
        <v>2</v>
      </c>
      <c r="AA33" s="120">
        <f t="shared" si="21"/>
        <v>2</v>
      </c>
      <c r="AB33" s="120">
        <f t="shared" si="22"/>
        <v>4</v>
      </c>
      <c r="AC33" s="120">
        <f t="shared" si="23"/>
        <v>11</v>
      </c>
      <c r="AD33" s="120">
        <f t="shared" si="24"/>
        <v>6.0000000000000009</v>
      </c>
      <c r="AE33" s="120">
        <f t="shared" si="25"/>
        <v>7</v>
      </c>
      <c r="AF33" s="120">
        <f t="shared" si="26"/>
        <v>8</v>
      </c>
      <c r="AG33" s="120">
        <f t="shared" si="27"/>
        <v>0</v>
      </c>
      <c r="AH33" s="120">
        <f t="shared" si="28"/>
        <v>3.0000000000000004</v>
      </c>
      <c r="AI33" s="120">
        <f t="shared" si="31"/>
        <v>6.1818181818181817</v>
      </c>
      <c r="AJ33" s="194"/>
      <c r="AM33" s="193"/>
      <c r="AN33" s="107"/>
      <c r="AO33" s="118"/>
      <c r="AP33" s="15"/>
      <c r="AQ33" s="136"/>
      <c r="AR33" s="107"/>
      <c r="AS33" s="107"/>
      <c r="AU33" s="236">
        <f>+E33*(1+'[52]Jefferson Reg Price Out'!$BA$3)</f>
        <v>268.84698456899997</v>
      </c>
      <c r="AV33" s="229">
        <f t="shared" si="29"/>
        <v>18281.594950692001</v>
      </c>
      <c r="AW33" s="229">
        <f t="shared" si="30"/>
        <v>1820.8349506920022</v>
      </c>
      <c r="AX33" s="235"/>
    </row>
    <row r="34" spans="1:54" ht="12" customHeight="1">
      <c r="A34" s="106" t="str">
        <f t="shared" si="14"/>
        <v>CITYPA-MRORELOCATE</v>
      </c>
      <c r="B34" s="99" t="s">
        <v>265</v>
      </c>
      <c r="C34" s="99" t="s">
        <v>266</v>
      </c>
      <c r="D34" s="184">
        <v>122.34</v>
      </c>
      <c r="E34" s="184">
        <f t="shared" si="15"/>
        <v>122.34</v>
      </c>
      <c r="F34" s="183">
        <v>17</v>
      </c>
      <c r="G34" s="99"/>
      <c r="H34" s="120">
        <v>0</v>
      </c>
      <c r="I34" s="120">
        <v>0</v>
      </c>
      <c r="J34" s="120">
        <v>367.02</v>
      </c>
      <c r="K34" s="120">
        <v>0</v>
      </c>
      <c r="L34" s="120">
        <v>0</v>
      </c>
      <c r="M34" s="120">
        <v>0</v>
      </c>
      <c r="N34" s="120">
        <v>122.34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f t="shared" si="16"/>
        <v>489.36</v>
      </c>
      <c r="U34" s="106">
        <v>31010</v>
      </c>
      <c r="V34" s="99"/>
      <c r="W34" s="120">
        <f t="shared" si="17"/>
        <v>0</v>
      </c>
      <c r="X34" s="120">
        <f t="shared" si="18"/>
        <v>0</v>
      </c>
      <c r="Y34" s="120">
        <f t="shared" si="19"/>
        <v>2.9999999999999996</v>
      </c>
      <c r="Z34" s="120">
        <f t="shared" si="20"/>
        <v>0</v>
      </c>
      <c r="AA34" s="120">
        <f t="shared" si="21"/>
        <v>0</v>
      </c>
      <c r="AB34" s="120">
        <f t="shared" si="22"/>
        <v>0</v>
      </c>
      <c r="AC34" s="120">
        <f t="shared" si="23"/>
        <v>1</v>
      </c>
      <c r="AD34" s="120">
        <f t="shared" si="24"/>
        <v>0</v>
      </c>
      <c r="AE34" s="120">
        <f t="shared" si="25"/>
        <v>0</v>
      </c>
      <c r="AF34" s="120">
        <f t="shared" si="26"/>
        <v>0</v>
      </c>
      <c r="AG34" s="120">
        <f t="shared" si="27"/>
        <v>0</v>
      </c>
      <c r="AH34" s="120">
        <f t="shared" si="28"/>
        <v>0</v>
      </c>
      <c r="AI34" s="120">
        <f t="shared" si="31"/>
        <v>1.9999999999999998</v>
      </c>
      <c r="AJ34" s="194"/>
      <c r="AM34" s="193"/>
      <c r="AN34" s="107"/>
      <c r="AO34" s="107"/>
      <c r="AP34" s="15"/>
      <c r="AQ34" s="136"/>
      <c r="AR34" s="107"/>
      <c r="AS34" s="107"/>
      <c r="AU34" s="236">
        <f>+E34*(1+'[52]Jefferson Reg Price Out'!$BA$3)</f>
        <v>135.87284707800001</v>
      </c>
      <c r="AV34" s="229">
        <f t="shared" si="29"/>
        <v>543.49138831200003</v>
      </c>
      <c r="AW34" s="229">
        <f t="shared" si="30"/>
        <v>54.131388312000013</v>
      </c>
      <c r="AX34" s="235"/>
    </row>
    <row r="35" spans="1:54" s="106" customFormat="1" ht="12" customHeight="1">
      <c r="A35" s="131" t="str">
        <f t="shared" si="14"/>
        <v>CITYPA-MRORENT20D</v>
      </c>
      <c r="B35" s="100" t="s">
        <v>438</v>
      </c>
      <c r="C35" s="100" t="s">
        <v>437</v>
      </c>
      <c r="D35" s="184">
        <v>9.6</v>
      </c>
      <c r="E35" s="184">
        <f t="shared" si="15"/>
        <v>9.6</v>
      </c>
      <c r="F35" s="183">
        <v>39</v>
      </c>
      <c r="G35" s="122"/>
      <c r="H35" s="130">
        <v>806.4</v>
      </c>
      <c r="I35" s="130">
        <v>1401.6</v>
      </c>
      <c r="J35" s="130">
        <v>816</v>
      </c>
      <c r="K35" s="130">
        <v>672</v>
      </c>
      <c r="L35" s="130">
        <v>297.60000000000002</v>
      </c>
      <c r="M35" s="130">
        <v>297.60000000000002</v>
      </c>
      <c r="N35" s="130">
        <v>28.8</v>
      </c>
      <c r="O35" s="130">
        <v>345.6</v>
      </c>
      <c r="P35" s="130">
        <v>288</v>
      </c>
      <c r="Q35" s="130">
        <v>710.4</v>
      </c>
      <c r="R35" s="130">
        <v>211.2</v>
      </c>
      <c r="S35" s="130">
        <v>268.8</v>
      </c>
      <c r="T35" s="130">
        <f t="shared" si="16"/>
        <v>6144</v>
      </c>
      <c r="U35" s="131">
        <v>31002</v>
      </c>
      <c r="W35" s="130">
        <f t="shared" ref="W35:AG35" si="32">IFERROR(H35/($D35*30),0)</f>
        <v>2.8</v>
      </c>
      <c r="X35" s="130">
        <f t="shared" si="32"/>
        <v>4.8666666666666663</v>
      </c>
      <c r="Y35" s="130">
        <f t="shared" si="32"/>
        <v>2.8333333333333335</v>
      </c>
      <c r="Z35" s="130">
        <f t="shared" si="32"/>
        <v>2.3333333333333335</v>
      </c>
      <c r="AA35" s="130">
        <f t="shared" si="32"/>
        <v>1.0333333333333334</v>
      </c>
      <c r="AB35" s="130">
        <f t="shared" si="32"/>
        <v>1.0333333333333334</v>
      </c>
      <c r="AC35" s="130">
        <f t="shared" si="32"/>
        <v>0.1</v>
      </c>
      <c r="AD35" s="130">
        <f t="shared" si="32"/>
        <v>1.2000000000000002</v>
      </c>
      <c r="AE35" s="130">
        <f t="shared" si="32"/>
        <v>1</v>
      </c>
      <c r="AF35" s="130">
        <f t="shared" si="32"/>
        <v>2.4666666666666668</v>
      </c>
      <c r="AG35" s="130">
        <f t="shared" si="32"/>
        <v>0.73333333333333328</v>
      </c>
      <c r="AH35" s="130">
        <f t="shared" si="28"/>
        <v>28.000000000000004</v>
      </c>
      <c r="AI35" s="130">
        <f t="shared" si="31"/>
        <v>4.0333333333333341</v>
      </c>
      <c r="AJ35" s="194"/>
      <c r="AL35" s="123"/>
      <c r="AM35" s="106" t="s">
        <v>434</v>
      </c>
      <c r="AN35" s="107"/>
      <c r="AO35" s="107"/>
      <c r="AP35" s="15"/>
      <c r="AQ35" s="136"/>
      <c r="AR35" s="15">
        <v>1</v>
      </c>
      <c r="AS35" s="199">
        <f>AR35*AI35</f>
        <v>4.0333333333333341</v>
      </c>
      <c r="AT35" s="123"/>
      <c r="AU35" s="236">
        <f>+E35*(1+'[52]Jefferson Reg Price Out'!$BA$3)</f>
        <v>10.66192032</v>
      </c>
      <c r="AV35" s="229">
        <f>+AU35*AVERAGE(W35:AH35)*12*30</f>
        <v>15481.108304640004</v>
      </c>
      <c r="AW35" s="229">
        <f t="shared" si="30"/>
        <v>9337.1083046400036</v>
      </c>
      <c r="AX35" s="235"/>
      <c r="AY35" s="101"/>
      <c r="AZ35" s="101"/>
      <c r="BA35" s="101"/>
      <c r="BB35" s="101"/>
    </row>
    <row r="36" spans="1:54" s="106" customFormat="1" ht="12" customHeight="1">
      <c r="A36" s="131" t="str">
        <f t="shared" si="14"/>
        <v>CITYPA-MRORENT20M</v>
      </c>
      <c r="B36" s="100" t="s">
        <v>436</v>
      </c>
      <c r="C36" s="100" t="s">
        <v>435</v>
      </c>
      <c r="D36" s="184">
        <v>78.650000000000006</v>
      </c>
      <c r="E36" s="184">
        <f t="shared" si="15"/>
        <v>78.650000000000006</v>
      </c>
      <c r="F36" s="183">
        <v>39</v>
      </c>
      <c r="G36" s="122"/>
      <c r="H36" s="130">
        <v>471.9</v>
      </c>
      <c r="I36" s="130">
        <v>471.9</v>
      </c>
      <c r="J36" s="130">
        <v>550.54999999999995</v>
      </c>
      <c r="K36" s="130">
        <v>563.65</v>
      </c>
      <c r="L36" s="130">
        <v>548.01</v>
      </c>
      <c r="M36" s="130">
        <v>451.6</v>
      </c>
      <c r="N36" s="130">
        <v>393.25</v>
      </c>
      <c r="O36" s="130">
        <v>324.74</v>
      </c>
      <c r="P36" s="130">
        <v>235.95</v>
      </c>
      <c r="Q36" s="130">
        <v>235.95</v>
      </c>
      <c r="R36" s="130">
        <v>235.95</v>
      </c>
      <c r="S36" s="130">
        <v>235.95</v>
      </c>
      <c r="T36" s="130">
        <f t="shared" si="16"/>
        <v>4719.3999999999996</v>
      </c>
      <c r="U36" s="131">
        <v>31002</v>
      </c>
      <c r="W36" s="130">
        <f t="shared" ref="W36:AG36" si="33">IFERROR(H36/$D36,0)</f>
        <v>5.9999999999999991</v>
      </c>
      <c r="X36" s="130">
        <f t="shared" si="33"/>
        <v>5.9999999999999991</v>
      </c>
      <c r="Y36" s="130">
        <f t="shared" si="33"/>
        <v>6.9999999999999991</v>
      </c>
      <c r="Z36" s="130">
        <f t="shared" si="33"/>
        <v>7.166560712015257</v>
      </c>
      <c r="AA36" s="130">
        <f t="shared" si="33"/>
        <v>6.9677050222504766</v>
      </c>
      <c r="AB36" s="130">
        <f t="shared" si="33"/>
        <v>5.741894469167196</v>
      </c>
      <c r="AC36" s="130">
        <f t="shared" si="33"/>
        <v>5</v>
      </c>
      <c r="AD36" s="130">
        <f t="shared" si="33"/>
        <v>4.1289256198347104</v>
      </c>
      <c r="AE36" s="130">
        <f t="shared" si="33"/>
        <v>2.9999999999999996</v>
      </c>
      <c r="AF36" s="130">
        <f t="shared" si="33"/>
        <v>2.9999999999999996</v>
      </c>
      <c r="AG36" s="130">
        <f t="shared" si="33"/>
        <v>2.9999999999999996</v>
      </c>
      <c r="AH36" s="130">
        <f t="shared" si="28"/>
        <v>2.9999999999999996</v>
      </c>
      <c r="AI36" s="130">
        <f t="shared" si="31"/>
        <v>5.0004238186056371</v>
      </c>
      <c r="AJ36" s="194"/>
      <c r="AL36" s="123"/>
      <c r="AM36" s="106" t="s">
        <v>434</v>
      </c>
      <c r="AN36" s="107"/>
      <c r="AO36" s="107"/>
      <c r="AP36" s="15"/>
      <c r="AQ36" s="136"/>
      <c r="AR36" s="15">
        <v>1</v>
      </c>
      <c r="AS36" s="199">
        <f>AR36*AI36</f>
        <v>5.0004238186056371</v>
      </c>
      <c r="AT36" s="123"/>
      <c r="AU36" s="236">
        <f>+E36*(1+'[52]Jefferson Reg Price Out'!$BA$3)</f>
        <v>87.350003455000007</v>
      </c>
      <c r="AV36" s="229">
        <f>+AU36*AVERAGE(W36:AH36)*12</f>
        <v>5241.4444539800006</v>
      </c>
      <c r="AW36" s="229">
        <f t="shared" si="30"/>
        <v>522.04445398000098</v>
      </c>
      <c r="AX36" s="235"/>
      <c r="AY36" s="101"/>
      <c r="AZ36" s="101"/>
      <c r="BA36" s="101"/>
      <c r="BB36" s="101"/>
    </row>
    <row r="37" spans="1:54" s="106" customFormat="1" ht="12" customHeight="1">
      <c r="A37" s="131" t="str">
        <f t="shared" si="14"/>
        <v>CITYPA-MRORENT30D</v>
      </c>
      <c r="B37" s="100" t="s">
        <v>433</v>
      </c>
      <c r="C37" s="100" t="s">
        <v>432</v>
      </c>
      <c r="D37" s="184">
        <v>16</v>
      </c>
      <c r="E37" s="184">
        <f t="shared" si="15"/>
        <v>16</v>
      </c>
      <c r="F37" s="183">
        <v>39</v>
      </c>
      <c r="G37" s="122"/>
      <c r="H37" s="130">
        <v>1584</v>
      </c>
      <c r="I37" s="130">
        <v>912</v>
      </c>
      <c r="J37" s="130">
        <v>2064</v>
      </c>
      <c r="K37" s="130">
        <v>512</v>
      </c>
      <c r="L37" s="130">
        <v>1104</v>
      </c>
      <c r="M37" s="130">
        <v>1376</v>
      </c>
      <c r="N37" s="130">
        <v>1648</v>
      </c>
      <c r="O37" s="130">
        <v>2256</v>
      </c>
      <c r="P37" s="130">
        <v>1104</v>
      </c>
      <c r="Q37" s="130">
        <v>944</v>
      </c>
      <c r="R37" s="130">
        <v>0</v>
      </c>
      <c r="S37" s="130">
        <v>848</v>
      </c>
      <c r="T37" s="130">
        <f t="shared" si="16"/>
        <v>14352</v>
      </c>
      <c r="U37" s="131">
        <v>31002</v>
      </c>
      <c r="W37" s="130">
        <f t="shared" ref="W37:AG37" si="34">IFERROR(H37/($D37*30),0)</f>
        <v>3.3</v>
      </c>
      <c r="X37" s="130">
        <f t="shared" si="34"/>
        <v>1.9</v>
      </c>
      <c r="Y37" s="130">
        <f t="shared" si="34"/>
        <v>4.3</v>
      </c>
      <c r="Z37" s="130">
        <f t="shared" si="34"/>
        <v>1.0666666666666667</v>
      </c>
      <c r="AA37" s="130">
        <f t="shared" si="34"/>
        <v>2.2999999999999998</v>
      </c>
      <c r="AB37" s="130">
        <f t="shared" si="34"/>
        <v>2.8666666666666667</v>
      </c>
      <c r="AC37" s="130">
        <f t="shared" si="34"/>
        <v>3.4333333333333331</v>
      </c>
      <c r="AD37" s="130">
        <f t="shared" si="34"/>
        <v>4.7</v>
      </c>
      <c r="AE37" s="130">
        <f t="shared" si="34"/>
        <v>2.2999999999999998</v>
      </c>
      <c r="AF37" s="130">
        <f t="shared" si="34"/>
        <v>1.9666666666666666</v>
      </c>
      <c r="AG37" s="130">
        <f t="shared" si="34"/>
        <v>0</v>
      </c>
      <c r="AH37" s="130">
        <f t="shared" si="28"/>
        <v>53</v>
      </c>
      <c r="AI37" s="130">
        <f t="shared" si="31"/>
        <v>7.3757575757575751</v>
      </c>
      <c r="AJ37" s="194"/>
      <c r="AL37" s="123"/>
      <c r="AM37" s="106" t="s">
        <v>430</v>
      </c>
      <c r="AN37" s="107"/>
      <c r="AO37" s="118"/>
      <c r="AP37" s="15"/>
      <c r="AQ37" s="136"/>
      <c r="AR37" s="15">
        <v>1</v>
      </c>
      <c r="AS37" s="199">
        <f>AR37*AI37</f>
        <v>7.3757575757575751</v>
      </c>
      <c r="AT37" s="123"/>
      <c r="AU37" s="236">
        <f>+E37*(1+'[52]Jefferson Reg Price Out'!$BA$3)</f>
        <v>17.7698672</v>
      </c>
      <c r="AV37" s="229">
        <f>+AU37*AVERAGE(W37:AH37)*12*30</f>
        <v>43251.856764799988</v>
      </c>
      <c r="AW37" s="229">
        <f t="shared" si="30"/>
        <v>28899.856764799988</v>
      </c>
      <c r="AX37" s="235"/>
      <c r="AY37" s="101"/>
      <c r="AZ37" s="101"/>
      <c r="BA37" s="101"/>
      <c r="BB37" s="101"/>
    </row>
    <row r="38" spans="1:54" s="106" customFormat="1" ht="12" customHeight="1">
      <c r="A38" s="131" t="str">
        <f t="shared" si="14"/>
        <v>CITYPA-MRORENT30M</v>
      </c>
      <c r="B38" s="100" t="s">
        <v>431</v>
      </c>
      <c r="C38" s="100" t="s">
        <v>548</v>
      </c>
      <c r="D38" s="184">
        <v>81.900000000000006</v>
      </c>
      <c r="E38" s="184">
        <f t="shared" si="15"/>
        <v>81.900000000000006</v>
      </c>
      <c r="F38" s="183">
        <v>39</v>
      </c>
      <c r="G38" s="122"/>
      <c r="H38" s="130">
        <v>737.1</v>
      </c>
      <c r="I38" s="130">
        <v>737.1</v>
      </c>
      <c r="J38" s="130">
        <v>737.1</v>
      </c>
      <c r="K38" s="130">
        <v>737.1</v>
      </c>
      <c r="L38" s="130">
        <v>737.1</v>
      </c>
      <c r="M38" s="130">
        <v>737.1</v>
      </c>
      <c r="N38" s="130">
        <v>737.1</v>
      </c>
      <c r="O38" s="130">
        <v>737.1</v>
      </c>
      <c r="P38" s="130">
        <v>786.24</v>
      </c>
      <c r="Q38" s="130">
        <v>760.87</v>
      </c>
      <c r="R38" s="130">
        <v>819</v>
      </c>
      <c r="S38" s="130">
        <v>755.59</v>
      </c>
      <c r="T38" s="130">
        <f t="shared" si="16"/>
        <v>9018.5</v>
      </c>
      <c r="U38" s="131">
        <v>31002</v>
      </c>
      <c r="W38" s="130">
        <f t="shared" ref="W38:AG42" si="35">IFERROR(H38/$D38,0)</f>
        <v>9</v>
      </c>
      <c r="X38" s="130">
        <f t="shared" si="35"/>
        <v>9</v>
      </c>
      <c r="Y38" s="130">
        <f t="shared" si="35"/>
        <v>9</v>
      </c>
      <c r="Z38" s="130">
        <f t="shared" si="35"/>
        <v>9</v>
      </c>
      <c r="AA38" s="130">
        <f t="shared" si="35"/>
        <v>9</v>
      </c>
      <c r="AB38" s="130">
        <f t="shared" si="35"/>
        <v>9</v>
      </c>
      <c r="AC38" s="130">
        <f t="shared" si="35"/>
        <v>9</v>
      </c>
      <c r="AD38" s="130">
        <f t="shared" si="35"/>
        <v>9</v>
      </c>
      <c r="AE38" s="130">
        <f t="shared" si="35"/>
        <v>9.6</v>
      </c>
      <c r="AF38" s="130">
        <f t="shared" si="35"/>
        <v>9.2902319902319892</v>
      </c>
      <c r="AG38" s="130">
        <f t="shared" si="35"/>
        <v>10</v>
      </c>
      <c r="AH38" s="130">
        <f t="shared" si="28"/>
        <v>9.225763125763125</v>
      </c>
      <c r="AI38" s="130">
        <f t="shared" si="31"/>
        <v>9.1763329263329254</v>
      </c>
      <c r="AJ38" s="194"/>
      <c r="AL38" s="123"/>
      <c r="AM38" s="106" t="s">
        <v>430</v>
      </c>
      <c r="AN38" s="107"/>
      <c r="AO38" s="107"/>
      <c r="AP38" s="15"/>
      <c r="AQ38" s="136"/>
      <c r="AR38" s="15">
        <v>1</v>
      </c>
      <c r="AS38" s="199">
        <f>AR38*AI38</f>
        <v>9.1763329263329254</v>
      </c>
      <c r="AT38" s="123"/>
      <c r="AU38" s="236">
        <f>+E38*(1+'[52]Jefferson Reg Price Out'!$BA$3)</f>
        <v>90.959507730000013</v>
      </c>
      <c r="AV38" s="229">
        <f>+AU38*AVERAGE(W38:AH38)*12</f>
        <v>10016.096708950001</v>
      </c>
      <c r="AW38" s="229">
        <f t="shared" si="30"/>
        <v>997.5967089500009</v>
      </c>
      <c r="AX38" s="235"/>
    </row>
    <row r="39" spans="1:54" s="132" customFormat="1" ht="12" customHeight="1">
      <c r="A39" s="106" t="str">
        <f t="shared" si="14"/>
        <v>CITYPA-MROWAIT</v>
      </c>
      <c r="B39" s="99" t="s">
        <v>429</v>
      </c>
      <c r="C39" s="99" t="s">
        <v>428</v>
      </c>
      <c r="D39" s="184">
        <v>80.72</v>
      </c>
      <c r="E39" s="184">
        <f t="shared" si="15"/>
        <v>80.72</v>
      </c>
      <c r="F39" s="183">
        <v>29</v>
      </c>
      <c r="G39" s="99"/>
      <c r="H39" s="120">
        <v>0</v>
      </c>
      <c r="I39" s="120">
        <v>80.72</v>
      </c>
      <c r="J39" s="120">
        <v>0</v>
      </c>
      <c r="K39" s="120">
        <v>0</v>
      </c>
      <c r="L39" s="120">
        <v>0</v>
      </c>
      <c r="M39" s="120">
        <v>0</v>
      </c>
      <c r="N39" s="120">
        <v>20.18</v>
      </c>
      <c r="O39" s="120">
        <v>0</v>
      </c>
      <c r="P39" s="120">
        <v>20.18</v>
      </c>
      <c r="Q39" s="120">
        <v>0</v>
      </c>
      <c r="R39" s="120">
        <v>0</v>
      </c>
      <c r="S39" s="120">
        <v>0</v>
      </c>
      <c r="T39" s="120">
        <f t="shared" si="16"/>
        <v>121.08000000000001</v>
      </c>
      <c r="U39" s="106">
        <v>31010</v>
      </c>
      <c r="V39" s="99"/>
      <c r="W39" s="120">
        <f t="shared" si="35"/>
        <v>0</v>
      </c>
      <c r="X39" s="120">
        <f t="shared" si="35"/>
        <v>1</v>
      </c>
      <c r="Y39" s="120">
        <f t="shared" si="35"/>
        <v>0</v>
      </c>
      <c r="Z39" s="120">
        <f t="shared" si="35"/>
        <v>0</v>
      </c>
      <c r="AA39" s="120">
        <f t="shared" si="35"/>
        <v>0</v>
      </c>
      <c r="AB39" s="120">
        <f t="shared" si="35"/>
        <v>0</v>
      </c>
      <c r="AC39" s="120">
        <f t="shared" si="35"/>
        <v>0.25</v>
      </c>
      <c r="AD39" s="120">
        <f t="shared" si="35"/>
        <v>0</v>
      </c>
      <c r="AE39" s="120">
        <f t="shared" si="35"/>
        <v>0.25</v>
      </c>
      <c r="AF39" s="120">
        <f t="shared" si="35"/>
        <v>0</v>
      </c>
      <c r="AG39" s="120">
        <f t="shared" si="35"/>
        <v>0</v>
      </c>
      <c r="AH39" s="120">
        <f t="shared" si="28"/>
        <v>0</v>
      </c>
      <c r="AI39" s="120">
        <f t="shared" si="31"/>
        <v>0.5</v>
      </c>
      <c r="AJ39" s="194"/>
      <c r="AL39" s="204"/>
      <c r="AM39" s="193"/>
      <c r="AN39" s="107"/>
      <c r="AO39" s="107"/>
      <c r="AP39" s="15"/>
      <c r="AQ39" s="136"/>
      <c r="AR39" s="15"/>
      <c r="AS39" s="199"/>
      <c r="AT39" s="204"/>
      <c r="AU39" s="236">
        <f>+E39*(1+'[52]Jefferson Reg Price Out'!$BA$3)</f>
        <v>89.648980023999997</v>
      </c>
      <c r="AV39" s="229">
        <f>+AU39*AVERAGE(W39:AH39)*12</f>
        <v>134.47347003599998</v>
      </c>
      <c r="AW39" s="229">
        <f t="shared" si="30"/>
        <v>13.393470035999968</v>
      </c>
      <c r="AX39" s="235"/>
      <c r="AY39" s="106"/>
      <c r="AZ39" s="106"/>
      <c r="BA39" s="106"/>
      <c r="BB39" s="106"/>
    </row>
    <row r="40" spans="1:54" s="132" customFormat="1" ht="12" customHeight="1">
      <c r="A40" s="106" t="str">
        <f t="shared" si="14"/>
        <v>CITYPA-MCPHAUL15</v>
      </c>
      <c r="B40" s="99" t="s">
        <v>547</v>
      </c>
      <c r="C40" s="99" t="s">
        <v>546</v>
      </c>
      <c r="D40" s="184">
        <v>113.82</v>
      </c>
      <c r="E40" s="184">
        <f t="shared" si="15"/>
        <v>113.82</v>
      </c>
      <c r="F40" s="183">
        <v>42</v>
      </c>
      <c r="G40" s="99"/>
      <c r="H40" s="120">
        <v>341.46</v>
      </c>
      <c r="I40" s="120">
        <v>341.46</v>
      </c>
      <c r="J40" s="120">
        <v>455.28</v>
      </c>
      <c r="K40" s="120">
        <v>341.46</v>
      </c>
      <c r="L40" s="120">
        <v>227.64</v>
      </c>
      <c r="M40" s="120">
        <v>341.46</v>
      </c>
      <c r="N40" s="120">
        <v>227.64</v>
      </c>
      <c r="O40" s="120">
        <v>455.28</v>
      </c>
      <c r="P40" s="120">
        <v>341.46</v>
      </c>
      <c r="Q40" s="120">
        <v>341.46</v>
      </c>
      <c r="R40" s="120">
        <v>341.46</v>
      </c>
      <c r="S40" s="120">
        <v>341.46</v>
      </c>
      <c r="T40" s="120">
        <f t="shared" si="16"/>
        <v>4097.5199999999995</v>
      </c>
      <c r="U40" s="106">
        <v>31000</v>
      </c>
      <c r="V40" s="99"/>
      <c r="W40" s="120">
        <f t="shared" si="35"/>
        <v>3</v>
      </c>
      <c r="X40" s="120">
        <f t="shared" si="35"/>
        <v>3</v>
      </c>
      <c r="Y40" s="120">
        <f t="shared" si="35"/>
        <v>4</v>
      </c>
      <c r="Z40" s="120">
        <f t="shared" si="35"/>
        <v>3</v>
      </c>
      <c r="AA40" s="120">
        <f t="shared" si="35"/>
        <v>2</v>
      </c>
      <c r="AB40" s="120">
        <f t="shared" si="35"/>
        <v>3</v>
      </c>
      <c r="AC40" s="120">
        <f t="shared" si="35"/>
        <v>2</v>
      </c>
      <c r="AD40" s="120">
        <f t="shared" si="35"/>
        <v>4</v>
      </c>
      <c r="AE40" s="120">
        <f t="shared" si="35"/>
        <v>3</v>
      </c>
      <c r="AF40" s="120">
        <f t="shared" si="35"/>
        <v>3</v>
      </c>
      <c r="AG40" s="120">
        <f t="shared" si="35"/>
        <v>3</v>
      </c>
      <c r="AH40" s="120">
        <f t="shared" si="28"/>
        <v>3</v>
      </c>
      <c r="AI40" s="120">
        <v>2</v>
      </c>
      <c r="AJ40" s="194"/>
      <c r="AL40" s="204"/>
      <c r="AM40" s="193"/>
      <c r="AN40" s="107"/>
      <c r="AO40" s="107"/>
      <c r="AP40" s="15"/>
      <c r="AQ40" s="136"/>
      <c r="AR40" s="107"/>
      <c r="AS40" s="107"/>
      <c r="AT40" s="204"/>
      <c r="AU40" s="236">
        <f>+E40*(1+'[52]Jefferson Reg Price Out'!$BA$3)</f>
        <v>126.41039279399999</v>
      </c>
      <c r="AV40" s="229">
        <f>+AU40*AVERAGE(W40:AH40)*12</f>
        <v>4550.7741405839988</v>
      </c>
      <c r="AW40" s="229">
        <f t="shared" si="30"/>
        <v>453.25414058399929</v>
      </c>
      <c r="AX40" s="235"/>
      <c r="AY40" s="106"/>
      <c r="AZ40" s="106"/>
      <c r="BA40" s="106"/>
      <c r="BB40" s="106"/>
    </row>
    <row r="41" spans="1:54" s="144" customFormat="1" ht="12" customHeight="1">
      <c r="A41" s="106" t="str">
        <f t="shared" si="14"/>
        <v>CITYPA-MCPHAUL25</v>
      </c>
      <c r="B41" s="99" t="s">
        <v>545</v>
      </c>
      <c r="C41" s="99" t="s">
        <v>544</v>
      </c>
      <c r="D41" s="184">
        <v>167.16</v>
      </c>
      <c r="E41" s="184">
        <f t="shared" si="15"/>
        <v>167.16</v>
      </c>
      <c r="F41" s="183">
        <v>42</v>
      </c>
      <c r="G41" s="99"/>
      <c r="H41" s="120">
        <v>167.16</v>
      </c>
      <c r="I41" s="120">
        <v>0</v>
      </c>
      <c r="J41" s="120">
        <v>167.16</v>
      </c>
      <c r="K41" s="120">
        <v>0</v>
      </c>
      <c r="L41" s="120">
        <v>0</v>
      </c>
      <c r="M41" s="120">
        <v>167.16</v>
      </c>
      <c r="N41" s="120">
        <v>166.7</v>
      </c>
      <c r="O41" s="120">
        <v>333.86</v>
      </c>
      <c r="P41" s="120">
        <v>0</v>
      </c>
      <c r="Q41" s="120">
        <v>166.7</v>
      </c>
      <c r="R41" s="120">
        <v>333.86</v>
      </c>
      <c r="S41" s="120">
        <v>0</v>
      </c>
      <c r="T41" s="120">
        <f t="shared" si="16"/>
        <v>1502.6</v>
      </c>
      <c r="U41" s="106">
        <v>31000</v>
      </c>
      <c r="V41" s="106"/>
      <c r="W41" s="120">
        <f t="shared" si="35"/>
        <v>1</v>
      </c>
      <c r="X41" s="120">
        <f t="shared" si="35"/>
        <v>0</v>
      </c>
      <c r="Y41" s="120">
        <f t="shared" si="35"/>
        <v>1</v>
      </c>
      <c r="Z41" s="120">
        <f t="shared" si="35"/>
        <v>0</v>
      </c>
      <c r="AA41" s="120">
        <f t="shared" si="35"/>
        <v>0</v>
      </c>
      <c r="AB41" s="120">
        <f t="shared" si="35"/>
        <v>1</v>
      </c>
      <c r="AC41" s="120">
        <f t="shared" si="35"/>
        <v>0.99724814548935148</v>
      </c>
      <c r="AD41" s="120">
        <f t="shared" si="35"/>
        <v>1.9972481454893516</v>
      </c>
      <c r="AE41" s="120">
        <f t="shared" si="35"/>
        <v>0</v>
      </c>
      <c r="AF41" s="120">
        <f t="shared" si="35"/>
        <v>0.99724814548935148</v>
      </c>
      <c r="AG41" s="120">
        <f t="shared" si="35"/>
        <v>1.9972481454893516</v>
      </c>
      <c r="AH41" s="120">
        <f t="shared" si="28"/>
        <v>0</v>
      </c>
      <c r="AI41" s="120">
        <v>2</v>
      </c>
      <c r="AJ41" s="194"/>
      <c r="AL41" s="204"/>
      <c r="AM41" s="193"/>
      <c r="AN41" s="107"/>
      <c r="AO41" s="107"/>
      <c r="AP41" s="15"/>
      <c r="AQ41" s="136"/>
      <c r="AR41" s="107"/>
      <c r="AS41" s="107"/>
      <c r="AT41" s="204"/>
      <c r="AU41" s="236">
        <f>+E41*(1+'[52]Jefferson Reg Price Out'!$BA$3)</f>
        <v>185.65068757200001</v>
      </c>
      <c r="AV41" s="229">
        <f>+AU41*AVERAGE(W41:AH41)*12</f>
        <v>1668.8126534200001</v>
      </c>
      <c r="AW41" s="229">
        <f t="shared" si="30"/>
        <v>166.21265342000015</v>
      </c>
      <c r="AX41" s="235"/>
      <c r="AY41" s="106"/>
      <c r="AZ41" s="106"/>
      <c r="BA41" s="106"/>
      <c r="BB41" s="106"/>
    </row>
    <row r="42" spans="1:54" s="106" customFormat="1" ht="12" customHeight="1">
      <c r="A42" s="106" t="str">
        <f t="shared" si="14"/>
        <v>CITYPA-MROHAUL30CO</v>
      </c>
      <c r="B42" s="203" t="s">
        <v>543</v>
      </c>
      <c r="C42" s="203" t="s">
        <v>542</v>
      </c>
      <c r="D42" s="184">
        <v>114.97</v>
      </c>
      <c r="E42" s="184">
        <f t="shared" si="15"/>
        <v>114.97</v>
      </c>
      <c r="F42" s="183">
        <v>40</v>
      </c>
      <c r="G42" s="99"/>
      <c r="H42" s="120">
        <v>574.85</v>
      </c>
      <c r="I42" s="120">
        <v>459.88</v>
      </c>
      <c r="J42" s="120">
        <v>574.85</v>
      </c>
      <c r="K42" s="120">
        <v>459.88</v>
      </c>
      <c r="L42" s="120">
        <v>459.88</v>
      </c>
      <c r="M42" s="120">
        <v>459.88</v>
      </c>
      <c r="N42" s="120">
        <v>459.88</v>
      </c>
      <c r="O42" s="120">
        <v>574.85</v>
      </c>
      <c r="P42" s="120">
        <v>459.88</v>
      </c>
      <c r="Q42" s="120">
        <v>574.85</v>
      </c>
      <c r="R42" s="120">
        <v>459.88</v>
      </c>
      <c r="S42" s="120">
        <v>459.88</v>
      </c>
      <c r="T42" s="202">
        <f t="shared" si="16"/>
        <v>5978.4400000000005</v>
      </c>
      <c r="U42" s="181">
        <v>31000</v>
      </c>
      <c r="V42" s="181"/>
      <c r="W42" s="202">
        <f t="shared" si="35"/>
        <v>5</v>
      </c>
      <c r="X42" s="202">
        <f t="shared" si="35"/>
        <v>4</v>
      </c>
      <c r="Y42" s="202">
        <f t="shared" si="35"/>
        <v>5</v>
      </c>
      <c r="Z42" s="202">
        <f t="shared" si="35"/>
        <v>4</v>
      </c>
      <c r="AA42" s="202">
        <f t="shared" si="35"/>
        <v>4</v>
      </c>
      <c r="AB42" s="202">
        <f t="shared" si="35"/>
        <v>4</v>
      </c>
      <c r="AC42" s="202">
        <f t="shared" si="35"/>
        <v>4</v>
      </c>
      <c r="AD42" s="202">
        <f t="shared" si="35"/>
        <v>5</v>
      </c>
      <c r="AE42" s="202">
        <f t="shared" si="35"/>
        <v>4</v>
      </c>
      <c r="AF42" s="202">
        <f t="shared" si="35"/>
        <v>5</v>
      </c>
      <c r="AG42" s="202">
        <f t="shared" si="35"/>
        <v>4</v>
      </c>
      <c r="AH42" s="202">
        <f t="shared" si="28"/>
        <v>4</v>
      </c>
      <c r="AI42" s="202">
        <f>IFERROR(AVERAGEIF(W42:AH42,"&gt;0"),0)</f>
        <v>4.333333333333333</v>
      </c>
      <c r="AJ42" s="194"/>
      <c r="AL42" s="120"/>
      <c r="AM42" s="151"/>
      <c r="AP42" s="201"/>
      <c r="AQ42" s="200"/>
      <c r="AR42" s="15"/>
      <c r="AS42" s="199"/>
      <c r="AT42" s="198"/>
      <c r="AU42" s="236">
        <f>+E42*(1+'[52]Jefferson Reg Price Out'!$BA$3)</f>
        <v>127.68760199899999</v>
      </c>
      <c r="AV42" s="229">
        <f>+AU42*AVERAGE(W42:AH42)*12</f>
        <v>6639.755303947999</v>
      </c>
      <c r="AW42" s="229">
        <f t="shared" si="30"/>
        <v>661.31530394799847</v>
      </c>
      <c r="AX42" s="235"/>
      <c r="AY42" s="132"/>
      <c r="AZ42" s="132"/>
      <c r="BA42" s="132"/>
      <c r="BB42" s="132"/>
    </row>
    <row r="43" spans="1:54" ht="12" customHeight="1" thickBot="1">
      <c r="B43" s="99"/>
      <c r="C43" s="99"/>
      <c r="D43" s="113"/>
      <c r="E43" s="113"/>
      <c r="F43" s="186"/>
      <c r="G43" s="99"/>
      <c r="H43" s="120">
        <v>0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99"/>
      <c r="Q43" s="99"/>
      <c r="R43" s="99"/>
      <c r="S43" s="99"/>
      <c r="T43" s="99"/>
      <c r="U43" s="106"/>
      <c r="V43" s="99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94"/>
      <c r="AM43" s="193"/>
      <c r="AN43" s="107"/>
      <c r="AO43" s="107"/>
      <c r="AP43" s="15"/>
      <c r="AQ43" s="136"/>
      <c r="AR43" s="107"/>
      <c r="AS43" s="107"/>
      <c r="AT43" s="185"/>
      <c r="AU43" s="236">
        <f>+E43*(1+'[52]Jefferson Reg Price Out'!$BA$3)</f>
        <v>0</v>
      </c>
      <c r="AV43" s="229">
        <f>+AU43*AI43*12</f>
        <v>0</v>
      </c>
      <c r="AW43" s="229">
        <f t="shared" si="30"/>
        <v>0</v>
      </c>
      <c r="AX43" s="235"/>
      <c r="AY43" s="132"/>
      <c r="AZ43" s="132"/>
      <c r="BA43" s="132"/>
      <c r="BB43" s="132"/>
    </row>
    <row r="44" spans="1:54" s="105" customFormat="1" ht="12" customHeight="1" thickBot="1">
      <c r="B44" s="113"/>
      <c r="C44" s="113"/>
      <c r="D44" s="113"/>
      <c r="E44" s="113"/>
      <c r="F44" s="186"/>
      <c r="G44" s="113"/>
      <c r="H44" s="178">
        <f t="shared" ref="H44:S44" si="36">SUM(H26:H43)</f>
        <v>15473.07</v>
      </c>
      <c r="I44" s="178">
        <f t="shared" si="36"/>
        <v>11143.539999999995</v>
      </c>
      <c r="J44" s="178">
        <f t="shared" si="36"/>
        <v>13542.560000000001</v>
      </c>
      <c r="K44" s="178">
        <f t="shared" si="36"/>
        <v>8597.07</v>
      </c>
      <c r="L44" s="178">
        <f t="shared" si="36"/>
        <v>9187.32</v>
      </c>
      <c r="M44" s="178">
        <f t="shared" si="36"/>
        <v>10131.039999999999</v>
      </c>
      <c r="N44" s="178">
        <f t="shared" si="36"/>
        <v>11573.5</v>
      </c>
      <c r="O44" s="178">
        <f t="shared" si="36"/>
        <v>12856.340000000002</v>
      </c>
      <c r="P44" s="178">
        <f t="shared" si="36"/>
        <v>9682.9699999999975</v>
      </c>
      <c r="Q44" s="178">
        <f t="shared" si="36"/>
        <v>11513.990000000002</v>
      </c>
      <c r="R44" s="178">
        <f t="shared" si="36"/>
        <v>8217.3499999999985</v>
      </c>
      <c r="S44" s="178">
        <f t="shared" si="36"/>
        <v>8346.0399999999991</v>
      </c>
      <c r="T44" s="178">
        <f>SUM(H44:S44)</f>
        <v>130264.79</v>
      </c>
      <c r="U44" s="117"/>
      <c r="V44" s="113"/>
      <c r="W44" s="197">
        <f t="shared" ref="W44:AI44" si="37">SUM(W27:W28,W35:W38,W40:W42)</f>
        <v>38.1</v>
      </c>
      <c r="X44" s="197">
        <f t="shared" si="37"/>
        <v>36.766666666666666</v>
      </c>
      <c r="Y44" s="197">
        <f t="shared" si="37"/>
        <v>41.133333333333333</v>
      </c>
      <c r="Z44" s="197">
        <f t="shared" si="37"/>
        <v>32.56656071201526</v>
      </c>
      <c r="AA44" s="197">
        <f t="shared" si="37"/>
        <v>34.301038355583813</v>
      </c>
      <c r="AB44" s="197">
        <f t="shared" si="37"/>
        <v>34.641894469167198</v>
      </c>
      <c r="AC44" s="197">
        <f t="shared" si="37"/>
        <v>30.530581478822683</v>
      </c>
      <c r="AD44" s="197">
        <f t="shared" si="37"/>
        <v>38.02617376532406</v>
      </c>
      <c r="AE44" s="197">
        <f t="shared" si="37"/>
        <v>29.9</v>
      </c>
      <c r="AF44" s="197">
        <f t="shared" si="37"/>
        <v>33.720813469054676</v>
      </c>
      <c r="AG44" s="197">
        <f t="shared" si="37"/>
        <v>30.730581478822685</v>
      </c>
      <c r="AH44" s="197">
        <f t="shared" si="37"/>
        <v>107.22576312576312</v>
      </c>
      <c r="AI44" s="197">
        <f t="shared" si="37"/>
        <v>39.919180987362807</v>
      </c>
      <c r="AJ44" s="194"/>
      <c r="AK44" s="196" t="s">
        <v>463</v>
      </c>
      <c r="AL44" s="195">
        <f>+AS44</f>
        <v>25.585847654029472</v>
      </c>
      <c r="AM44" s="193"/>
      <c r="AN44" s="107"/>
      <c r="AO44" s="110">
        <f>SUM(AO22:AO43)</f>
        <v>0</v>
      </c>
      <c r="AP44"/>
      <c r="AQ44" s="110">
        <f>SUM(AQ22:AQ43)</f>
        <v>0</v>
      </c>
      <c r="AR44"/>
      <c r="AS44" s="110">
        <f>SUM(AS22:AS43)</f>
        <v>25.585847654029472</v>
      </c>
      <c r="AT44" s="185"/>
      <c r="AU44" s="236"/>
      <c r="AV44" s="233">
        <f ca="1">SUM(AV26:OFFSET(AV44,-1,0))</f>
        <v>180644.01638223301</v>
      </c>
      <c r="AW44" s="233">
        <f ca="1">SUM(AW28:OFFSET(AW44,-1,0))</f>
        <v>49792.791947182996</v>
      </c>
      <c r="AX44" s="235"/>
      <c r="AY44" s="144"/>
      <c r="AZ44" s="144"/>
      <c r="BA44" s="144"/>
      <c r="BB44" s="144"/>
    </row>
    <row r="45" spans="1:54" ht="12" customHeight="1">
      <c r="B45" s="106"/>
      <c r="C45" s="106"/>
      <c r="D45" s="117"/>
      <c r="E45" s="117"/>
      <c r="F45" s="186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106"/>
      <c r="V45" s="99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18"/>
      <c r="AJ45" s="194"/>
      <c r="AM45" s="193"/>
      <c r="AN45" s="107"/>
      <c r="AO45" s="107"/>
      <c r="AP45" s="15"/>
      <c r="AQ45" s="136"/>
      <c r="AR45" s="107"/>
      <c r="AS45" s="107"/>
      <c r="AT45" s="185"/>
      <c r="AU45" s="236"/>
      <c r="AV45" s="229"/>
      <c r="AW45" s="229"/>
      <c r="AX45" s="235"/>
      <c r="AY45" s="106"/>
      <c r="AZ45" s="106"/>
      <c r="BA45" s="106"/>
      <c r="BB45" s="106"/>
    </row>
    <row r="46" spans="1:54" ht="12" customHeight="1">
      <c r="B46" s="109" t="s">
        <v>427</v>
      </c>
      <c r="C46" s="109" t="s">
        <v>427</v>
      </c>
      <c r="D46" s="114"/>
      <c r="E46" s="114"/>
      <c r="F46" s="186"/>
      <c r="G46" s="99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06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M46" s="193"/>
      <c r="AN46" s="107"/>
      <c r="AO46" s="118"/>
      <c r="AP46" s="15"/>
      <c r="AQ46" s="136"/>
      <c r="AR46" s="107"/>
      <c r="AS46" s="107"/>
      <c r="AT46" s="185"/>
      <c r="AX46" s="235"/>
    </row>
    <row r="47" spans="1:54" ht="12" customHeight="1">
      <c r="A47" s="106" t="str">
        <f>"CITYPA-M"&amp;B47</f>
        <v>CITYPA-MDISP</v>
      </c>
      <c r="B47" s="99" t="s">
        <v>426</v>
      </c>
      <c r="C47" s="99" t="s">
        <v>425</v>
      </c>
      <c r="D47" s="184">
        <v>144.99</v>
      </c>
      <c r="E47" s="184">
        <f>D47</f>
        <v>144.99</v>
      </c>
      <c r="F47" s="183">
        <v>34</v>
      </c>
      <c r="G47" s="99"/>
      <c r="H47" s="120">
        <v>27426.34</v>
      </c>
      <c r="I47" s="120">
        <v>20189.84</v>
      </c>
      <c r="J47" s="120">
        <v>25827.07</v>
      </c>
      <c r="K47" s="120">
        <v>18602.22</v>
      </c>
      <c r="L47" s="120">
        <v>19098.05</v>
      </c>
      <c r="M47" s="120">
        <v>21945.67</v>
      </c>
      <c r="N47" s="120">
        <v>22257.41</v>
      </c>
      <c r="O47" s="120">
        <v>23343.38</v>
      </c>
      <c r="P47" s="120">
        <v>17445.22</v>
      </c>
      <c r="Q47" s="120">
        <v>21958.76</v>
      </c>
      <c r="R47" s="120">
        <v>19375.03</v>
      </c>
      <c r="S47" s="120">
        <v>15371.84</v>
      </c>
      <c r="T47" s="120">
        <f>SUM(H47:S47)</f>
        <v>252840.83000000002</v>
      </c>
      <c r="U47" s="106">
        <v>31005</v>
      </c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M47" s="107"/>
      <c r="AN47" s="107"/>
      <c r="AO47" s="146"/>
      <c r="AP47"/>
      <c r="AQ47" s="146"/>
      <c r="AR47"/>
      <c r="AS47" s="146"/>
      <c r="AT47" s="185"/>
      <c r="AU47" s="236">
        <f>+E47*(1+$BA$2)</f>
        <v>160.63571373896093</v>
      </c>
      <c r="AV47" s="229">
        <f>+T47</f>
        <v>252840.83000000002</v>
      </c>
      <c r="AW47" s="229">
        <f>+AV47-T47</f>
        <v>0</v>
      </c>
      <c r="AX47" s="235"/>
      <c r="AY47" s="105"/>
      <c r="AZ47" s="105"/>
      <c r="BA47" s="105"/>
      <c r="BB47" s="105"/>
    </row>
    <row r="48" spans="1:54" ht="12" customHeight="1">
      <c r="B48" s="99"/>
      <c r="C48" s="99"/>
      <c r="D48" s="113"/>
      <c r="E48" s="113"/>
      <c r="F48" s="186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106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M48" s="107"/>
      <c r="AN48" s="107"/>
      <c r="AO48" s="146"/>
      <c r="AP48"/>
      <c r="AQ48" s="146"/>
      <c r="AR48"/>
      <c r="AS48" s="146"/>
      <c r="AT48" s="185"/>
      <c r="AX48" s="235"/>
    </row>
    <row r="49" spans="1:54" s="105" customFormat="1" ht="12" customHeight="1">
      <c r="B49" s="117"/>
      <c r="C49" s="179" t="s">
        <v>424</v>
      </c>
      <c r="D49" s="179"/>
      <c r="E49" s="179"/>
      <c r="F49" s="192"/>
      <c r="G49" s="113"/>
      <c r="H49" s="178">
        <f t="shared" ref="H49:S49" si="38">SUM(H47:H48)</f>
        <v>27426.34</v>
      </c>
      <c r="I49" s="178">
        <f t="shared" si="38"/>
        <v>20189.84</v>
      </c>
      <c r="J49" s="178">
        <f t="shared" si="38"/>
        <v>25827.07</v>
      </c>
      <c r="K49" s="178">
        <f t="shared" si="38"/>
        <v>18602.22</v>
      </c>
      <c r="L49" s="178">
        <f t="shared" si="38"/>
        <v>19098.05</v>
      </c>
      <c r="M49" s="178">
        <f t="shared" si="38"/>
        <v>21945.67</v>
      </c>
      <c r="N49" s="178">
        <f t="shared" si="38"/>
        <v>22257.41</v>
      </c>
      <c r="O49" s="178">
        <f t="shared" si="38"/>
        <v>23343.38</v>
      </c>
      <c r="P49" s="178">
        <f t="shared" si="38"/>
        <v>17445.22</v>
      </c>
      <c r="Q49" s="178">
        <f t="shared" si="38"/>
        <v>21958.76</v>
      </c>
      <c r="R49" s="178">
        <f t="shared" si="38"/>
        <v>19375.03</v>
      </c>
      <c r="S49" s="178">
        <f t="shared" si="38"/>
        <v>15371.84</v>
      </c>
      <c r="T49" s="178">
        <f>SUM(H49:S49)</f>
        <v>252840.83000000002</v>
      </c>
      <c r="U49" s="117"/>
      <c r="V49" s="113"/>
      <c r="W49" s="99"/>
      <c r="X49" s="99"/>
      <c r="Y49" s="99"/>
      <c r="Z49" s="263"/>
      <c r="AA49" s="99"/>
      <c r="AB49" s="99"/>
      <c r="AC49" s="99"/>
      <c r="AD49" s="99"/>
      <c r="AE49" s="99"/>
      <c r="AF49" s="99"/>
      <c r="AG49" s="99"/>
      <c r="AH49" s="99"/>
      <c r="AI49" s="107"/>
      <c r="AL49" s="102"/>
      <c r="AM49" s="107"/>
      <c r="AN49" s="107"/>
      <c r="AO49" s="107"/>
      <c r="AP49" s="15"/>
      <c r="AQ49" s="136"/>
      <c r="AR49" s="107"/>
      <c r="AS49" s="107"/>
      <c r="AT49" s="185"/>
      <c r="AU49" s="101"/>
      <c r="AV49" s="101"/>
      <c r="AW49" s="101"/>
      <c r="AX49" s="235"/>
      <c r="AY49" s="101"/>
      <c r="AZ49" s="101"/>
      <c r="BA49" s="101"/>
      <c r="BB49" s="101"/>
    </row>
    <row r="50" spans="1:54" ht="12" customHeight="1">
      <c r="B50" s="106"/>
      <c r="C50" s="228"/>
      <c r="D50" s="179"/>
      <c r="E50" s="179"/>
      <c r="F50" s="186"/>
      <c r="G50" s="99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06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M50" s="107"/>
      <c r="AN50" s="107"/>
      <c r="AO50" s="107"/>
      <c r="AP50" s="15"/>
      <c r="AQ50" s="136"/>
      <c r="AR50" s="107"/>
      <c r="AS50" s="107"/>
      <c r="AT50" s="185"/>
      <c r="AU50" s="236">
        <f>+E50</f>
        <v>0</v>
      </c>
      <c r="AV50" s="229">
        <f>+T50</f>
        <v>0</v>
      </c>
      <c r="AW50" s="229">
        <f>+AV50-T50</f>
        <v>0</v>
      </c>
      <c r="AX50" s="235"/>
    </row>
    <row r="51" spans="1:54" s="107" customFormat="1" ht="12" customHeight="1">
      <c r="B51" s="124" t="s">
        <v>423</v>
      </c>
      <c r="C51" s="124" t="s">
        <v>423</v>
      </c>
      <c r="D51" s="190"/>
      <c r="E51" s="190"/>
      <c r="F51" s="122"/>
      <c r="G51" s="122"/>
      <c r="H51" s="121"/>
      <c r="I51" s="120"/>
      <c r="J51" s="120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L51" s="119"/>
      <c r="AP51" s="15"/>
      <c r="AQ51" s="136"/>
      <c r="AT51" s="187"/>
      <c r="AU51" s="101"/>
      <c r="AV51" s="101"/>
      <c r="AW51" s="101"/>
      <c r="AX51" s="235"/>
      <c r="AY51" s="101"/>
      <c r="AZ51" s="101"/>
      <c r="BA51" s="101"/>
      <c r="BB51" s="101"/>
    </row>
    <row r="52" spans="1:54" s="107" customFormat="1" ht="12" customHeight="1">
      <c r="A52" s="106" t="str">
        <f>"CITYPA-M"&amp;B52</f>
        <v>CITYPA-MFINCHG</v>
      </c>
      <c r="B52" s="99" t="s">
        <v>421</v>
      </c>
      <c r="C52" s="99" t="s">
        <v>420</v>
      </c>
      <c r="D52" s="184">
        <v>0</v>
      </c>
      <c r="E52" s="184">
        <f>D52</f>
        <v>0</v>
      </c>
      <c r="F52" s="183">
        <v>8</v>
      </c>
      <c r="G52" s="122"/>
      <c r="H52" s="120">
        <v>113.02</v>
      </c>
      <c r="I52" s="120">
        <v>1381.5</v>
      </c>
      <c r="J52" s="120">
        <v>90.600000000000009</v>
      </c>
      <c r="K52" s="120">
        <v>75.72</v>
      </c>
      <c r="L52" s="120">
        <v>92.47</v>
      </c>
      <c r="M52" s="120">
        <v>46.91</v>
      </c>
      <c r="N52" s="120">
        <v>102.64</v>
      </c>
      <c r="O52" s="120">
        <v>62.279999999999994</v>
      </c>
      <c r="P52" s="120">
        <v>76.5</v>
      </c>
      <c r="Q52" s="120">
        <v>68.760000000000005</v>
      </c>
      <c r="R52" s="120">
        <v>629.86</v>
      </c>
      <c r="S52" s="120">
        <v>100.25</v>
      </c>
      <c r="T52" s="120">
        <f>SUM(H52:S52)</f>
        <v>2840.51</v>
      </c>
      <c r="U52" s="106">
        <v>38000</v>
      </c>
      <c r="V52" s="106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L52" s="119"/>
      <c r="AP52" s="15"/>
      <c r="AQ52" s="136"/>
      <c r="AT52" s="187"/>
      <c r="AU52" s="236">
        <f>+E52*(1+$BA$2)</f>
        <v>0</v>
      </c>
      <c r="AV52" s="229">
        <f>+T52</f>
        <v>2840.51</v>
      </c>
      <c r="AW52" s="229">
        <f>+AV52-T52</f>
        <v>0</v>
      </c>
      <c r="AX52" s="229"/>
      <c r="AY52" s="101"/>
      <c r="AZ52" s="101"/>
      <c r="BA52" s="101"/>
      <c r="BB52" s="101"/>
    </row>
    <row r="53" spans="1:54" s="107" customFormat="1" ht="12" customHeight="1">
      <c r="B53" s="99"/>
      <c r="C53" s="99"/>
      <c r="D53" s="113"/>
      <c r="E53" s="113"/>
      <c r="F53" s="122"/>
      <c r="G53" s="122"/>
      <c r="H53" s="121"/>
      <c r="I53" s="120"/>
      <c r="J53" s="120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L53" s="119"/>
      <c r="AP53" s="101"/>
      <c r="AQ53" s="147"/>
      <c r="AT53" s="187"/>
      <c r="AU53" s="101"/>
      <c r="AV53" s="101"/>
      <c r="AW53" s="101"/>
      <c r="AX53" s="235"/>
      <c r="AY53" s="101"/>
      <c r="AZ53" s="101"/>
      <c r="BA53" s="101"/>
      <c r="BB53" s="101"/>
    </row>
    <row r="54" spans="1:54" s="112" customFormat="1" ht="12" customHeight="1">
      <c r="B54" s="117"/>
      <c r="C54" s="179" t="s">
        <v>419</v>
      </c>
      <c r="D54" s="179"/>
      <c r="E54" s="179"/>
      <c r="F54" s="116"/>
      <c r="G54" s="116"/>
      <c r="H54" s="178">
        <f t="shared" ref="H54:S54" si="39">SUM(H52:H53)</f>
        <v>113.02</v>
      </c>
      <c r="I54" s="178">
        <f t="shared" si="39"/>
        <v>1381.5</v>
      </c>
      <c r="J54" s="178">
        <f t="shared" si="39"/>
        <v>90.600000000000009</v>
      </c>
      <c r="K54" s="178">
        <f t="shared" si="39"/>
        <v>75.72</v>
      </c>
      <c r="L54" s="178">
        <f t="shared" si="39"/>
        <v>92.47</v>
      </c>
      <c r="M54" s="178">
        <f t="shared" si="39"/>
        <v>46.91</v>
      </c>
      <c r="N54" s="178">
        <f t="shared" si="39"/>
        <v>102.64</v>
      </c>
      <c r="O54" s="178">
        <f t="shared" si="39"/>
        <v>62.279999999999994</v>
      </c>
      <c r="P54" s="178">
        <f t="shared" si="39"/>
        <v>76.5</v>
      </c>
      <c r="Q54" s="178">
        <f t="shared" si="39"/>
        <v>68.760000000000005</v>
      </c>
      <c r="R54" s="178">
        <f t="shared" si="39"/>
        <v>629.86</v>
      </c>
      <c r="S54" s="178">
        <f t="shared" si="39"/>
        <v>100.25</v>
      </c>
      <c r="T54" s="178">
        <f>SUM(H54:S54)</f>
        <v>2840.51</v>
      </c>
      <c r="U54" s="117"/>
      <c r="V54" s="117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07"/>
      <c r="AL54" s="119"/>
      <c r="AM54" s="107"/>
      <c r="AN54" s="107"/>
      <c r="AO54" s="107"/>
      <c r="AP54" s="101"/>
      <c r="AQ54" s="147"/>
      <c r="AR54" s="107"/>
      <c r="AS54" s="107"/>
      <c r="AT54" s="187"/>
      <c r="AU54" s="105"/>
      <c r="AV54" s="233">
        <f ca="1">SUM(AV49:OFFSET(AV54,-1,0))</f>
        <v>2840.51</v>
      </c>
      <c r="AW54" s="233">
        <f ca="1">SUM(AW49:OFFSET(AW54,-1,0))</f>
        <v>0</v>
      </c>
      <c r="AX54" s="235"/>
      <c r="AY54" s="105"/>
      <c r="AZ54" s="105"/>
      <c r="BA54" s="105"/>
      <c r="BB54" s="105"/>
    </row>
    <row r="55" spans="1:54" ht="12" customHeight="1">
      <c r="B55" s="106"/>
      <c r="C55" s="228"/>
      <c r="D55" s="179"/>
      <c r="E55" s="179"/>
      <c r="F55" s="186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06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M55" s="107"/>
      <c r="AN55" s="107"/>
      <c r="AO55" s="107"/>
      <c r="AQ55" s="147"/>
      <c r="AR55" s="107"/>
      <c r="AS55" s="107"/>
      <c r="AT55" s="185"/>
      <c r="AX55" s="235"/>
    </row>
    <row r="56" spans="1:54" ht="12" customHeight="1">
      <c r="A56" s="106" t="str">
        <f>"CITYPA-M"&amp;B56</f>
        <v>CITYPA-MROMILL - W</v>
      </c>
      <c r="B56" s="181" t="s">
        <v>541</v>
      </c>
      <c r="C56" s="203" t="s">
        <v>539</v>
      </c>
      <c r="D56" s="184">
        <v>2435.4899999999998</v>
      </c>
      <c r="E56" s="184">
        <f>D56</f>
        <v>2435.4899999999998</v>
      </c>
      <c r="F56" s="183">
        <v>39</v>
      </c>
      <c r="G56" s="99"/>
      <c r="H56" s="120">
        <v>19483.919999999998</v>
      </c>
      <c r="I56" s="120">
        <v>17048.43</v>
      </c>
      <c r="J56" s="120">
        <v>9741.9599999999991</v>
      </c>
      <c r="K56" s="120">
        <v>12177.45</v>
      </c>
      <c r="L56" s="120">
        <v>2435.4899999999998</v>
      </c>
      <c r="M56" s="120">
        <v>14612.94</v>
      </c>
      <c r="N56" s="120">
        <v>21919.41</v>
      </c>
      <c r="O56" s="120">
        <v>4870.9799999999996</v>
      </c>
      <c r="P56" s="120">
        <v>14612.94</v>
      </c>
      <c r="Q56" s="120">
        <v>14612.94</v>
      </c>
      <c r="R56" s="120">
        <v>4870.9799999999996</v>
      </c>
      <c r="S56" s="120">
        <v>17048.43</v>
      </c>
      <c r="T56" s="182">
        <f>SUM(H56:S56)</f>
        <v>153435.87</v>
      </c>
      <c r="U56" s="181">
        <v>31020</v>
      </c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130">
        <v>1</v>
      </c>
      <c r="AL56" s="180"/>
      <c r="AM56" s="107"/>
      <c r="AN56" s="107"/>
      <c r="AO56" s="107"/>
      <c r="AQ56" s="127"/>
      <c r="AR56" s="107"/>
      <c r="AS56" s="107"/>
      <c r="AT56" s="180"/>
      <c r="AU56" s="262"/>
      <c r="AV56" s="261"/>
      <c r="AW56" s="261"/>
      <c r="AX56" s="235"/>
      <c r="AY56" s="107"/>
      <c r="AZ56" s="107"/>
      <c r="BA56" s="107"/>
      <c r="BB56" s="107"/>
    </row>
    <row r="57" spans="1:54" ht="12" customHeight="1">
      <c r="A57" s="106" t="str">
        <f>"CITYPA-M"&amp;B57</f>
        <v>CITYPA-MROMILL-C</v>
      </c>
      <c r="B57" s="181" t="s">
        <v>540</v>
      </c>
      <c r="C57" s="203" t="s">
        <v>539</v>
      </c>
      <c r="D57" s="184">
        <v>1782.77</v>
      </c>
      <c r="E57" s="184">
        <v>1828.73</v>
      </c>
      <c r="F57" s="183">
        <v>39</v>
      </c>
      <c r="G57" s="99"/>
      <c r="H57" s="120">
        <v>105183.43</v>
      </c>
      <c r="I57" s="120">
        <v>23176.01</v>
      </c>
      <c r="J57" s="120">
        <v>32089.86</v>
      </c>
      <c r="K57" s="120">
        <v>8913.85</v>
      </c>
      <c r="L57" s="120">
        <v>24958.78</v>
      </c>
      <c r="M57" s="120">
        <v>24958.78</v>
      </c>
      <c r="N57" s="120">
        <v>44569.25</v>
      </c>
      <c r="O57" s="120">
        <v>35655.4</v>
      </c>
      <c r="P57" s="120">
        <v>30307.09</v>
      </c>
      <c r="Q57" s="120">
        <v>44569.25</v>
      </c>
      <c r="R57" s="120">
        <v>37438.17</v>
      </c>
      <c r="S57" s="120">
        <v>23773.49</v>
      </c>
      <c r="T57" s="182">
        <f>SUM(H57:S57)</f>
        <v>435593.36</v>
      </c>
      <c r="U57" s="181">
        <v>31020</v>
      </c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130">
        <v>1</v>
      </c>
      <c r="AL57" s="180"/>
      <c r="AM57" s="107"/>
      <c r="AN57" s="107"/>
      <c r="AO57" s="107"/>
      <c r="AQ57" s="127"/>
      <c r="AR57" s="107"/>
      <c r="AS57" s="107"/>
      <c r="AT57" s="180"/>
      <c r="AU57" s="262"/>
      <c r="AV57" s="261"/>
      <c r="AW57" s="261"/>
      <c r="AX57" s="235"/>
      <c r="AY57" s="107"/>
      <c r="AZ57" s="107"/>
      <c r="BA57" s="107"/>
      <c r="BB57" s="107"/>
    </row>
    <row r="58" spans="1:54" customFormat="1" ht="12" customHeight="1">
      <c r="AU58" s="260"/>
      <c r="AV58" s="260"/>
      <c r="AW58" s="260"/>
      <c r="AX58" s="235"/>
      <c r="AY58" s="107"/>
      <c r="AZ58" s="107"/>
      <c r="BA58" s="107"/>
      <c r="BB58" s="107"/>
    </row>
    <row r="59" spans="1:54" s="105" customFormat="1" ht="12" customHeight="1">
      <c r="B59" s="117"/>
      <c r="C59" s="179"/>
      <c r="D59" s="179"/>
      <c r="E59" s="179"/>
      <c r="F59" s="113"/>
      <c r="G59" s="113"/>
      <c r="H59" s="178">
        <f t="shared" ref="H59:T59" si="40">SUM(H56:H57)</f>
        <v>124667.34999999999</v>
      </c>
      <c r="I59" s="178">
        <f t="shared" si="40"/>
        <v>40224.44</v>
      </c>
      <c r="J59" s="178">
        <f t="shared" si="40"/>
        <v>41831.82</v>
      </c>
      <c r="K59" s="178">
        <f t="shared" si="40"/>
        <v>21091.300000000003</v>
      </c>
      <c r="L59" s="178">
        <f t="shared" si="40"/>
        <v>27394.269999999997</v>
      </c>
      <c r="M59" s="178">
        <f t="shared" si="40"/>
        <v>39571.72</v>
      </c>
      <c r="N59" s="178">
        <f t="shared" si="40"/>
        <v>66488.66</v>
      </c>
      <c r="O59" s="178">
        <f t="shared" si="40"/>
        <v>40526.380000000005</v>
      </c>
      <c r="P59" s="178">
        <f t="shared" si="40"/>
        <v>44920.03</v>
      </c>
      <c r="Q59" s="178">
        <f t="shared" si="40"/>
        <v>59182.19</v>
      </c>
      <c r="R59" s="178">
        <f t="shared" si="40"/>
        <v>42309.149999999994</v>
      </c>
      <c r="S59" s="178">
        <f t="shared" si="40"/>
        <v>40821.919999999998</v>
      </c>
      <c r="T59" s="178">
        <f t="shared" si="40"/>
        <v>589029.23</v>
      </c>
      <c r="U59" s="117"/>
      <c r="V59" s="113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107"/>
      <c r="AL59" s="102"/>
      <c r="AM59" s="107"/>
      <c r="AN59" s="107"/>
      <c r="AO59" s="107"/>
      <c r="AP59" s="101"/>
      <c r="AQ59" s="176"/>
      <c r="AR59" s="107"/>
      <c r="AS59" s="107"/>
      <c r="AT59" s="102"/>
      <c r="AU59" s="107"/>
      <c r="AV59" s="107"/>
      <c r="AW59" s="107"/>
      <c r="AX59" s="235"/>
      <c r="AY59" s="107"/>
      <c r="AZ59" s="107"/>
      <c r="BA59" s="107"/>
      <c r="BB59" s="107"/>
    </row>
    <row r="60" spans="1:54" ht="12" customHeight="1">
      <c r="B60" s="106"/>
      <c r="C60" s="228"/>
      <c r="D60" s="179"/>
      <c r="E60" s="179"/>
      <c r="F60" s="99"/>
      <c r="G60" s="99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60"/>
      <c r="U60" s="106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M60" s="107"/>
      <c r="AN60" s="107"/>
      <c r="AO60" s="107"/>
      <c r="AQ60" s="176"/>
      <c r="AR60" s="107"/>
      <c r="AS60" s="107"/>
      <c r="AU60" s="112"/>
      <c r="AV60" s="233">
        <f ca="1">SUM(AV56:OFFSET(AV60,-1,0))</f>
        <v>0</v>
      </c>
      <c r="AW60" s="233">
        <f ca="1">SUM(AW56:OFFSET(AW60,-1,0))</f>
        <v>0</v>
      </c>
      <c r="AX60" s="235"/>
      <c r="AY60" s="112"/>
      <c r="AZ60" s="112"/>
      <c r="BA60" s="112"/>
      <c r="BB60" s="112"/>
    </row>
    <row r="61" spans="1:54" ht="12" customHeight="1">
      <c r="B61" s="106"/>
      <c r="C61" s="228"/>
      <c r="D61" s="179"/>
      <c r="E61" s="179"/>
      <c r="F61" s="99"/>
      <c r="G61" s="99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60"/>
      <c r="U61" s="106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M61" s="107"/>
      <c r="AN61" s="107"/>
      <c r="AO61" s="107"/>
      <c r="AQ61" s="176"/>
      <c r="AR61" s="107"/>
      <c r="AS61" s="107"/>
      <c r="AX61" s="235"/>
    </row>
    <row r="62" spans="1:54" ht="12" customHeight="1">
      <c r="B62" s="106"/>
      <c r="C62" s="228"/>
      <c r="D62" s="179"/>
      <c r="E62" s="179"/>
      <c r="F62" s="99"/>
      <c r="G62" s="99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60"/>
      <c r="U62" s="106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M62" s="107"/>
      <c r="AN62" s="107"/>
      <c r="AO62" s="107"/>
      <c r="AQ62" s="176"/>
      <c r="AR62" s="107"/>
      <c r="AS62" s="107"/>
    </row>
    <row r="63" spans="1:54" ht="12" customHeight="1" thickBot="1">
      <c r="B63" s="106"/>
      <c r="C63" s="228"/>
      <c r="D63" s="179"/>
      <c r="E63" s="17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106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M63" s="107"/>
      <c r="AN63" s="107"/>
      <c r="AO63" s="107"/>
      <c r="AQ63" s="176"/>
      <c r="AR63" s="107"/>
      <c r="AS63" s="107"/>
    </row>
    <row r="64" spans="1:54" s="105" customFormat="1" ht="12" customHeight="1" thickBot="1">
      <c r="B64" s="114"/>
      <c r="C64" s="179" t="s">
        <v>418</v>
      </c>
      <c r="D64" s="179"/>
      <c r="E64" s="179"/>
      <c r="F64" s="113"/>
      <c r="G64" s="113"/>
      <c r="H64" s="178">
        <f t="shared" ref="H64:S64" si="41">SUM(H21,H44,H49,H54,H59)</f>
        <v>173662.84</v>
      </c>
      <c r="I64" s="178">
        <f t="shared" si="41"/>
        <v>78548.819999999992</v>
      </c>
      <c r="J64" s="178">
        <f t="shared" si="41"/>
        <v>86648.76</v>
      </c>
      <c r="K64" s="178">
        <f t="shared" si="41"/>
        <v>54130.500000000007</v>
      </c>
      <c r="L64" s="178">
        <f t="shared" si="41"/>
        <v>61231.579999999994</v>
      </c>
      <c r="M64" s="178">
        <f t="shared" si="41"/>
        <v>77863.600000000006</v>
      </c>
      <c r="N64" s="178">
        <f t="shared" si="41"/>
        <v>105789.09</v>
      </c>
      <c r="O64" s="178">
        <f t="shared" si="41"/>
        <v>81713.390000000014</v>
      </c>
      <c r="P64" s="178">
        <f t="shared" si="41"/>
        <v>76936.03</v>
      </c>
      <c r="Q64" s="178">
        <f t="shared" si="41"/>
        <v>98290.27</v>
      </c>
      <c r="R64" s="178">
        <f t="shared" si="41"/>
        <v>76092.939999999988</v>
      </c>
      <c r="S64" s="178">
        <f t="shared" si="41"/>
        <v>69548.19</v>
      </c>
      <c r="T64" s="178">
        <f>SUM(H64:S64)</f>
        <v>1040456.01</v>
      </c>
      <c r="U64" s="117"/>
      <c r="V64" s="113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107"/>
      <c r="AL64" s="102"/>
      <c r="AM64" s="107"/>
      <c r="AN64" s="107"/>
      <c r="AO64" s="110">
        <f>AO21+AO44</f>
        <v>0</v>
      </c>
      <c r="AP64"/>
      <c r="AQ64" s="110">
        <f>AQ21+AQ44</f>
        <v>29.857776466755169</v>
      </c>
      <c r="AR64"/>
      <c r="AS64" s="110">
        <f>AS21+AS44</f>
        <v>25.585847654029472</v>
      </c>
      <c r="AT64" s="102"/>
    </row>
    <row r="65" spans="2:54">
      <c r="B65" s="109"/>
      <c r="C65" s="109"/>
      <c r="D65" s="114"/>
      <c r="E65" s="114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106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M65" s="107"/>
      <c r="AN65" s="107"/>
      <c r="AO65" s="107"/>
      <c r="AQ65" s="177"/>
      <c r="AR65" s="107"/>
      <c r="AS65" s="107"/>
    </row>
    <row r="66" spans="2:54">
      <c r="B66" s="99"/>
      <c r="C66" s="99"/>
      <c r="D66" s="113"/>
      <c r="E66" s="113"/>
      <c r="F66" s="99"/>
      <c r="G66" s="99"/>
      <c r="H66" s="259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99"/>
      <c r="U66" s="106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M66" s="107"/>
      <c r="AN66" s="107"/>
      <c r="AO66" s="107"/>
      <c r="AQ66" s="176"/>
      <c r="AR66" s="107"/>
      <c r="AS66" s="107"/>
    </row>
    <row r="67" spans="2:54">
      <c r="B67" s="99"/>
      <c r="C67" s="99"/>
      <c r="D67" s="113"/>
      <c r="E67" s="113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106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M67" s="107"/>
      <c r="AN67" s="107"/>
      <c r="AO67" s="107"/>
      <c r="AQ67" s="176"/>
      <c r="AR67" s="107"/>
      <c r="AS67" s="107"/>
    </row>
    <row r="68" spans="2:54" ht="13.5" thickBot="1">
      <c r="B68" s="99"/>
      <c r="C68" s="99"/>
      <c r="D68" s="113"/>
      <c r="E68" s="113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106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M68" s="107"/>
      <c r="AN68" s="107"/>
      <c r="AO68" s="107"/>
      <c r="AQ68" s="177"/>
      <c r="AR68" s="107"/>
      <c r="AS68" s="107"/>
    </row>
    <row r="69" spans="2:54" ht="13.5" thickBot="1">
      <c r="B69" s="99"/>
      <c r="C69" s="99"/>
      <c r="D69" s="113"/>
      <c r="E69" s="113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106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M69" s="107"/>
      <c r="AN69" s="107"/>
      <c r="AO69" s="107"/>
      <c r="AQ69" s="176"/>
      <c r="AR69" s="107"/>
      <c r="AS69" s="107"/>
      <c r="AU69" s="110">
        <f>+AS69+AQ69+AO69</f>
        <v>0</v>
      </c>
      <c r="AV69" s="105"/>
      <c r="AW69" s="105"/>
      <c r="AX69" s="105"/>
      <c r="AY69" s="105"/>
      <c r="AZ69" s="105"/>
      <c r="BA69" s="105"/>
      <c r="BB69" s="105"/>
    </row>
    <row r="70" spans="2:54">
      <c r="B70" s="99"/>
      <c r="C70" s="99"/>
      <c r="D70" s="113"/>
      <c r="E70" s="113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106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M70" s="107"/>
      <c r="AN70" s="107"/>
      <c r="AO70" s="176"/>
      <c r="AQ70" s="176"/>
      <c r="AR70" s="107"/>
      <c r="AS70" s="107"/>
    </row>
    <row r="71" spans="2:54">
      <c r="B71" s="99"/>
      <c r="C71" s="99"/>
      <c r="D71" s="113"/>
      <c r="E71" s="113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106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M71" s="107"/>
      <c r="AN71" s="107"/>
      <c r="AO71" s="107"/>
      <c r="AQ71" s="176"/>
      <c r="AR71" s="107"/>
      <c r="AS71" s="107"/>
      <c r="AU71" s="101" t="s">
        <v>15</v>
      </c>
      <c r="AV71" s="233">
        <f ca="1">SUM(AV60,AV54,AV44,AV21,AV47)</f>
        <v>508871.95234637603</v>
      </c>
      <c r="AW71" s="233">
        <f ca="1">SUM(AW60,AW54,AW44,AW21)</f>
        <v>56858.737911325981</v>
      </c>
    </row>
    <row r="72" spans="2:54">
      <c r="B72" s="99"/>
      <c r="C72" s="99"/>
      <c r="D72" s="113"/>
      <c r="E72" s="113"/>
      <c r="F72" s="99"/>
      <c r="G72" s="99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99"/>
      <c r="U72" s="106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M72" s="107"/>
      <c r="AN72" s="107"/>
      <c r="AO72" s="107"/>
      <c r="AQ72" s="176"/>
      <c r="AR72" s="107"/>
      <c r="AS72" s="107"/>
    </row>
    <row r="73" spans="2:54">
      <c r="B73" s="99"/>
      <c r="C73" s="99"/>
      <c r="D73" s="113"/>
      <c r="E73" s="113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106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M73" s="107"/>
      <c r="AN73" s="107"/>
      <c r="AO73" s="107"/>
      <c r="AQ73" s="176"/>
      <c r="AR73" s="107"/>
      <c r="AS73" s="107"/>
    </row>
    <row r="74" spans="2:54">
      <c r="B74" s="99"/>
      <c r="C74" s="99"/>
      <c r="D74" s="113"/>
      <c r="E74" s="113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106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M74" s="107"/>
      <c r="AN74" s="107"/>
      <c r="AO74" s="107"/>
      <c r="AQ74" s="176"/>
      <c r="AR74" s="107"/>
      <c r="AS74" s="107"/>
    </row>
    <row r="75" spans="2:54">
      <c r="B75" s="99"/>
      <c r="C75" s="99"/>
      <c r="D75" s="113"/>
      <c r="E75" s="113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106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M75" s="107"/>
      <c r="AN75" s="107"/>
      <c r="AO75" s="107"/>
      <c r="AQ75" s="176"/>
      <c r="AR75" s="107"/>
      <c r="AS75" s="107"/>
    </row>
    <row r="76" spans="2:54">
      <c r="B76" s="99"/>
      <c r="C76" s="99"/>
      <c r="D76" s="113"/>
      <c r="E76" s="113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106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M76" s="107"/>
      <c r="AN76" s="107"/>
      <c r="AO76" s="107"/>
      <c r="AQ76" s="177"/>
      <c r="AR76" s="107"/>
      <c r="AS76" s="107"/>
    </row>
    <row r="77" spans="2:54">
      <c r="B77" s="99"/>
      <c r="C77" s="99"/>
      <c r="D77" s="113"/>
      <c r="E77" s="113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106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M77" s="107"/>
      <c r="AN77" s="107"/>
      <c r="AO77" s="107"/>
      <c r="AQ77" s="176"/>
      <c r="AR77" s="107"/>
      <c r="AS77" s="107"/>
    </row>
    <row r="78" spans="2:54">
      <c r="B78" s="99"/>
      <c r="C78" s="99"/>
      <c r="D78" s="113"/>
      <c r="E78" s="113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106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M78" s="107"/>
      <c r="AN78" s="107"/>
      <c r="AO78" s="107"/>
      <c r="AQ78" s="177"/>
      <c r="AR78" s="107"/>
      <c r="AS78" s="107"/>
    </row>
    <row r="79" spans="2:54">
      <c r="B79" s="99"/>
      <c r="C79" s="99"/>
      <c r="D79" s="113"/>
      <c r="E79" s="113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106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M79" s="107"/>
      <c r="AN79" s="107"/>
      <c r="AO79" s="107"/>
      <c r="AQ79" s="177"/>
      <c r="AR79" s="107"/>
      <c r="AS79" s="107"/>
    </row>
    <row r="80" spans="2:54">
      <c r="B80" s="99"/>
      <c r="C80" s="99"/>
      <c r="D80" s="113"/>
      <c r="E80" s="113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106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M80" s="107"/>
      <c r="AN80" s="107"/>
      <c r="AO80" s="107"/>
      <c r="AQ80" s="176"/>
      <c r="AR80" s="107"/>
      <c r="AS80" s="107"/>
    </row>
    <row r="81" spans="2:45">
      <c r="B81" s="99"/>
      <c r="C81" s="99"/>
      <c r="D81" s="113"/>
      <c r="E81" s="113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106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M81" s="107"/>
      <c r="AN81" s="107"/>
      <c r="AO81" s="107"/>
      <c r="AQ81" s="176"/>
      <c r="AR81" s="107"/>
      <c r="AS81" s="107"/>
    </row>
    <row r="82" spans="2:45">
      <c r="B82" s="99"/>
      <c r="C82" s="99"/>
      <c r="D82" s="113"/>
      <c r="E82" s="113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106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M82" s="107"/>
      <c r="AN82" s="107"/>
      <c r="AO82" s="107"/>
      <c r="AQ82" s="176"/>
      <c r="AR82" s="107"/>
      <c r="AS82" s="107"/>
    </row>
    <row r="83" spans="2:45">
      <c r="B83" s="99"/>
      <c r="C83" s="99"/>
      <c r="D83" s="113"/>
      <c r="E83" s="113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106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M83" s="107"/>
      <c r="AN83" s="107"/>
      <c r="AO83" s="107"/>
      <c r="AQ83" s="177"/>
      <c r="AR83" s="107"/>
      <c r="AS83" s="107"/>
    </row>
    <row r="84" spans="2:45">
      <c r="B84" s="99"/>
      <c r="C84" s="99"/>
      <c r="D84" s="113"/>
      <c r="E84" s="113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106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M84" s="107"/>
      <c r="AN84" s="107"/>
      <c r="AO84" s="107"/>
      <c r="AQ84" s="176"/>
      <c r="AR84" s="107"/>
      <c r="AS84" s="107"/>
    </row>
    <row r="85" spans="2:45">
      <c r="B85" s="99"/>
      <c r="C85" s="99"/>
      <c r="D85" s="113"/>
      <c r="E85" s="113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106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M85" s="107"/>
      <c r="AN85" s="107"/>
      <c r="AO85" s="107"/>
      <c r="AQ85" s="176"/>
      <c r="AR85" s="107"/>
      <c r="AS85" s="107"/>
    </row>
    <row r="86" spans="2:45">
      <c r="B86" s="99"/>
      <c r="C86" s="99"/>
      <c r="D86" s="113"/>
      <c r="E86" s="113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106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M86" s="107"/>
      <c r="AN86" s="107"/>
      <c r="AO86" s="107"/>
      <c r="AQ86" s="176"/>
      <c r="AR86" s="107"/>
      <c r="AS86" s="107"/>
    </row>
    <row r="87" spans="2:45">
      <c r="B87" s="99"/>
      <c r="C87" s="99"/>
      <c r="D87" s="113"/>
      <c r="E87" s="113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106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M87" s="107"/>
      <c r="AN87" s="107"/>
      <c r="AO87" s="107"/>
      <c r="AQ87" s="176"/>
      <c r="AR87" s="107"/>
      <c r="AS87" s="107"/>
    </row>
    <row r="88" spans="2:45">
      <c r="B88" s="99"/>
      <c r="C88" s="99"/>
      <c r="D88" s="113"/>
      <c r="E88" s="113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106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M88" s="107"/>
      <c r="AN88" s="107"/>
      <c r="AO88" s="107"/>
      <c r="AQ88" s="176"/>
      <c r="AR88" s="107"/>
      <c r="AS88" s="107"/>
    </row>
    <row r="89" spans="2:45">
      <c r="B89" s="99"/>
      <c r="C89" s="99"/>
      <c r="D89" s="113"/>
      <c r="E89" s="113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106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M89" s="107"/>
      <c r="AN89" s="107"/>
      <c r="AO89" s="107"/>
      <c r="AQ89" s="177"/>
      <c r="AR89" s="107"/>
      <c r="AS89" s="107"/>
    </row>
    <row r="90" spans="2:45">
      <c r="B90" s="99"/>
      <c r="C90" s="99"/>
      <c r="D90" s="113"/>
      <c r="E90" s="113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106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M90" s="107"/>
      <c r="AN90" s="107"/>
      <c r="AO90" s="107"/>
      <c r="AQ90" s="177"/>
      <c r="AR90" s="107"/>
      <c r="AS90" s="107"/>
    </row>
    <row r="91" spans="2:45">
      <c r="B91" s="99"/>
      <c r="C91" s="99"/>
      <c r="D91" s="113"/>
      <c r="E91" s="113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106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M91" s="107"/>
      <c r="AN91" s="107"/>
      <c r="AO91" s="107"/>
      <c r="AQ91" s="176"/>
      <c r="AR91" s="107"/>
      <c r="AS91" s="107"/>
    </row>
    <row r="92" spans="2:45">
      <c r="B92" s="99"/>
      <c r="C92" s="99"/>
      <c r="D92" s="113"/>
      <c r="E92" s="113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106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M92" s="107"/>
      <c r="AN92" s="107"/>
      <c r="AO92" s="176"/>
      <c r="AQ92" s="176"/>
      <c r="AR92" s="107"/>
      <c r="AS92" s="107"/>
    </row>
    <row r="93" spans="2:45">
      <c r="B93" s="99"/>
      <c r="C93" s="99"/>
      <c r="D93" s="113"/>
      <c r="E93" s="113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106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M93" s="107"/>
      <c r="AN93" s="107"/>
      <c r="AO93" s="107"/>
      <c r="AQ93" s="177"/>
      <c r="AR93" s="107"/>
      <c r="AS93" s="107"/>
    </row>
    <row r="94" spans="2:45">
      <c r="B94" s="99"/>
      <c r="C94" s="99"/>
      <c r="D94" s="113"/>
      <c r="E94" s="113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106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M94" s="107"/>
      <c r="AN94" s="107"/>
      <c r="AO94" s="176"/>
      <c r="AQ94" s="176"/>
      <c r="AR94" s="107"/>
      <c r="AS94" s="107"/>
    </row>
    <row r="95" spans="2:45">
      <c r="B95" s="99"/>
      <c r="C95" s="99"/>
      <c r="D95" s="113"/>
      <c r="E95" s="113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106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M95" s="107"/>
      <c r="AN95" s="107"/>
      <c r="AO95" s="176"/>
      <c r="AQ95" s="176"/>
      <c r="AR95" s="107"/>
      <c r="AS95" s="107"/>
    </row>
    <row r="96" spans="2:45">
      <c r="B96" s="99"/>
      <c r="C96" s="99"/>
      <c r="D96" s="113"/>
      <c r="E96" s="113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106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M96" s="107"/>
      <c r="AN96" s="107"/>
      <c r="AO96" s="107"/>
      <c r="AQ96" s="176"/>
      <c r="AR96" s="107"/>
      <c r="AS96" s="107"/>
    </row>
    <row r="97" spans="2:45">
      <c r="B97" s="99"/>
      <c r="C97" s="99"/>
      <c r="D97" s="113"/>
      <c r="E97" s="113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106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M97" s="107"/>
      <c r="AN97" s="107"/>
      <c r="AO97" s="107"/>
      <c r="AQ97" s="176"/>
      <c r="AR97" s="107"/>
      <c r="AS97" s="107"/>
    </row>
    <row r="98" spans="2:45">
      <c r="B98" s="99"/>
      <c r="C98" s="99"/>
      <c r="D98" s="113"/>
      <c r="E98" s="113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106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M98" s="107"/>
      <c r="AN98" s="107"/>
      <c r="AO98" s="107"/>
      <c r="AQ98" s="176"/>
      <c r="AR98" s="107"/>
      <c r="AS98" s="107"/>
    </row>
    <row r="99" spans="2:45">
      <c r="B99" s="99"/>
      <c r="C99" s="99"/>
      <c r="D99" s="113"/>
      <c r="E99" s="113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106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M99" s="107"/>
      <c r="AN99" s="107"/>
      <c r="AO99" s="107"/>
      <c r="AQ99" s="176"/>
      <c r="AR99" s="107"/>
      <c r="AS99" s="107"/>
    </row>
    <row r="100" spans="2:45">
      <c r="B100" s="99"/>
      <c r="C100" s="99"/>
      <c r="D100" s="113"/>
      <c r="E100" s="113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106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M100" s="107"/>
      <c r="AN100" s="107"/>
      <c r="AO100" s="107"/>
      <c r="AQ100" s="176"/>
      <c r="AR100" s="107"/>
      <c r="AS100" s="107"/>
    </row>
    <row r="101" spans="2:45">
      <c r="B101" s="99"/>
      <c r="C101" s="99"/>
      <c r="D101" s="113"/>
      <c r="E101" s="113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106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M101" s="107"/>
      <c r="AN101" s="107"/>
      <c r="AO101" s="107"/>
      <c r="AQ101" s="176"/>
      <c r="AR101" s="107"/>
      <c r="AS101" s="107"/>
    </row>
    <row r="102" spans="2:45">
      <c r="B102" s="99"/>
      <c r="C102" s="99"/>
      <c r="D102" s="113"/>
      <c r="E102" s="113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106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M102" s="107"/>
      <c r="AO102" s="176"/>
      <c r="AQ102" s="176"/>
      <c r="AR102" s="107"/>
      <c r="AS102" s="107"/>
    </row>
    <row r="103" spans="2:45">
      <c r="B103" s="99"/>
      <c r="C103" s="99"/>
      <c r="D103" s="113"/>
      <c r="E103" s="113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106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M103" s="107"/>
      <c r="AN103" s="107"/>
      <c r="AO103" s="107"/>
      <c r="AQ103" s="177"/>
      <c r="AR103" s="107"/>
      <c r="AS103" s="107"/>
    </row>
    <row r="104" spans="2:45">
      <c r="B104" s="99"/>
      <c r="C104" s="99"/>
      <c r="D104" s="113"/>
      <c r="E104" s="113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106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M104" s="107"/>
      <c r="AN104" s="107"/>
      <c r="AO104" s="107"/>
      <c r="AQ104" s="177"/>
      <c r="AR104" s="107"/>
      <c r="AS104" s="107"/>
    </row>
    <row r="105" spans="2:45">
      <c r="B105" s="99"/>
      <c r="C105" s="99"/>
      <c r="D105" s="113"/>
      <c r="E105" s="113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106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M105" s="107"/>
      <c r="AN105" s="107"/>
      <c r="AO105" s="107"/>
      <c r="AQ105" s="176"/>
      <c r="AR105" s="107"/>
      <c r="AS105" s="107"/>
    </row>
    <row r="106" spans="2:45">
      <c r="B106" s="99"/>
      <c r="C106" s="99"/>
      <c r="D106" s="113"/>
      <c r="E106" s="113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106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M106" s="107"/>
      <c r="AN106" s="107"/>
      <c r="AO106" s="107"/>
      <c r="AQ106" s="177"/>
      <c r="AR106" s="107"/>
      <c r="AS106" s="107"/>
    </row>
    <row r="107" spans="2:45">
      <c r="B107" s="99"/>
      <c r="C107" s="99"/>
      <c r="D107" s="113"/>
      <c r="E107" s="113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106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M107" s="107"/>
      <c r="AN107" s="107"/>
      <c r="AO107" s="107"/>
      <c r="AQ107" s="177"/>
      <c r="AR107" s="107"/>
      <c r="AS107" s="107"/>
    </row>
    <row r="108" spans="2:45">
      <c r="B108" s="99"/>
      <c r="C108" s="99"/>
      <c r="D108" s="113"/>
      <c r="E108" s="113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106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M108" s="107"/>
      <c r="AN108" s="107"/>
      <c r="AO108" s="107"/>
      <c r="AQ108" s="176"/>
      <c r="AR108" s="107"/>
      <c r="AS108" s="107"/>
    </row>
    <row r="109" spans="2:45">
      <c r="B109" s="99"/>
      <c r="C109" s="99"/>
      <c r="D109" s="113"/>
      <c r="E109" s="113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106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M109" s="107"/>
      <c r="AN109" s="107"/>
      <c r="AO109" s="107"/>
      <c r="AQ109" s="176"/>
      <c r="AR109" s="107"/>
      <c r="AS109" s="107"/>
    </row>
    <row r="110" spans="2:45">
      <c r="B110" s="99"/>
      <c r="C110" s="99"/>
      <c r="D110" s="113"/>
      <c r="E110" s="113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106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M110" s="107"/>
      <c r="AN110" s="107"/>
      <c r="AO110" s="107"/>
      <c r="AQ110" s="177"/>
      <c r="AR110" s="107"/>
      <c r="AS110" s="107"/>
    </row>
    <row r="111" spans="2:45">
      <c r="B111" s="99"/>
      <c r="C111" s="99"/>
      <c r="D111" s="113"/>
      <c r="E111" s="113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106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M111" s="107"/>
      <c r="AN111" s="107"/>
      <c r="AO111" s="107"/>
      <c r="AQ111" s="177"/>
      <c r="AR111" s="107"/>
      <c r="AS111" s="107"/>
    </row>
    <row r="112" spans="2:45">
      <c r="B112" s="99"/>
      <c r="C112" s="99"/>
      <c r="D112" s="113"/>
      <c r="E112" s="113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106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M112" s="107"/>
      <c r="AN112" s="107"/>
      <c r="AO112" s="107"/>
      <c r="AQ112" s="176"/>
      <c r="AR112" s="107"/>
      <c r="AS112" s="107"/>
    </row>
    <row r="113" spans="2:47">
      <c r="B113" s="99"/>
      <c r="C113" s="99"/>
      <c r="D113" s="113"/>
      <c r="E113" s="113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106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M113" s="107"/>
      <c r="AN113" s="107"/>
      <c r="AO113" s="107"/>
      <c r="AQ113" s="176"/>
      <c r="AR113" s="107"/>
      <c r="AS113" s="107"/>
    </row>
    <row r="114" spans="2:47">
      <c r="B114" s="99"/>
      <c r="C114" s="99"/>
      <c r="D114" s="113"/>
      <c r="E114" s="113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106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M114" s="107"/>
      <c r="AN114" s="107"/>
      <c r="AO114" s="107"/>
      <c r="AQ114" s="177"/>
      <c r="AR114" s="107"/>
      <c r="AS114" s="107"/>
    </row>
    <row r="115" spans="2:47" ht="15">
      <c r="B115" s="99"/>
      <c r="C115" s="99"/>
      <c r="D115" s="113"/>
      <c r="E115" s="113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106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M115" s="107"/>
      <c r="AN115"/>
      <c r="AO115"/>
      <c r="AP115"/>
      <c r="AQ115"/>
      <c r="AR115"/>
      <c r="AS115"/>
      <c r="AT115"/>
      <c r="AU115"/>
    </row>
    <row r="116" spans="2:47" ht="15">
      <c r="B116" s="99"/>
      <c r="C116" s="99"/>
      <c r="D116" s="113"/>
      <c r="E116" s="113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106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M116" s="107"/>
      <c r="AN116"/>
      <c r="AO116"/>
      <c r="AP116"/>
      <c r="AQ116"/>
      <c r="AR116"/>
      <c r="AS116"/>
      <c r="AT116"/>
      <c r="AU116"/>
    </row>
    <row r="117" spans="2:47" ht="15">
      <c r="B117" s="99"/>
      <c r="C117" s="99"/>
      <c r="D117" s="113"/>
      <c r="E117" s="113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106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M117" s="107"/>
      <c r="AN117"/>
      <c r="AO117"/>
      <c r="AP117"/>
      <c r="AQ117"/>
      <c r="AR117"/>
      <c r="AS117"/>
      <c r="AT117"/>
      <c r="AU117"/>
    </row>
    <row r="118" spans="2:47" ht="15">
      <c r="B118" s="99"/>
      <c r="C118" s="99"/>
      <c r="D118" s="113"/>
      <c r="E118" s="113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106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M118" s="107"/>
      <c r="AN118"/>
      <c r="AO118"/>
      <c r="AP118"/>
      <c r="AQ118"/>
      <c r="AR118"/>
      <c r="AS118"/>
      <c r="AT118"/>
      <c r="AU118"/>
    </row>
    <row r="119" spans="2:47" ht="15">
      <c r="B119" s="99"/>
      <c r="C119" s="99"/>
      <c r="D119" s="113"/>
      <c r="E119" s="113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106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M119" s="107"/>
      <c r="AN119"/>
      <c r="AO119"/>
      <c r="AP119"/>
      <c r="AQ119"/>
      <c r="AR119"/>
      <c r="AS119"/>
      <c r="AT119"/>
      <c r="AU119"/>
    </row>
    <row r="120" spans="2:47" ht="15">
      <c r="B120" s="99"/>
      <c r="C120" s="99"/>
      <c r="D120" s="113"/>
      <c r="E120" s="113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106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M120" s="107"/>
      <c r="AN120"/>
      <c r="AO120"/>
      <c r="AP120"/>
      <c r="AQ120"/>
      <c r="AR120"/>
      <c r="AS120"/>
      <c r="AT120"/>
      <c r="AU120"/>
    </row>
    <row r="121" spans="2:47" ht="15">
      <c r="B121" s="99"/>
      <c r="C121" s="99"/>
      <c r="D121" s="113"/>
      <c r="E121" s="113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106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M121" s="107"/>
      <c r="AN121"/>
      <c r="AO121"/>
      <c r="AP121"/>
      <c r="AQ121"/>
      <c r="AR121"/>
      <c r="AS121"/>
      <c r="AT121"/>
      <c r="AU121"/>
    </row>
    <row r="122" spans="2:47" ht="15">
      <c r="B122" s="99"/>
      <c r="C122" s="99"/>
      <c r="D122" s="113"/>
      <c r="E122" s="113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106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M122" s="107"/>
      <c r="AN122"/>
      <c r="AO122"/>
      <c r="AP122"/>
      <c r="AQ122"/>
      <c r="AR122"/>
      <c r="AS122"/>
      <c r="AT122"/>
      <c r="AU122"/>
    </row>
    <row r="123" spans="2:47" ht="15">
      <c r="B123" s="99"/>
      <c r="C123" s="99"/>
      <c r="D123" s="113"/>
      <c r="E123" s="113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106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M123" s="107"/>
      <c r="AN123"/>
      <c r="AO123"/>
      <c r="AP123"/>
      <c r="AQ123"/>
      <c r="AR123"/>
      <c r="AS123"/>
      <c r="AT123"/>
      <c r="AU123"/>
    </row>
    <row r="124" spans="2:47" ht="15">
      <c r="B124" s="99"/>
      <c r="C124" s="99"/>
      <c r="D124" s="113"/>
      <c r="E124" s="113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106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M124" s="107"/>
      <c r="AN124"/>
      <c r="AO124"/>
      <c r="AP124"/>
      <c r="AQ124"/>
      <c r="AR124"/>
      <c r="AS124"/>
      <c r="AT124"/>
      <c r="AU124"/>
    </row>
    <row r="125" spans="2:47" ht="15">
      <c r="B125" s="99"/>
      <c r="C125" s="99"/>
      <c r="D125" s="113"/>
      <c r="E125" s="113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106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M125" s="107"/>
      <c r="AN125"/>
      <c r="AO125"/>
      <c r="AP125"/>
      <c r="AQ125"/>
      <c r="AR125"/>
      <c r="AS125"/>
      <c r="AT125"/>
      <c r="AU125"/>
    </row>
    <row r="126" spans="2:47" ht="15">
      <c r="B126" s="99"/>
      <c r="C126" s="99"/>
      <c r="D126" s="113"/>
      <c r="E126" s="113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M126" s="107"/>
      <c r="AN126"/>
      <c r="AO126"/>
      <c r="AP126"/>
      <c r="AQ126"/>
      <c r="AR126"/>
      <c r="AS126"/>
      <c r="AT126"/>
      <c r="AU126"/>
    </row>
    <row r="127" spans="2:47" ht="15">
      <c r="B127" s="99"/>
      <c r="C127" s="99"/>
      <c r="D127" s="113"/>
      <c r="E127" s="113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N127"/>
      <c r="AO127"/>
      <c r="AP127"/>
      <c r="AQ127"/>
      <c r="AR127"/>
      <c r="AS127"/>
      <c r="AT127"/>
      <c r="AU127"/>
    </row>
    <row r="128" spans="2:47" ht="15">
      <c r="B128" s="99"/>
      <c r="C128" s="99"/>
      <c r="D128" s="113"/>
      <c r="E128" s="113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N128"/>
      <c r="AO128"/>
      <c r="AP128"/>
      <c r="AQ128"/>
      <c r="AR128"/>
      <c r="AS128"/>
      <c r="AT128"/>
      <c r="AU128"/>
    </row>
    <row r="129" spans="2:47" ht="15">
      <c r="B129" s="99"/>
      <c r="C129" s="99"/>
      <c r="D129" s="113"/>
      <c r="E129" s="113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N129"/>
      <c r="AO129"/>
      <c r="AP129"/>
      <c r="AQ129"/>
      <c r="AR129"/>
      <c r="AS129"/>
      <c r="AT129"/>
      <c r="AU129"/>
    </row>
    <row r="130" spans="2:47" ht="15">
      <c r="B130" s="99"/>
      <c r="C130" s="99"/>
      <c r="D130" s="113"/>
      <c r="E130" s="113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N130"/>
      <c r="AO130"/>
      <c r="AP130"/>
      <c r="AQ130"/>
      <c r="AR130"/>
      <c r="AS130"/>
      <c r="AT130"/>
      <c r="AU130"/>
    </row>
    <row r="131" spans="2:47" ht="15">
      <c r="B131" s="99"/>
      <c r="C131" s="99"/>
      <c r="D131" s="113"/>
      <c r="E131" s="113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N131"/>
      <c r="AO131"/>
      <c r="AP131"/>
      <c r="AQ131"/>
      <c r="AR131"/>
      <c r="AS131"/>
      <c r="AT131"/>
      <c r="AU131"/>
    </row>
    <row r="132" spans="2:47" ht="15">
      <c r="B132" s="99"/>
      <c r="C132" s="99"/>
      <c r="D132" s="113"/>
      <c r="E132" s="113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N132"/>
      <c r="AO132"/>
      <c r="AP132"/>
      <c r="AQ132"/>
      <c r="AR132"/>
      <c r="AS132"/>
      <c r="AT132"/>
      <c r="AU132"/>
    </row>
    <row r="133" spans="2:47" ht="15">
      <c r="B133" s="99"/>
      <c r="C133" s="99"/>
      <c r="D133" s="113"/>
      <c r="E133" s="113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N133"/>
      <c r="AO133"/>
      <c r="AP133"/>
      <c r="AQ133"/>
      <c r="AR133"/>
      <c r="AS133"/>
      <c r="AT133"/>
      <c r="AU133"/>
    </row>
    <row r="134" spans="2:47" ht="15">
      <c r="B134" s="99"/>
      <c r="C134" s="99"/>
      <c r="D134" s="113"/>
      <c r="E134" s="113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N134"/>
      <c r="AO134"/>
      <c r="AP134"/>
      <c r="AQ134"/>
      <c r="AR134"/>
      <c r="AS134"/>
      <c r="AT134"/>
      <c r="AU134"/>
    </row>
    <row r="135" spans="2:47" ht="15">
      <c r="B135" s="99"/>
      <c r="C135" s="99"/>
      <c r="D135" s="113"/>
      <c r="E135" s="113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N135"/>
      <c r="AO135"/>
      <c r="AP135"/>
      <c r="AQ135"/>
      <c r="AR135"/>
      <c r="AS135"/>
      <c r="AT135"/>
      <c r="AU135"/>
    </row>
    <row r="136" spans="2:47" ht="15">
      <c r="B136" s="99"/>
      <c r="C136" s="99"/>
      <c r="D136" s="113"/>
      <c r="E136" s="113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N136"/>
      <c r="AO136"/>
      <c r="AP136"/>
      <c r="AQ136"/>
      <c r="AR136"/>
      <c r="AS136"/>
      <c r="AT136"/>
      <c r="AU136"/>
    </row>
    <row r="137" spans="2:47" ht="15">
      <c r="B137" s="99"/>
      <c r="C137" s="99"/>
      <c r="D137" s="113"/>
      <c r="E137" s="113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N137"/>
      <c r="AO137"/>
      <c r="AP137"/>
      <c r="AQ137"/>
      <c r="AR137"/>
      <c r="AS137"/>
      <c r="AT137"/>
      <c r="AU137"/>
    </row>
    <row r="138" spans="2:47" ht="15">
      <c r="B138" s="99"/>
      <c r="C138" s="99"/>
      <c r="D138" s="113"/>
      <c r="E138" s="113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N138"/>
      <c r="AO138"/>
      <c r="AP138"/>
      <c r="AQ138"/>
      <c r="AR138"/>
      <c r="AS138"/>
      <c r="AT138"/>
      <c r="AU138"/>
    </row>
    <row r="139" spans="2:47" ht="15">
      <c r="B139" s="99"/>
      <c r="C139" s="99"/>
      <c r="D139" s="113"/>
      <c r="E139" s="113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N139"/>
      <c r="AO139"/>
      <c r="AP139"/>
      <c r="AQ139"/>
      <c r="AR139"/>
      <c r="AS139"/>
      <c r="AT139"/>
      <c r="AU139"/>
    </row>
    <row r="140" spans="2:47" ht="15">
      <c r="B140" s="99"/>
      <c r="C140" s="99"/>
      <c r="D140" s="113"/>
      <c r="E140" s="113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N140"/>
      <c r="AO140"/>
      <c r="AP140"/>
      <c r="AQ140"/>
      <c r="AR140"/>
      <c r="AS140"/>
      <c r="AT140"/>
      <c r="AU140"/>
    </row>
    <row r="141" spans="2:47" ht="15">
      <c r="B141" s="99"/>
      <c r="C141" s="99"/>
      <c r="D141" s="113"/>
      <c r="E141" s="113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N141"/>
      <c r="AO141"/>
      <c r="AP141"/>
      <c r="AQ141"/>
      <c r="AR141"/>
      <c r="AS141"/>
      <c r="AT141"/>
      <c r="AU141"/>
    </row>
    <row r="142" spans="2:47" ht="15">
      <c r="B142" s="99"/>
      <c r="C142" s="99"/>
      <c r="D142" s="113"/>
      <c r="E142" s="113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N142"/>
      <c r="AO142"/>
      <c r="AP142"/>
      <c r="AQ142"/>
      <c r="AR142"/>
      <c r="AS142"/>
      <c r="AT142"/>
      <c r="AU142"/>
    </row>
    <row r="143" spans="2:47" ht="15">
      <c r="B143" s="99"/>
      <c r="C143" s="99"/>
      <c r="D143" s="113"/>
      <c r="E143" s="113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N143"/>
      <c r="AO143"/>
      <c r="AP143"/>
      <c r="AQ143"/>
      <c r="AR143"/>
      <c r="AS143"/>
      <c r="AT143"/>
      <c r="AU143"/>
    </row>
    <row r="144" spans="2:47" ht="15">
      <c r="AN144"/>
      <c r="AO144"/>
      <c r="AP144"/>
      <c r="AQ144"/>
      <c r="AR144"/>
      <c r="AS144"/>
      <c r="AT144"/>
      <c r="AU144"/>
    </row>
    <row r="145" spans="39:47" ht="15">
      <c r="AN145"/>
      <c r="AO145"/>
      <c r="AP145"/>
      <c r="AQ145"/>
      <c r="AR145"/>
      <c r="AS145"/>
      <c r="AT145"/>
      <c r="AU145"/>
    </row>
    <row r="146" spans="39:47" ht="15">
      <c r="AN146"/>
      <c r="AO146"/>
      <c r="AP146"/>
      <c r="AQ146"/>
      <c r="AR146"/>
      <c r="AS146"/>
      <c r="AT146"/>
      <c r="AU146"/>
    </row>
    <row r="147" spans="39:47" ht="15">
      <c r="AN147"/>
      <c r="AO147"/>
      <c r="AP147"/>
      <c r="AQ147"/>
      <c r="AR147"/>
      <c r="AS147"/>
      <c r="AT147"/>
      <c r="AU147"/>
    </row>
    <row r="148" spans="39:47" ht="15">
      <c r="AN148"/>
      <c r="AO148"/>
      <c r="AP148"/>
      <c r="AQ148"/>
      <c r="AR148"/>
      <c r="AS148"/>
      <c r="AT148"/>
      <c r="AU148"/>
    </row>
    <row r="149" spans="39:47" ht="15">
      <c r="AN149"/>
      <c r="AO149"/>
      <c r="AP149"/>
      <c r="AQ149"/>
      <c r="AR149"/>
      <c r="AS149"/>
      <c r="AT149"/>
      <c r="AU149"/>
    </row>
    <row r="150" spans="39:47" ht="15">
      <c r="AN150"/>
      <c r="AO150"/>
      <c r="AP150"/>
      <c r="AQ150"/>
      <c r="AR150"/>
      <c r="AS150"/>
      <c r="AT150"/>
      <c r="AU150"/>
    </row>
    <row r="151" spans="39:47" ht="15">
      <c r="AN151"/>
      <c r="AO151"/>
      <c r="AP151"/>
      <c r="AQ151"/>
      <c r="AR151"/>
      <c r="AS151"/>
      <c r="AT151"/>
      <c r="AU151"/>
    </row>
    <row r="152" spans="39:47" ht="15">
      <c r="AN152"/>
      <c r="AO152"/>
      <c r="AP152"/>
      <c r="AQ152"/>
      <c r="AR152"/>
      <c r="AS152"/>
      <c r="AT152"/>
      <c r="AU152"/>
    </row>
    <row r="153" spans="39:47" ht="15">
      <c r="AN153"/>
      <c r="AO153"/>
      <c r="AP153"/>
      <c r="AQ153"/>
      <c r="AR153"/>
      <c r="AS153"/>
      <c r="AT153"/>
      <c r="AU153"/>
    </row>
    <row r="154" spans="39:47" ht="15">
      <c r="AN154"/>
      <c r="AO154"/>
      <c r="AP154"/>
      <c r="AQ154"/>
      <c r="AR154"/>
      <c r="AS154"/>
      <c r="AT154"/>
      <c r="AU154"/>
    </row>
    <row r="155" spans="39:47" ht="15">
      <c r="AN155"/>
      <c r="AO155"/>
      <c r="AP155"/>
      <c r="AQ155"/>
      <c r="AR155"/>
      <c r="AS155"/>
      <c r="AT155"/>
      <c r="AU155"/>
    </row>
    <row r="156" spans="39:47" ht="15">
      <c r="AN156"/>
      <c r="AO156"/>
      <c r="AP156"/>
      <c r="AQ156"/>
      <c r="AR156"/>
      <c r="AS156"/>
      <c r="AT156"/>
      <c r="AU156"/>
    </row>
    <row r="157" spans="39:47" ht="15">
      <c r="AN157"/>
      <c r="AO157"/>
      <c r="AP157"/>
      <c r="AQ157"/>
      <c r="AR157"/>
      <c r="AS157"/>
      <c r="AT157"/>
      <c r="AU157"/>
    </row>
    <row r="158" spans="39:47" ht="15">
      <c r="AN158"/>
      <c r="AO158"/>
      <c r="AP158"/>
      <c r="AQ158"/>
      <c r="AR158"/>
      <c r="AS158"/>
      <c r="AT158"/>
      <c r="AU158"/>
    </row>
    <row r="159" spans="39:47" ht="15">
      <c r="AN159"/>
      <c r="AO159"/>
      <c r="AP159"/>
      <c r="AQ159"/>
      <c r="AR159"/>
      <c r="AS159"/>
      <c r="AT159"/>
      <c r="AU159"/>
    </row>
    <row r="160" spans="39:47" ht="15">
      <c r="AM160" s="107"/>
      <c r="AN160"/>
      <c r="AO160"/>
      <c r="AP160"/>
      <c r="AQ160"/>
      <c r="AR160"/>
      <c r="AS160"/>
      <c r="AT160"/>
      <c r="AU160"/>
    </row>
    <row r="161" spans="39:47" ht="15">
      <c r="AM161" s="107"/>
      <c r="AN161"/>
      <c r="AO161"/>
      <c r="AP161"/>
      <c r="AQ161"/>
      <c r="AR161"/>
      <c r="AS161"/>
      <c r="AT161"/>
      <c r="AU161"/>
    </row>
    <row r="162" spans="39:47" ht="15">
      <c r="AM162" s="107"/>
      <c r="AN162"/>
      <c r="AO162"/>
      <c r="AP162"/>
      <c r="AQ162"/>
      <c r="AR162"/>
      <c r="AS162"/>
      <c r="AT162"/>
      <c r="AU162"/>
    </row>
    <row r="163" spans="39:47" ht="15">
      <c r="AM163" s="107"/>
      <c r="AN163"/>
      <c r="AO163"/>
      <c r="AP163"/>
      <c r="AQ163"/>
      <c r="AR163"/>
      <c r="AS163"/>
      <c r="AT163"/>
      <c r="AU163"/>
    </row>
    <row r="164" spans="39:47" ht="15">
      <c r="AM164" s="107"/>
      <c r="AN164"/>
      <c r="AO164"/>
      <c r="AP164"/>
      <c r="AQ164"/>
      <c r="AR164"/>
      <c r="AS164"/>
      <c r="AT164"/>
      <c r="AU164"/>
    </row>
    <row r="165" spans="39:47" ht="15">
      <c r="AM165" s="107"/>
      <c r="AN165"/>
      <c r="AO165"/>
      <c r="AP165"/>
      <c r="AQ165"/>
      <c r="AR165"/>
      <c r="AS165"/>
      <c r="AT165"/>
      <c r="AU165"/>
    </row>
    <row r="166" spans="39:47" ht="15">
      <c r="AN166"/>
      <c r="AO166"/>
      <c r="AP166"/>
      <c r="AQ166"/>
      <c r="AR166"/>
      <c r="AS166"/>
      <c r="AT166"/>
      <c r="AU166"/>
    </row>
    <row r="167" spans="39:47" ht="15">
      <c r="AN167"/>
      <c r="AO167"/>
      <c r="AP167"/>
      <c r="AQ167"/>
      <c r="AR167"/>
      <c r="AS167"/>
      <c r="AT167"/>
      <c r="AU167"/>
    </row>
    <row r="168" spans="39:47" ht="15">
      <c r="AN168"/>
      <c r="AO168"/>
      <c r="AP168"/>
      <c r="AQ168"/>
      <c r="AR168"/>
      <c r="AS168"/>
      <c r="AT168"/>
      <c r="AU168"/>
    </row>
    <row r="169" spans="39:47" ht="15">
      <c r="AN169"/>
      <c r="AO169"/>
      <c r="AP169"/>
      <c r="AQ169"/>
      <c r="AR169"/>
      <c r="AS169"/>
      <c r="AT169"/>
      <c r="AU169"/>
    </row>
    <row r="170" spans="39:47" ht="15">
      <c r="AN170"/>
      <c r="AO170"/>
      <c r="AP170"/>
      <c r="AQ170"/>
      <c r="AR170"/>
      <c r="AS170"/>
      <c r="AT170"/>
      <c r="AU170"/>
    </row>
    <row r="171" spans="39:47" ht="15">
      <c r="AN171"/>
      <c r="AO171"/>
      <c r="AP171"/>
      <c r="AQ171"/>
      <c r="AR171"/>
      <c r="AS171"/>
      <c r="AT171"/>
      <c r="AU171"/>
    </row>
    <row r="172" spans="39:47" ht="15">
      <c r="AN172"/>
      <c r="AO172"/>
      <c r="AP172"/>
      <c r="AQ172"/>
      <c r="AR172"/>
      <c r="AS172"/>
      <c r="AT172"/>
      <c r="AU172"/>
    </row>
    <row r="173" spans="39:47" ht="15">
      <c r="AN173"/>
      <c r="AO173"/>
      <c r="AP173"/>
      <c r="AQ173"/>
      <c r="AR173"/>
      <c r="AS173"/>
      <c r="AT173"/>
      <c r="AU173"/>
    </row>
    <row r="174" spans="39:47" ht="15">
      <c r="AN174"/>
      <c r="AO174"/>
      <c r="AP174"/>
      <c r="AQ174"/>
      <c r="AR174"/>
      <c r="AS174"/>
      <c r="AT174"/>
      <c r="AU174"/>
    </row>
    <row r="175" spans="39:47" ht="15">
      <c r="AN175"/>
      <c r="AO175"/>
      <c r="AP175"/>
      <c r="AQ175"/>
      <c r="AR175"/>
      <c r="AS175"/>
      <c r="AT175"/>
      <c r="AU175"/>
    </row>
    <row r="176" spans="39:47" ht="15">
      <c r="AN176"/>
      <c r="AO176"/>
      <c r="AP176"/>
      <c r="AQ176"/>
      <c r="AR176"/>
      <c r="AS176"/>
      <c r="AT176"/>
      <c r="AU176"/>
    </row>
    <row r="177" spans="40:47" ht="15">
      <c r="AN177"/>
      <c r="AO177"/>
      <c r="AP177"/>
      <c r="AQ177"/>
      <c r="AR177"/>
      <c r="AS177"/>
      <c r="AT177"/>
      <c r="AU177"/>
    </row>
    <row r="178" spans="40:47" ht="15">
      <c r="AN178"/>
      <c r="AO178"/>
      <c r="AP178"/>
      <c r="AQ178"/>
      <c r="AR178"/>
      <c r="AS178"/>
      <c r="AT178"/>
      <c r="AU178"/>
    </row>
    <row r="179" spans="40:47" ht="15">
      <c r="AN179"/>
      <c r="AO179"/>
      <c r="AP179"/>
      <c r="AQ179"/>
      <c r="AR179"/>
      <c r="AS179"/>
      <c r="AT179"/>
      <c r="AU179"/>
    </row>
    <row r="180" spans="40:47" ht="15">
      <c r="AN180"/>
      <c r="AO180"/>
      <c r="AP180"/>
      <c r="AQ180"/>
      <c r="AR180"/>
      <c r="AS180"/>
      <c r="AT180"/>
      <c r="AU180"/>
    </row>
    <row r="181" spans="40:47" ht="15">
      <c r="AN181"/>
      <c r="AO181"/>
      <c r="AP181"/>
      <c r="AQ181"/>
      <c r="AR181"/>
      <c r="AS181"/>
      <c r="AT181"/>
      <c r="AU181"/>
    </row>
    <row r="182" spans="40:47" ht="15">
      <c r="AN182"/>
      <c r="AO182"/>
      <c r="AP182"/>
      <c r="AQ182"/>
      <c r="AR182"/>
      <c r="AS182"/>
      <c r="AT182"/>
      <c r="AU182"/>
    </row>
  </sheetData>
  <autoFilter ref="B6:AI89" xr:uid="{00000000-0001-0000-0500-000000000000}"/>
  <conditionalFormatting sqref="B11:B16">
    <cfRule type="duplicateValues" dxfId="10" priority="10"/>
  </conditionalFormatting>
  <conditionalFormatting sqref="B17">
    <cfRule type="duplicateValues" dxfId="9" priority="6"/>
  </conditionalFormatting>
  <conditionalFormatting sqref="B18">
    <cfRule type="duplicateValues" dxfId="8" priority="4"/>
  </conditionalFormatting>
  <conditionalFormatting sqref="B35:B38">
    <cfRule type="duplicateValues" dxfId="7" priority="3"/>
  </conditionalFormatting>
  <conditionalFormatting sqref="B56:B57">
    <cfRule type="duplicateValues" dxfId="6" priority="11"/>
  </conditionalFormatting>
  <conditionalFormatting sqref="G11:G16">
    <cfRule type="duplicateValues" dxfId="5" priority="7"/>
  </conditionalFormatting>
  <conditionalFormatting sqref="G17">
    <cfRule type="duplicateValues" dxfId="4" priority="8"/>
  </conditionalFormatting>
  <conditionalFormatting sqref="G26:G28">
    <cfRule type="duplicateValues" dxfId="3" priority="1"/>
  </conditionalFormatting>
  <conditionalFormatting sqref="G35:G38">
    <cfRule type="duplicateValues" dxfId="2" priority="2"/>
  </conditionalFormatting>
  <conditionalFormatting sqref="G41:G42">
    <cfRule type="duplicateValues" dxfId="1" priority="9"/>
  </conditionalFormatting>
  <conditionalFormatting sqref="G43:G44"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6216-2869-4A20-8AA3-608F07EC1DF7}">
  <sheetPr>
    <tabColor theme="7" tint="0.59999389629810485"/>
  </sheetPr>
  <dimension ref="A1:S135"/>
  <sheetViews>
    <sheetView tabSelected="1" workbookViewId="0">
      <selection activeCell="I16" sqref="I16"/>
    </sheetView>
  </sheetViews>
  <sheetFormatPr defaultColWidth="9.140625" defaultRowHeight="15"/>
  <cols>
    <col min="1" max="1" width="23.28515625" style="293" customWidth="1"/>
    <col min="2" max="5" width="16.5703125" style="293" customWidth="1"/>
    <col min="6" max="6" width="16.28515625" style="293" customWidth="1"/>
    <col min="7" max="7" width="13.42578125" style="293" customWidth="1"/>
    <col min="8" max="8" width="13.5703125" style="293" customWidth="1"/>
    <col min="9" max="9" width="15.5703125" style="293" customWidth="1"/>
    <col min="10" max="10" width="13.42578125" style="293" customWidth="1"/>
    <col min="11" max="11" width="15.7109375" style="293" customWidth="1"/>
    <col min="12" max="12" width="14.85546875" style="293" customWidth="1"/>
    <col min="13" max="13" width="17.28515625" style="293" customWidth="1"/>
    <col min="14" max="14" width="15.5703125" style="295" customWidth="1"/>
    <col min="15" max="15" width="5.7109375" customWidth="1"/>
    <col min="16" max="16" width="14.5703125" style="293" bestFit="1" customWidth="1"/>
    <col min="17" max="17" width="14" style="294" bestFit="1" customWidth="1"/>
    <col min="18" max="18" width="9.140625" style="294"/>
    <col min="19" max="256" width="9.140625" style="293"/>
    <col min="257" max="261" width="16.5703125" style="293" customWidth="1"/>
    <col min="262" max="262" width="16.28515625" style="293" customWidth="1"/>
    <col min="263" max="263" width="13.42578125" style="293" customWidth="1"/>
    <col min="264" max="264" width="13.5703125" style="293" customWidth="1"/>
    <col min="265" max="265" width="15.5703125" style="293" customWidth="1"/>
    <col min="266" max="266" width="13.42578125" style="293" customWidth="1"/>
    <col min="267" max="267" width="15.7109375" style="293" customWidth="1"/>
    <col min="268" max="268" width="14.85546875" style="293" customWidth="1"/>
    <col min="269" max="269" width="17.28515625" style="293" customWidth="1"/>
    <col min="270" max="270" width="15.5703125" style="293" customWidth="1"/>
    <col min="271" max="271" width="16.28515625" style="293" customWidth="1"/>
    <col min="272" max="272" width="14.5703125" style="293" bestFit="1" customWidth="1"/>
    <col min="273" max="273" width="14" style="293" bestFit="1" customWidth="1"/>
    <col min="274" max="512" width="9.140625" style="293"/>
    <col min="513" max="517" width="16.5703125" style="293" customWidth="1"/>
    <col min="518" max="518" width="16.28515625" style="293" customWidth="1"/>
    <col min="519" max="519" width="13.42578125" style="293" customWidth="1"/>
    <col min="520" max="520" width="13.5703125" style="293" customWidth="1"/>
    <col min="521" max="521" width="15.5703125" style="293" customWidth="1"/>
    <col min="522" max="522" width="13.42578125" style="293" customWidth="1"/>
    <col min="523" max="523" width="15.7109375" style="293" customWidth="1"/>
    <col min="524" max="524" width="14.85546875" style="293" customWidth="1"/>
    <col min="525" max="525" width="17.28515625" style="293" customWidth="1"/>
    <col min="526" max="526" width="15.5703125" style="293" customWidth="1"/>
    <col min="527" max="527" width="16.28515625" style="293" customWidth="1"/>
    <col min="528" max="528" width="14.5703125" style="293" bestFit="1" customWidth="1"/>
    <col min="529" max="529" width="14" style="293" bestFit="1" customWidth="1"/>
    <col min="530" max="768" width="9.140625" style="293"/>
    <col min="769" max="773" width="16.5703125" style="293" customWidth="1"/>
    <col min="774" max="774" width="16.28515625" style="293" customWidth="1"/>
    <col min="775" max="775" width="13.42578125" style="293" customWidth="1"/>
    <col min="776" max="776" width="13.5703125" style="293" customWidth="1"/>
    <col min="777" max="777" width="15.5703125" style="293" customWidth="1"/>
    <col min="778" max="778" width="13.42578125" style="293" customWidth="1"/>
    <col min="779" max="779" width="15.7109375" style="293" customWidth="1"/>
    <col min="780" max="780" width="14.85546875" style="293" customWidth="1"/>
    <col min="781" max="781" width="17.28515625" style="293" customWidth="1"/>
    <col min="782" max="782" width="15.5703125" style="293" customWidth="1"/>
    <col min="783" max="783" width="16.28515625" style="293" customWidth="1"/>
    <col min="784" max="784" width="14.5703125" style="293" bestFit="1" customWidth="1"/>
    <col min="785" max="785" width="14" style="293" bestFit="1" customWidth="1"/>
    <col min="786" max="1024" width="9.140625" style="293"/>
    <col min="1025" max="1029" width="16.5703125" style="293" customWidth="1"/>
    <col min="1030" max="1030" width="16.28515625" style="293" customWidth="1"/>
    <col min="1031" max="1031" width="13.42578125" style="293" customWidth="1"/>
    <col min="1032" max="1032" width="13.5703125" style="293" customWidth="1"/>
    <col min="1033" max="1033" width="15.5703125" style="293" customWidth="1"/>
    <col min="1034" max="1034" width="13.42578125" style="293" customWidth="1"/>
    <col min="1035" max="1035" width="15.7109375" style="293" customWidth="1"/>
    <col min="1036" max="1036" width="14.85546875" style="293" customWidth="1"/>
    <col min="1037" max="1037" width="17.28515625" style="293" customWidth="1"/>
    <col min="1038" max="1038" width="15.5703125" style="293" customWidth="1"/>
    <col min="1039" max="1039" width="16.28515625" style="293" customWidth="1"/>
    <col min="1040" max="1040" width="14.5703125" style="293" bestFit="1" customWidth="1"/>
    <col min="1041" max="1041" width="14" style="293" bestFit="1" customWidth="1"/>
    <col min="1042" max="1280" width="9.140625" style="293"/>
    <col min="1281" max="1285" width="16.5703125" style="293" customWidth="1"/>
    <col min="1286" max="1286" width="16.28515625" style="293" customWidth="1"/>
    <col min="1287" max="1287" width="13.42578125" style="293" customWidth="1"/>
    <col min="1288" max="1288" width="13.5703125" style="293" customWidth="1"/>
    <col min="1289" max="1289" width="15.5703125" style="293" customWidth="1"/>
    <col min="1290" max="1290" width="13.42578125" style="293" customWidth="1"/>
    <col min="1291" max="1291" width="15.7109375" style="293" customWidth="1"/>
    <col min="1292" max="1292" width="14.85546875" style="293" customWidth="1"/>
    <col min="1293" max="1293" width="17.28515625" style="293" customWidth="1"/>
    <col min="1294" max="1294" width="15.5703125" style="293" customWidth="1"/>
    <col min="1295" max="1295" width="16.28515625" style="293" customWidth="1"/>
    <col min="1296" max="1296" width="14.5703125" style="293" bestFit="1" customWidth="1"/>
    <col min="1297" max="1297" width="14" style="293" bestFit="1" customWidth="1"/>
    <col min="1298" max="1536" width="9.140625" style="293"/>
    <col min="1537" max="1541" width="16.5703125" style="293" customWidth="1"/>
    <col min="1542" max="1542" width="16.28515625" style="293" customWidth="1"/>
    <col min="1543" max="1543" width="13.42578125" style="293" customWidth="1"/>
    <col min="1544" max="1544" width="13.5703125" style="293" customWidth="1"/>
    <col min="1545" max="1545" width="15.5703125" style="293" customWidth="1"/>
    <col min="1546" max="1546" width="13.42578125" style="293" customWidth="1"/>
    <col min="1547" max="1547" width="15.7109375" style="293" customWidth="1"/>
    <col min="1548" max="1548" width="14.85546875" style="293" customWidth="1"/>
    <col min="1549" max="1549" width="17.28515625" style="293" customWidth="1"/>
    <col min="1550" max="1550" width="15.5703125" style="293" customWidth="1"/>
    <col min="1551" max="1551" width="16.28515625" style="293" customWidth="1"/>
    <col min="1552" max="1552" width="14.5703125" style="293" bestFit="1" customWidth="1"/>
    <col min="1553" max="1553" width="14" style="293" bestFit="1" customWidth="1"/>
    <col min="1554" max="1792" width="9.140625" style="293"/>
    <col min="1793" max="1797" width="16.5703125" style="293" customWidth="1"/>
    <col min="1798" max="1798" width="16.28515625" style="293" customWidth="1"/>
    <col min="1799" max="1799" width="13.42578125" style="293" customWidth="1"/>
    <col min="1800" max="1800" width="13.5703125" style="293" customWidth="1"/>
    <col min="1801" max="1801" width="15.5703125" style="293" customWidth="1"/>
    <col min="1802" max="1802" width="13.42578125" style="293" customWidth="1"/>
    <col min="1803" max="1803" width="15.7109375" style="293" customWidth="1"/>
    <col min="1804" max="1804" width="14.85546875" style="293" customWidth="1"/>
    <col min="1805" max="1805" width="17.28515625" style="293" customWidth="1"/>
    <col min="1806" max="1806" width="15.5703125" style="293" customWidth="1"/>
    <col min="1807" max="1807" width="16.28515625" style="293" customWidth="1"/>
    <col min="1808" max="1808" width="14.5703125" style="293" bestFit="1" customWidth="1"/>
    <col min="1809" max="1809" width="14" style="293" bestFit="1" customWidth="1"/>
    <col min="1810" max="2048" width="9.140625" style="293"/>
    <col min="2049" max="2053" width="16.5703125" style="293" customWidth="1"/>
    <col min="2054" max="2054" width="16.28515625" style="293" customWidth="1"/>
    <col min="2055" max="2055" width="13.42578125" style="293" customWidth="1"/>
    <col min="2056" max="2056" width="13.5703125" style="293" customWidth="1"/>
    <col min="2057" max="2057" width="15.5703125" style="293" customWidth="1"/>
    <col min="2058" max="2058" width="13.42578125" style="293" customWidth="1"/>
    <col min="2059" max="2059" width="15.7109375" style="293" customWidth="1"/>
    <col min="2060" max="2060" width="14.85546875" style="293" customWidth="1"/>
    <col min="2061" max="2061" width="17.28515625" style="293" customWidth="1"/>
    <col min="2062" max="2062" width="15.5703125" style="293" customWidth="1"/>
    <col min="2063" max="2063" width="16.28515625" style="293" customWidth="1"/>
    <col min="2064" max="2064" width="14.5703125" style="293" bestFit="1" customWidth="1"/>
    <col min="2065" max="2065" width="14" style="293" bestFit="1" customWidth="1"/>
    <col min="2066" max="2304" width="9.140625" style="293"/>
    <col min="2305" max="2309" width="16.5703125" style="293" customWidth="1"/>
    <col min="2310" max="2310" width="16.28515625" style="293" customWidth="1"/>
    <col min="2311" max="2311" width="13.42578125" style="293" customWidth="1"/>
    <col min="2312" max="2312" width="13.5703125" style="293" customWidth="1"/>
    <col min="2313" max="2313" width="15.5703125" style="293" customWidth="1"/>
    <col min="2314" max="2314" width="13.42578125" style="293" customWidth="1"/>
    <col min="2315" max="2315" width="15.7109375" style="293" customWidth="1"/>
    <col min="2316" max="2316" width="14.85546875" style="293" customWidth="1"/>
    <col min="2317" max="2317" width="17.28515625" style="293" customWidth="1"/>
    <col min="2318" max="2318" width="15.5703125" style="293" customWidth="1"/>
    <col min="2319" max="2319" width="16.28515625" style="293" customWidth="1"/>
    <col min="2320" max="2320" width="14.5703125" style="293" bestFit="1" customWidth="1"/>
    <col min="2321" max="2321" width="14" style="293" bestFit="1" customWidth="1"/>
    <col min="2322" max="2560" width="9.140625" style="293"/>
    <col min="2561" max="2565" width="16.5703125" style="293" customWidth="1"/>
    <col min="2566" max="2566" width="16.28515625" style="293" customWidth="1"/>
    <col min="2567" max="2567" width="13.42578125" style="293" customWidth="1"/>
    <col min="2568" max="2568" width="13.5703125" style="293" customWidth="1"/>
    <col min="2569" max="2569" width="15.5703125" style="293" customWidth="1"/>
    <col min="2570" max="2570" width="13.42578125" style="293" customWidth="1"/>
    <col min="2571" max="2571" width="15.7109375" style="293" customWidth="1"/>
    <col min="2572" max="2572" width="14.85546875" style="293" customWidth="1"/>
    <col min="2573" max="2573" width="17.28515625" style="293" customWidth="1"/>
    <col min="2574" max="2574" width="15.5703125" style="293" customWidth="1"/>
    <col min="2575" max="2575" width="16.28515625" style="293" customWidth="1"/>
    <col min="2576" max="2576" width="14.5703125" style="293" bestFit="1" customWidth="1"/>
    <col min="2577" max="2577" width="14" style="293" bestFit="1" customWidth="1"/>
    <col min="2578" max="2816" width="9.140625" style="293"/>
    <col min="2817" max="2821" width="16.5703125" style="293" customWidth="1"/>
    <col min="2822" max="2822" width="16.28515625" style="293" customWidth="1"/>
    <col min="2823" max="2823" width="13.42578125" style="293" customWidth="1"/>
    <col min="2824" max="2824" width="13.5703125" style="293" customWidth="1"/>
    <col min="2825" max="2825" width="15.5703125" style="293" customWidth="1"/>
    <col min="2826" max="2826" width="13.42578125" style="293" customWidth="1"/>
    <col min="2827" max="2827" width="15.7109375" style="293" customWidth="1"/>
    <col min="2828" max="2828" width="14.85546875" style="293" customWidth="1"/>
    <col min="2829" max="2829" width="17.28515625" style="293" customWidth="1"/>
    <col min="2830" max="2830" width="15.5703125" style="293" customWidth="1"/>
    <col min="2831" max="2831" width="16.28515625" style="293" customWidth="1"/>
    <col min="2832" max="2832" width="14.5703125" style="293" bestFit="1" customWidth="1"/>
    <col min="2833" max="2833" width="14" style="293" bestFit="1" customWidth="1"/>
    <col min="2834" max="3072" width="9.140625" style="293"/>
    <col min="3073" max="3077" width="16.5703125" style="293" customWidth="1"/>
    <col min="3078" max="3078" width="16.28515625" style="293" customWidth="1"/>
    <col min="3079" max="3079" width="13.42578125" style="293" customWidth="1"/>
    <col min="3080" max="3080" width="13.5703125" style="293" customWidth="1"/>
    <col min="3081" max="3081" width="15.5703125" style="293" customWidth="1"/>
    <col min="3082" max="3082" width="13.42578125" style="293" customWidth="1"/>
    <col min="3083" max="3083" width="15.7109375" style="293" customWidth="1"/>
    <col min="3084" max="3084" width="14.85546875" style="293" customWidth="1"/>
    <col min="3085" max="3085" width="17.28515625" style="293" customWidth="1"/>
    <col min="3086" max="3086" width="15.5703125" style="293" customWidth="1"/>
    <col min="3087" max="3087" width="16.28515625" style="293" customWidth="1"/>
    <col min="3088" max="3088" width="14.5703125" style="293" bestFit="1" customWidth="1"/>
    <col min="3089" max="3089" width="14" style="293" bestFit="1" customWidth="1"/>
    <col min="3090" max="3328" width="9.140625" style="293"/>
    <col min="3329" max="3333" width="16.5703125" style="293" customWidth="1"/>
    <col min="3334" max="3334" width="16.28515625" style="293" customWidth="1"/>
    <col min="3335" max="3335" width="13.42578125" style="293" customWidth="1"/>
    <col min="3336" max="3336" width="13.5703125" style="293" customWidth="1"/>
    <col min="3337" max="3337" width="15.5703125" style="293" customWidth="1"/>
    <col min="3338" max="3338" width="13.42578125" style="293" customWidth="1"/>
    <col min="3339" max="3339" width="15.7109375" style="293" customWidth="1"/>
    <col min="3340" max="3340" width="14.85546875" style="293" customWidth="1"/>
    <col min="3341" max="3341" width="17.28515625" style="293" customWidth="1"/>
    <col min="3342" max="3342" width="15.5703125" style="293" customWidth="1"/>
    <col min="3343" max="3343" width="16.28515625" style="293" customWidth="1"/>
    <col min="3344" max="3344" width="14.5703125" style="293" bestFit="1" customWidth="1"/>
    <col min="3345" max="3345" width="14" style="293" bestFit="1" customWidth="1"/>
    <col min="3346" max="3584" width="9.140625" style="293"/>
    <col min="3585" max="3589" width="16.5703125" style="293" customWidth="1"/>
    <col min="3590" max="3590" width="16.28515625" style="293" customWidth="1"/>
    <col min="3591" max="3591" width="13.42578125" style="293" customWidth="1"/>
    <col min="3592" max="3592" width="13.5703125" style="293" customWidth="1"/>
    <col min="3593" max="3593" width="15.5703125" style="293" customWidth="1"/>
    <col min="3594" max="3594" width="13.42578125" style="293" customWidth="1"/>
    <col min="3595" max="3595" width="15.7109375" style="293" customWidth="1"/>
    <col min="3596" max="3596" width="14.85546875" style="293" customWidth="1"/>
    <col min="3597" max="3597" width="17.28515625" style="293" customWidth="1"/>
    <col min="3598" max="3598" width="15.5703125" style="293" customWidth="1"/>
    <col min="3599" max="3599" width="16.28515625" style="293" customWidth="1"/>
    <col min="3600" max="3600" width="14.5703125" style="293" bestFit="1" customWidth="1"/>
    <col min="3601" max="3601" width="14" style="293" bestFit="1" customWidth="1"/>
    <col min="3602" max="3840" width="9.140625" style="293"/>
    <col min="3841" max="3845" width="16.5703125" style="293" customWidth="1"/>
    <col min="3846" max="3846" width="16.28515625" style="293" customWidth="1"/>
    <col min="3847" max="3847" width="13.42578125" style="293" customWidth="1"/>
    <col min="3848" max="3848" width="13.5703125" style="293" customWidth="1"/>
    <col min="3849" max="3849" width="15.5703125" style="293" customWidth="1"/>
    <col min="3850" max="3850" width="13.42578125" style="293" customWidth="1"/>
    <col min="3851" max="3851" width="15.7109375" style="293" customWidth="1"/>
    <col min="3852" max="3852" width="14.85546875" style="293" customWidth="1"/>
    <col min="3853" max="3853" width="17.28515625" style="293" customWidth="1"/>
    <col min="3854" max="3854" width="15.5703125" style="293" customWidth="1"/>
    <col min="3855" max="3855" width="16.28515625" style="293" customWidth="1"/>
    <col min="3856" max="3856" width="14.5703125" style="293" bestFit="1" customWidth="1"/>
    <col min="3857" max="3857" width="14" style="293" bestFit="1" customWidth="1"/>
    <col min="3858" max="4096" width="9.140625" style="293"/>
    <col min="4097" max="4101" width="16.5703125" style="293" customWidth="1"/>
    <col min="4102" max="4102" width="16.28515625" style="293" customWidth="1"/>
    <col min="4103" max="4103" width="13.42578125" style="293" customWidth="1"/>
    <col min="4104" max="4104" width="13.5703125" style="293" customWidth="1"/>
    <col min="4105" max="4105" width="15.5703125" style="293" customWidth="1"/>
    <col min="4106" max="4106" width="13.42578125" style="293" customWidth="1"/>
    <col min="4107" max="4107" width="15.7109375" style="293" customWidth="1"/>
    <col min="4108" max="4108" width="14.85546875" style="293" customWidth="1"/>
    <col min="4109" max="4109" width="17.28515625" style="293" customWidth="1"/>
    <col min="4110" max="4110" width="15.5703125" style="293" customWidth="1"/>
    <col min="4111" max="4111" width="16.28515625" style="293" customWidth="1"/>
    <col min="4112" max="4112" width="14.5703125" style="293" bestFit="1" customWidth="1"/>
    <col min="4113" max="4113" width="14" style="293" bestFit="1" customWidth="1"/>
    <col min="4114" max="4352" width="9.140625" style="293"/>
    <col min="4353" max="4357" width="16.5703125" style="293" customWidth="1"/>
    <col min="4358" max="4358" width="16.28515625" style="293" customWidth="1"/>
    <col min="4359" max="4359" width="13.42578125" style="293" customWidth="1"/>
    <col min="4360" max="4360" width="13.5703125" style="293" customWidth="1"/>
    <col min="4361" max="4361" width="15.5703125" style="293" customWidth="1"/>
    <col min="4362" max="4362" width="13.42578125" style="293" customWidth="1"/>
    <col min="4363" max="4363" width="15.7109375" style="293" customWidth="1"/>
    <col min="4364" max="4364" width="14.85546875" style="293" customWidth="1"/>
    <col min="4365" max="4365" width="17.28515625" style="293" customWidth="1"/>
    <col min="4366" max="4366" width="15.5703125" style="293" customWidth="1"/>
    <col min="4367" max="4367" width="16.28515625" style="293" customWidth="1"/>
    <col min="4368" max="4368" width="14.5703125" style="293" bestFit="1" customWidth="1"/>
    <col min="4369" max="4369" width="14" style="293" bestFit="1" customWidth="1"/>
    <col min="4370" max="4608" width="9.140625" style="293"/>
    <col min="4609" max="4613" width="16.5703125" style="293" customWidth="1"/>
    <col min="4614" max="4614" width="16.28515625" style="293" customWidth="1"/>
    <col min="4615" max="4615" width="13.42578125" style="293" customWidth="1"/>
    <col min="4616" max="4616" width="13.5703125" style="293" customWidth="1"/>
    <col min="4617" max="4617" width="15.5703125" style="293" customWidth="1"/>
    <col min="4618" max="4618" width="13.42578125" style="293" customWidth="1"/>
    <col min="4619" max="4619" width="15.7109375" style="293" customWidth="1"/>
    <col min="4620" max="4620" width="14.85546875" style="293" customWidth="1"/>
    <col min="4621" max="4621" width="17.28515625" style="293" customWidth="1"/>
    <col min="4622" max="4622" width="15.5703125" style="293" customWidth="1"/>
    <col min="4623" max="4623" width="16.28515625" style="293" customWidth="1"/>
    <col min="4624" max="4624" width="14.5703125" style="293" bestFit="1" customWidth="1"/>
    <col min="4625" max="4625" width="14" style="293" bestFit="1" customWidth="1"/>
    <col min="4626" max="4864" width="9.140625" style="293"/>
    <col min="4865" max="4869" width="16.5703125" style="293" customWidth="1"/>
    <col min="4870" max="4870" width="16.28515625" style="293" customWidth="1"/>
    <col min="4871" max="4871" width="13.42578125" style="293" customWidth="1"/>
    <col min="4872" max="4872" width="13.5703125" style="293" customWidth="1"/>
    <col min="4873" max="4873" width="15.5703125" style="293" customWidth="1"/>
    <col min="4874" max="4874" width="13.42578125" style="293" customWidth="1"/>
    <col min="4875" max="4875" width="15.7109375" style="293" customWidth="1"/>
    <col min="4876" max="4876" width="14.85546875" style="293" customWidth="1"/>
    <col min="4877" max="4877" width="17.28515625" style="293" customWidth="1"/>
    <col min="4878" max="4878" width="15.5703125" style="293" customWidth="1"/>
    <col min="4879" max="4879" width="16.28515625" style="293" customWidth="1"/>
    <col min="4880" max="4880" width="14.5703125" style="293" bestFit="1" customWidth="1"/>
    <col min="4881" max="4881" width="14" style="293" bestFit="1" customWidth="1"/>
    <col min="4882" max="5120" width="9.140625" style="293"/>
    <col min="5121" max="5125" width="16.5703125" style="293" customWidth="1"/>
    <col min="5126" max="5126" width="16.28515625" style="293" customWidth="1"/>
    <col min="5127" max="5127" width="13.42578125" style="293" customWidth="1"/>
    <col min="5128" max="5128" width="13.5703125" style="293" customWidth="1"/>
    <col min="5129" max="5129" width="15.5703125" style="293" customWidth="1"/>
    <col min="5130" max="5130" width="13.42578125" style="293" customWidth="1"/>
    <col min="5131" max="5131" width="15.7109375" style="293" customWidth="1"/>
    <col min="5132" max="5132" width="14.85546875" style="293" customWidth="1"/>
    <col min="5133" max="5133" width="17.28515625" style="293" customWidth="1"/>
    <col min="5134" max="5134" width="15.5703125" style="293" customWidth="1"/>
    <col min="5135" max="5135" width="16.28515625" style="293" customWidth="1"/>
    <col min="5136" max="5136" width="14.5703125" style="293" bestFit="1" customWidth="1"/>
    <col min="5137" max="5137" width="14" style="293" bestFit="1" customWidth="1"/>
    <col min="5138" max="5376" width="9.140625" style="293"/>
    <col min="5377" max="5381" width="16.5703125" style="293" customWidth="1"/>
    <col min="5382" max="5382" width="16.28515625" style="293" customWidth="1"/>
    <col min="5383" max="5383" width="13.42578125" style="293" customWidth="1"/>
    <col min="5384" max="5384" width="13.5703125" style="293" customWidth="1"/>
    <col min="5385" max="5385" width="15.5703125" style="293" customWidth="1"/>
    <col min="5386" max="5386" width="13.42578125" style="293" customWidth="1"/>
    <col min="5387" max="5387" width="15.7109375" style="293" customWidth="1"/>
    <col min="5388" max="5388" width="14.85546875" style="293" customWidth="1"/>
    <col min="5389" max="5389" width="17.28515625" style="293" customWidth="1"/>
    <col min="5390" max="5390" width="15.5703125" style="293" customWidth="1"/>
    <col min="5391" max="5391" width="16.28515625" style="293" customWidth="1"/>
    <col min="5392" max="5392" width="14.5703125" style="293" bestFit="1" customWidth="1"/>
    <col min="5393" max="5393" width="14" style="293" bestFit="1" customWidth="1"/>
    <col min="5394" max="5632" width="9.140625" style="293"/>
    <col min="5633" max="5637" width="16.5703125" style="293" customWidth="1"/>
    <col min="5638" max="5638" width="16.28515625" style="293" customWidth="1"/>
    <col min="5639" max="5639" width="13.42578125" style="293" customWidth="1"/>
    <col min="5640" max="5640" width="13.5703125" style="293" customWidth="1"/>
    <col min="5641" max="5641" width="15.5703125" style="293" customWidth="1"/>
    <col min="5642" max="5642" width="13.42578125" style="293" customWidth="1"/>
    <col min="5643" max="5643" width="15.7109375" style="293" customWidth="1"/>
    <col min="5644" max="5644" width="14.85546875" style="293" customWidth="1"/>
    <col min="5645" max="5645" width="17.28515625" style="293" customWidth="1"/>
    <col min="5646" max="5646" width="15.5703125" style="293" customWidth="1"/>
    <col min="5647" max="5647" width="16.28515625" style="293" customWidth="1"/>
    <col min="5648" max="5648" width="14.5703125" style="293" bestFit="1" customWidth="1"/>
    <col min="5649" max="5649" width="14" style="293" bestFit="1" customWidth="1"/>
    <col min="5650" max="5888" width="9.140625" style="293"/>
    <col min="5889" max="5893" width="16.5703125" style="293" customWidth="1"/>
    <col min="5894" max="5894" width="16.28515625" style="293" customWidth="1"/>
    <col min="5895" max="5895" width="13.42578125" style="293" customWidth="1"/>
    <col min="5896" max="5896" width="13.5703125" style="293" customWidth="1"/>
    <col min="5897" max="5897" width="15.5703125" style="293" customWidth="1"/>
    <col min="5898" max="5898" width="13.42578125" style="293" customWidth="1"/>
    <col min="5899" max="5899" width="15.7109375" style="293" customWidth="1"/>
    <col min="5900" max="5900" width="14.85546875" style="293" customWidth="1"/>
    <col min="5901" max="5901" width="17.28515625" style="293" customWidth="1"/>
    <col min="5902" max="5902" width="15.5703125" style="293" customWidth="1"/>
    <col min="5903" max="5903" width="16.28515625" style="293" customWidth="1"/>
    <col min="5904" max="5904" width="14.5703125" style="293" bestFit="1" customWidth="1"/>
    <col min="5905" max="5905" width="14" style="293" bestFit="1" customWidth="1"/>
    <col min="5906" max="6144" width="9.140625" style="293"/>
    <col min="6145" max="6149" width="16.5703125" style="293" customWidth="1"/>
    <col min="6150" max="6150" width="16.28515625" style="293" customWidth="1"/>
    <col min="6151" max="6151" width="13.42578125" style="293" customWidth="1"/>
    <col min="6152" max="6152" width="13.5703125" style="293" customWidth="1"/>
    <col min="6153" max="6153" width="15.5703125" style="293" customWidth="1"/>
    <col min="6154" max="6154" width="13.42578125" style="293" customWidth="1"/>
    <col min="6155" max="6155" width="15.7109375" style="293" customWidth="1"/>
    <col min="6156" max="6156" width="14.85546875" style="293" customWidth="1"/>
    <col min="6157" max="6157" width="17.28515625" style="293" customWidth="1"/>
    <col min="6158" max="6158" width="15.5703125" style="293" customWidth="1"/>
    <col min="6159" max="6159" width="16.28515625" style="293" customWidth="1"/>
    <col min="6160" max="6160" width="14.5703125" style="293" bestFit="1" customWidth="1"/>
    <col min="6161" max="6161" width="14" style="293" bestFit="1" customWidth="1"/>
    <col min="6162" max="6400" width="9.140625" style="293"/>
    <col min="6401" max="6405" width="16.5703125" style="293" customWidth="1"/>
    <col min="6406" max="6406" width="16.28515625" style="293" customWidth="1"/>
    <col min="6407" max="6407" width="13.42578125" style="293" customWidth="1"/>
    <col min="6408" max="6408" width="13.5703125" style="293" customWidth="1"/>
    <col min="6409" max="6409" width="15.5703125" style="293" customWidth="1"/>
    <col min="6410" max="6410" width="13.42578125" style="293" customWidth="1"/>
    <col min="6411" max="6411" width="15.7109375" style="293" customWidth="1"/>
    <col min="6412" max="6412" width="14.85546875" style="293" customWidth="1"/>
    <col min="6413" max="6413" width="17.28515625" style="293" customWidth="1"/>
    <col min="6414" max="6414" width="15.5703125" style="293" customWidth="1"/>
    <col min="6415" max="6415" width="16.28515625" style="293" customWidth="1"/>
    <col min="6416" max="6416" width="14.5703125" style="293" bestFit="1" customWidth="1"/>
    <col min="6417" max="6417" width="14" style="293" bestFit="1" customWidth="1"/>
    <col min="6418" max="6656" width="9.140625" style="293"/>
    <col min="6657" max="6661" width="16.5703125" style="293" customWidth="1"/>
    <col min="6662" max="6662" width="16.28515625" style="293" customWidth="1"/>
    <col min="6663" max="6663" width="13.42578125" style="293" customWidth="1"/>
    <col min="6664" max="6664" width="13.5703125" style="293" customWidth="1"/>
    <col min="6665" max="6665" width="15.5703125" style="293" customWidth="1"/>
    <col min="6666" max="6666" width="13.42578125" style="293" customWidth="1"/>
    <col min="6667" max="6667" width="15.7109375" style="293" customWidth="1"/>
    <col min="6668" max="6668" width="14.85546875" style="293" customWidth="1"/>
    <col min="6669" max="6669" width="17.28515625" style="293" customWidth="1"/>
    <col min="6670" max="6670" width="15.5703125" style="293" customWidth="1"/>
    <col min="6671" max="6671" width="16.28515625" style="293" customWidth="1"/>
    <col min="6672" max="6672" width="14.5703125" style="293" bestFit="1" customWidth="1"/>
    <col min="6673" max="6673" width="14" style="293" bestFit="1" customWidth="1"/>
    <col min="6674" max="6912" width="9.140625" style="293"/>
    <col min="6913" max="6917" width="16.5703125" style="293" customWidth="1"/>
    <col min="6918" max="6918" width="16.28515625" style="293" customWidth="1"/>
    <col min="6919" max="6919" width="13.42578125" style="293" customWidth="1"/>
    <col min="6920" max="6920" width="13.5703125" style="293" customWidth="1"/>
    <col min="6921" max="6921" width="15.5703125" style="293" customWidth="1"/>
    <col min="6922" max="6922" width="13.42578125" style="293" customWidth="1"/>
    <col min="6923" max="6923" width="15.7109375" style="293" customWidth="1"/>
    <col min="6924" max="6924" width="14.85546875" style="293" customWidth="1"/>
    <col min="6925" max="6925" width="17.28515625" style="293" customWidth="1"/>
    <col min="6926" max="6926" width="15.5703125" style="293" customWidth="1"/>
    <col min="6927" max="6927" width="16.28515625" style="293" customWidth="1"/>
    <col min="6928" max="6928" width="14.5703125" style="293" bestFit="1" customWidth="1"/>
    <col min="6929" max="6929" width="14" style="293" bestFit="1" customWidth="1"/>
    <col min="6930" max="7168" width="9.140625" style="293"/>
    <col min="7169" max="7173" width="16.5703125" style="293" customWidth="1"/>
    <col min="7174" max="7174" width="16.28515625" style="293" customWidth="1"/>
    <col min="7175" max="7175" width="13.42578125" style="293" customWidth="1"/>
    <col min="7176" max="7176" width="13.5703125" style="293" customWidth="1"/>
    <col min="7177" max="7177" width="15.5703125" style="293" customWidth="1"/>
    <col min="7178" max="7178" width="13.42578125" style="293" customWidth="1"/>
    <col min="7179" max="7179" width="15.7109375" style="293" customWidth="1"/>
    <col min="7180" max="7180" width="14.85546875" style="293" customWidth="1"/>
    <col min="7181" max="7181" width="17.28515625" style="293" customWidth="1"/>
    <col min="7182" max="7182" width="15.5703125" style="293" customWidth="1"/>
    <col min="7183" max="7183" width="16.28515625" style="293" customWidth="1"/>
    <col min="7184" max="7184" width="14.5703125" style="293" bestFit="1" customWidth="1"/>
    <col min="7185" max="7185" width="14" style="293" bestFit="1" customWidth="1"/>
    <col min="7186" max="7424" width="9.140625" style="293"/>
    <col min="7425" max="7429" width="16.5703125" style="293" customWidth="1"/>
    <col min="7430" max="7430" width="16.28515625" style="293" customWidth="1"/>
    <col min="7431" max="7431" width="13.42578125" style="293" customWidth="1"/>
    <col min="7432" max="7432" width="13.5703125" style="293" customWidth="1"/>
    <col min="7433" max="7433" width="15.5703125" style="293" customWidth="1"/>
    <col min="7434" max="7434" width="13.42578125" style="293" customWidth="1"/>
    <col min="7435" max="7435" width="15.7109375" style="293" customWidth="1"/>
    <col min="7436" max="7436" width="14.85546875" style="293" customWidth="1"/>
    <col min="7437" max="7437" width="17.28515625" style="293" customWidth="1"/>
    <col min="7438" max="7438" width="15.5703125" style="293" customWidth="1"/>
    <col min="7439" max="7439" width="16.28515625" style="293" customWidth="1"/>
    <col min="7440" max="7440" width="14.5703125" style="293" bestFit="1" customWidth="1"/>
    <col min="7441" max="7441" width="14" style="293" bestFit="1" customWidth="1"/>
    <col min="7442" max="7680" width="9.140625" style="293"/>
    <col min="7681" max="7685" width="16.5703125" style="293" customWidth="1"/>
    <col min="7686" max="7686" width="16.28515625" style="293" customWidth="1"/>
    <col min="7687" max="7687" width="13.42578125" style="293" customWidth="1"/>
    <col min="7688" max="7688" width="13.5703125" style="293" customWidth="1"/>
    <col min="7689" max="7689" width="15.5703125" style="293" customWidth="1"/>
    <col min="7690" max="7690" width="13.42578125" style="293" customWidth="1"/>
    <col min="7691" max="7691" width="15.7109375" style="293" customWidth="1"/>
    <col min="7692" max="7692" width="14.85546875" style="293" customWidth="1"/>
    <col min="7693" max="7693" width="17.28515625" style="293" customWidth="1"/>
    <col min="7694" max="7694" width="15.5703125" style="293" customWidth="1"/>
    <col min="7695" max="7695" width="16.28515625" style="293" customWidth="1"/>
    <col min="7696" max="7696" width="14.5703125" style="293" bestFit="1" customWidth="1"/>
    <col min="7697" max="7697" width="14" style="293" bestFit="1" customWidth="1"/>
    <col min="7698" max="7936" width="9.140625" style="293"/>
    <col min="7937" max="7941" width="16.5703125" style="293" customWidth="1"/>
    <col min="7942" max="7942" width="16.28515625" style="293" customWidth="1"/>
    <col min="7943" max="7943" width="13.42578125" style="293" customWidth="1"/>
    <col min="7944" max="7944" width="13.5703125" style="293" customWidth="1"/>
    <col min="7945" max="7945" width="15.5703125" style="293" customWidth="1"/>
    <col min="7946" max="7946" width="13.42578125" style="293" customWidth="1"/>
    <col min="7947" max="7947" width="15.7109375" style="293" customWidth="1"/>
    <col min="7948" max="7948" width="14.85546875" style="293" customWidth="1"/>
    <col min="7949" max="7949" width="17.28515625" style="293" customWidth="1"/>
    <col min="7950" max="7950" width="15.5703125" style="293" customWidth="1"/>
    <col min="7951" max="7951" width="16.28515625" style="293" customWidth="1"/>
    <col min="7952" max="7952" width="14.5703125" style="293" bestFit="1" customWidth="1"/>
    <col min="7953" max="7953" width="14" style="293" bestFit="1" customWidth="1"/>
    <col min="7954" max="8192" width="9.140625" style="293"/>
    <col min="8193" max="8197" width="16.5703125" style="293" customWidth="1"/>
    <col min="8198" max="8198" width="16.28515625" style="293" customWidth="1"/>
    <col min="8199" max="8199" width="13.42578125" style="293" customWidth="1"/>
    <col min="8200" max="8200" width="13.5703125" style="293" customWidth="1"/>
    <col min="8201" max="8201" width="15.5703125" style="293" customWidth="1"/>
    <col min="8202" max="8202" width="13.42578125" style="293" customWidth="1"/>
    <col min="8203" max="8203" width="15.7109375" style="293" customWidth="1"/>
    <col min="8204" max="8204" width="14.85546875" style="293" customWidth="1"/>
    <col min="8205" max="8205" width="17.28515625" style="293" customWidth="1"/>
    <col min="8206" max="8206" width="15.5703125" style="293" customWidth="1"/>
    <col min="8207" max="8207" width="16.28515625" style="293" customWidth="1"/>
    <col min="8208" max="8208" width="14.5703125" style="293" bestFit="1" customWidth="1"/>
    <col min="8209" max="8209" width="14" style="293" bestFit="1" customWidth="1"/>
    <col min="8210" max="8448" width="9.140625" style="293"/>
    <col min="8449" max="8453" width="16.5703125" style="293" customWidth="1"/>
    <col min="8454" max="8454" width="16.28515625" style="293" customWidth="1"/>
    <col min="8455" max="8455" width="13.42578125" style="293" customWidth="1"/>
    <col min="8456" max="8456" width="13.5703125" style="293" customWidth="1"/>
    <col min="8457" max="8457" width="15.5703125" style="293" customWidth="1"/>
    <col min="8458" max="8458" width="13.42578125" style="293" customWidth="1"/>
    <col min="8459" max="8459" width="15.7109375" style="293" customWidth="1"/>
    <col min="8460" max="8460" width="14.85546875" style="293" customWidth="1"/>
    <col min="8461" max="8461" width="17.28515625" style="293" customWidth="1"/>
    <col min="8462" max="8462" width="15.5703125" style="293" customWidth="1"/>
    <col min="8463" max="8463" width="16.28515625" style="293" customWidth="1"/>
    <col min="8464" max="8464" width="14.5703125" style="293" bestFit="1" customWidth="1"/>
    <col min="8465" max="8465" width="14" style="293" bestFit="1" customWidth="1"/>
    <col min="8466" max="8704" width="9.140625" style="293"/>
    <col min="8705" max="8709" width="16.5703125" style="293" customWidth="1"/>
    <col min="8710" max="8710" width="16.28515625" style="293" customWidth="1"/>
    <col min="8711" max="8711" width="13.42578125" style="293" customWidth="1"/>
    <col min="8712" max="8712" width="13.5703125" style="293" customWidth="1"/>
    <col min="8713" max="8713" width="15.5703125" style="293" customWidth="1"/>
    <col min="8714" max="8714" width="13.42578125" style="293" customWidth="1"/>
    <col min="8715" max="8715" width="15.7109375" style="293" customWidth="1"/>
    <col min="8716" max="8716" width="14.85546875" style="293" customWidth="1"/>
    <col min="8717" max="8717" width="17.28515625" style="293" customWidth="1"/>
    <col min="8718" max="8718" width="15.5703125" style="293" customWidth="1"/>
    <col min="8719" max="8719" width="16.28515625" style="293" customWidth="1"/>
    <col min="8720" max="8720" width="14.5703125" style="293" bestFit="1" customWidth="1"/>
    <col min="8721" max="8721" width="14" style="293" bestFit="1" customWidth="1"/>
    <col min="8722" max="8960" width="9.140625" style="293"/>
    <col min="8961" max="8965" width="16.5703125" style="293" customWidth="1"/>
    <col min="8966" max="8966" width="16.28515625" style="293" customWidth="1"/>
    <col min="8967" max="8967" width="13.42578125" style="293" customWidth="1"/>
    <col min="8968" max="8968" width="13.5703125" style="293" customWidth="1"/>
    <col min="8969" max="8969" width="15.5703125" style="293" customWidth="1"/>
    <col min="8970" max="8970" width="13.42578125" style="293" customWidth="1"/>
    <col min="8971" max="8971" width="15.7109375" style="293" customWidth="1"/>
    <col min="8972" max="8972" width="14.85546875" style="293" customWidth="1"/>
    <col min="8973" max="8973" width="17.28515625" style="293" customWidth="1"/>
    <col min="8974" max="8974" width="15.5703125" style="293" customWidth="1"/>
    <col min="8975" max="8975" width="16.28515625" style="293" customWidth="1"/>
    <col min="8976" max="8976" width="14.5703125" style="293" bestFit="1" customWidth="1"/>
    <col min="8977" max="8977" width="14" style="293" bestFit="1" customWidth="1"/>
    <col min="8978" max="9216" width="9.140625" style="293"/>
    <col min="9217" max="9221" width="16.5703125" style="293" customWidth="1"/>
    <col min="9222" max="9222" width="16.28515625" style="293" customWidth="1"/>
    <col min="9223" max="9223" width="13.42578125" style="293" customWidth="1"/>
    <col min="9224" max="9224" width="13.5703125" style="293" customWidth="1"/>
    <col min="9225" max="9225" width="15.5703125" style="293" customWidth="1"/>
    <col min="9226" max="9226" width="13.42578125" style="293" customWidth="1"/>
    <col min="9227" max="9227" width="15.7109375" style="293" customWidth="1"/>
    <col min="9228" max="9228" width="14.85546875" style="293" customWidth="1"/>
    <col min="9229" max="9229" width="17.28515625" style="293" customWidth="1"/>
    <col min="9230" max="9230" width="15.5703125" style="293" customWidth="1"/>
    <col min="9231" max="9231" width="16.28515625" style="293" customWidth="1"/>
    <col min="9232" max="9232" width="14.5703125" style="293" bestFit="1" customWidth="1"/>
    <col min="9233" max="9233" width="14" style="293" bestFit="1" customWidth="1"/>
    <col min="9234" max="9472" width="9.140625" style="293"/>
    <col min="9473" max="9477" width="16.5703125" style="293" customWidth="1"/>
    <col min="9478" max="9478" width="16.28515625" style="293" customWidth="1"/>
    <col min="9479" max="9479" width="13.42578125" style="293" customWidth="1"/>
    <col min="9480" max="9480" width="13.5703125" style="293" customWidth="1"/>
    <col min="9481" max="9481" width="15.5703125" style="293" customWidth="1"/>
    <col min="9482" max="9482" width="13.42578125" style="293" customWidth="1"/>
    <col min="9483" max="9483" width="15.7109375" style="293" customWidth="1"/>
    <col min="9484" max="9484" width="14.85546875" style="293" customWidth="1"/>
    <col min="9485" max="9485" width="17.28515625" style="293" customWidth="1"/>
    <col min="9486" max="9486" width="15.5703125" style="293" customWidth="1"/>
    <col min="9487" max="9487" width="16.28515625" style="293" customWidth="1"/>
    <col min="9488" max="9488" width="14.5703125" style="293" bestFit="1" customWidth="1"/>
    <col min="9489" max="9489" width="14" style="293" bestFit="1" customWidth="1"/>
    <col min="9490" max="9728" width="9.140625" style="293"/>
    <col min="9729" max="9733" width="16.5703125" style="293" customWidth="1"/>
    <col min="9734" max="9734" width="16.28515625" style="293" customWidth="1"/>
    <col min="9735" max="9735" width="13.42578125" style="293" customWidth="1"/>
    <col min="9736" max="9736" width="13.5703125" style="293" customWidth="1"/>
    <col min="9737" max="9737" width="15.5703125" style="293" customWidth="1"/>
    <col min="9738" max="9738" width="13.42578125" style="293" customWidth="1"/>
    <col min="9739" max="9739" width="15.7109375" style="293" customWidth="1"/>
    <col min="9740" max="9740" width="14.85546875" style="293" customWidth="1"/>
    <col min="9741" max="9741" width="17.28515625" style="293" customWidth="1"/>
    <col min="9742" max="9742" width="15.5703125" style="293" customWidth="1"/>
    <col min="9743" max="9743" width="16.28515625" style="293" customWidth="1"/>
    <col min="9744" max="9744" width="14.5703125" style="293" bestFit="1" customWidth="1"/>
    <col min="9745" max="9745" width="14" style="293" bestFit="1" customWidth="1"/>
    <col min="9746" max="9984" width="9.140625" style="293"/>
    <col min="9985" max="9989" width="16.5703125" style="293" customWidth="1"/>
    <col min="9990" max="9990" width="16.28515625" style="293" customWidth="1"/>
    <col min="9991" max="9991" width="13.42578125" style="293" customWidth="1"/>
    <col min="9992" max="9992" width="13.5703125" style="293" customWidth="1"/>
    <col min="9993" max="9993" width="15.5703125" style="293" customWidth="1"/>
    <col min="9994" max="9994" width="13.42578125" style="293" customWidth="1"/>
    <col min="9995" max="9995" width="15.7109375" style="293" customWidth="1"/>
    <col min="9996" max="9996" width="14.85546875" style="293" customWidth="1"/>
    <col min="9997" max="9997" width="17.28515625" style="293" customWidth="1"/>
    <col min="9998" max="9998" width="15.5703125" style="293" customWidth="1"/>
    <col min="9999" max="9999" width="16.28515625" style="293" customWidth="1"/>
    <col min="10000" max="10000" width="14.5703125" style="293" bestFit="1" customWidth="1"/>
    <col min="10001" max="10001" width="14" style="293" bestFit="1" customWidth="1"/>
    <col min="10002" max="10240" width="9.140625" style="293"/>
    <col min="10241" max="10245" width="16.5703125" style="293" customWidth="1"/>
    <col min="10246" max="10246" width="16.28515625" style="293" customWidth="1"/>
    <col min="10247" max="10247" width="13.42578125" style="293" customWidth="1"/>
    <col min="10248" max="10248" width="13.5703125" style="293" customWidth="1"/>
    <col min="10249" max="10249" width="15.5703125" style="293" customWidth="1"/>
    <col min="10250" max="10250" width="13.42578125" style="293" customWidth="1"/>
    <col min="10251" max="10251" width="15.7109375" style="293" customWidth="1"/>
    <col min="10252" max="10252" width="14.85546875" style="293" customWidth="1"/>
    <col min="10253" max="10253" width="17.28515625" style="293" customWidth="1"/>
    <col min="10254" max="10254" width="15.5703125" style="293" customWidth="1"/>
    <col min="10255" max="10255" width="16.28515625" style="293" customWidth="1"/>
    <col min="10256" max="10256" width="14.5703125" style="293" bestFit="1" customWidth="1"/>
    <col min="10257" max="10257" width="14" style="293" bestFit="1" customWidth="1"/>
    <col min="10258" max="10496" width="9.140625" style="293"/>
    <col min="10497" max="10501" width="16.5703125" style="293" customWidth="1"/>
    <col min="10502" max="10502" width="16.28515625" style="293" customWidth="1"/>
    <col min="10503" max="10503" width="13.42578125" style="293" customWidth="1"/>
    <col min="10504" max="10504" width="13.5703125" style="293" customWidth="1"/>
    <col min="10505" max="10505" width="15.5703125" style="293" customWidth="1"/>
    <col min="10506" max="10506" width="13.42578125" style="293" customWidth="1"/>
    <col min="10507" max="10507" width="15.7109375" style="293" customWidth="1"/>
    <col min="10508" max="10508" width="14.85546875" style="293" customWidth="1"/>
    <col min="10509" max="10509" width="17.28515625" style="293" customWidth="1"/>
    <col min="10510" max="10510" width="15.5703125" style="293" customWidth="1"/>
    <col min="10511" max="10511" width="16.28515625" style="293" customWidth="1"/>
    <col min="10512" max="10512" width="14.5703125" style="293" bestFit="1" customWidth="1"/>
    <col min="10513" max="10513" width="14" style="293" bestFit="1" customWidth="1"/>
    <col min="10514" max="10752" width="9.140625" style="293"/>
    <col min="10753" max="10757" width="16.5703125" style="293" customWidth="1"/>
    <col min="10758" max="10758" width="16.28515625" style="293" customWidth="1"/>
    <col min="10759" max="10759" width="13.42578125" style="293" customWidth="1"/>
    <col min="10760" max="10760" width="13.5703125" style="293" customWidth="1"/>
    <col min="10761" max="10761" width="15.5703125" style="293" customWidth="1"/>
    <col min="10762" max="10762" width="13.42578125" style="293" customWidth="1"/>
    <col min="10763" max="10763" width="15.7109375" style="293" customWidth="1"/>
    <col min="10764" max="10764" width="14.85546875" style="293" customWidth="1"/>
    <col min="10765" max="10765" width="17.28515625" style="293" customWidth="1"/>
    <col min="10766" max="10766" width="15.5703125" style="293" customWidth="1"/>
    <col min="10767" max="10767" width="16.28515625" style="293" customWidth="1"/>
    <col min="10768" max="10768" width="14.5703125" style="293" bestFit="1" customWidth="1"/>
    <col min="10769" max="10769" width="14" style="293" bestFit="1" customWidth="1"/>
    <col min="10770" max="11008" width="9.140625" style="293"/>
    <col min="11009" max="11013" width="16.5703125" style="293" customWidth="1"/>
    <col min="11014" max="11014" width="16.28515625" style="293" customWidth="1"/>
    <col min="11015" max="11015" width="13.42578125" style="293" customWidth="1"/>
    <col min="11016" max="11016" width="13.5703125" style="293" customWidth="1"/>
    <col min="11017" max="11017" width="15.5703125" style="293" customWidth="1"/>
    <col min="11018" max="11018" width="13.42578125" style="293" customWidth="1"/>
    <col min="11019" max="11019" width="15.7109375" style="293" customWidth="1"/>
    <col min="11020" max="11020" width="14.85546875" style="293" customWidth="1"/>
    <col min="11021" max="11021" width="17.28515625" style="293" customWidth="1"/>
    <col min="11022" max="11022" width="15.5703125" style="293" customWidth="1"/>
    <col min="11023" max="11023" width="16.28515625" style="293" customWidth="1"/>
    <col min="11024" max="11024" width="14.5703125" style="293" bestFit="1" customWidth="1"/>
    <col min="11025" max="11025" width="14" style="293" bestFit="1" customWidth="1"/>
    <col min="11026" max="11264" width="9.140625" style="293"/>
    <col min="11265" max="11269" width="16.5703125" style="293" customWidth="1"/>
    <col min="11270" max="11270" width="16.28515625" style="293" customWidth="1"/>
    <col min="11271" max="11271" width="13.42578125" style="293" customWidth="1"/>
    <col min="11272" max="11272" width="13.5703125" style="293" customWidth="1"/>
    <col min="11273" max="11273" width="15.5703125" style="293" customWidth="1"/>
    <col min="11274" max="11274" width="13.42578125" style="293" customWidth="1"/>
    <col min="11275" max="11275" width="15.7109375" style="293" customWidth="1"/>
    <col min="11276" max="11276" width="14.85546875" style="293" customWidth="1"/>
    <col min="11277" max="11277" width="17.28515625" style="293" customWidth="1"/>
    <col min="11278" max="11278" width="15.5703125" style="293" customWidth="1"/>
    <col min="11279" max="11279" width="16.28515625" style="293" customWidth="1"/>
    <col min="11280" max="11280" width="14.5703125" style="293" bestFit="1" customWidth="1"/>
    <col min="11281" max="11281" width="14" style="293" bestFit="1" customWidth="1"/>
    <col min="11282" max="11520" width="9.140625" style="293"/>
    <col min="11521" max="11525" width="16.5703125" style="293" customWidth="1"/>
    <col min="11526" max="11526" width="16.28515625" style="293" customWidth="1"/>
    <col min="11527" max="11527" width="13.42578125" style="293" customWidth="1"/>
    <col min="11528" max="11528" width="13.5703125" style="293" customWidth="1"/>
    <col min="11529" max="11529" width="15.5703125" style="293" customWidth="1"/>
    <col min="11530" max="11530" width="13.42578125" style="293" customWidth="1"/>
    <col min="11531" max="11531" width="15.7109375" style="293" customWidth="1"/>
    <col min="11532" max="11532" width="14.85546875" style="293" customWidth="1"/>
    <col min="11533" max="11533" width="17.28515625" style="293" customWidth="1"/>
    <col min="11534" max="11534" width="15.5703125" style="293" customWidth="1"/>
    <col min="11535" max="11535" width="16.28515625" style="293" customWidth="1"/>
    <col min="11536" max="11536" width="14.5703125" style="293" bestFit="1" customWidth="1"/>
    <col min="11537" max="11537" width="14" style="293" bestFit="1" customWidth="1"/>
    <col min="11538" max="11776" width="9.140625" style="293"/>
    <col min="11777" max="11781" width="16.5703125" style="293" customWidth="1"/>
    <col min="11782" max="11782" width="16.28515625" style="293" customWidth="1"/>
    <col min="11783" max="11783" width="13.42578125" style="293" customWidth="1"/>
    <col min="11784" max="11784" width="13.5703125" style="293" customWidth="1"/>
    <col min="11785" max="11785" width="15.5703125" style="293" customWidth="1"/>
    <col min="11786" max="11786" width="13.42578125" style="293" customWidth="1"/>
    <col min="11787" max="11787" width="15.7109375" style="293" customWidth="1"/>
    <col min="11788" max="11788" width="14.85546875" style="293" customWidth="1"/>
    <col min="11789" max="11789" width="17.28515625" style="293" customWidth="1"/>
    <col min="11790" max="11790" width="15.5703125" style="293" customWidth="1"/>
    <col min="11791" max="11791" width="16.28515625" style="293" customWidth="1"/>
    <col min="11792" max="11792" width="14.5703125" style="293" bestFit="1" customWidth="1"/>
    <col min="11793" max="11793" width="14" style="293" bestFit="1" customWidth="1"/>
    <col min="11794" max="12032" width="9.140625" style="293"/>
    <col min="12033" max="12037" width="16.5703125" style="293" customWidth="1"/>
    <col min="12038" max="12038" width="16.28515625" style="293" customWidth="1"/>
    <col min="12039" max="12039" width="13.42578125" style="293" customWidth="1"/>
    <col min="12040" max="12040" width="13.5703125" style="293" customWidth="1"/>
    <col min="12041" max="12041" width="15.5703125" style="293" customWidth="1"/>
    <col min="12042" max="12042" width="13.42578125" style="293" customWidth="1"/>
    <col min="12043" max="12043" width="15.7109375" style="293" customWidth="1"/>
    <col min="12044" max="12044" width="14.85546875" style="293" customWidth="1"/>
    <col min="12045" max="12045" width="17.28515625" style="293" customWidth="1"/>
    <col min="12046" max="12046" width="15.5703125" style="293" customWidth="1"/>
    <col min="12047" max="12047" width="16.28515625" style="293" customWidth="1"/>
    <col min="12048" max="12048" width="14.5703125" style="293" bestFit="1" customWidth="1"/>
    <col min="12049" max="12049" width="14" style="293" bestFit="1" customWidth="1"/>
    <col min="12050" max="12288" width="9.140625" style="293"/>
    <col min="12289" max="12293" width="16.5703125" style="293" customWidth="1"/>
    <col min="12294" max="12294" width="16.28515625" style="293" customWidth="1"/>
    <col min="12295" max="12295" width="13.42578125" style="293" customWidth="1"/>
    <col min="12296" max="12296" width="13.5703125" style="293" customWidth="1"/>
    <col min="12297" max="12297" width="15.5703125" style="293" customWidth="1"/>
    <col min="12298" max="12298" width="13.42578125" style="293" customWidth="1"/>
    <col min="12299" max="12299" width="15.7109375" style="293" customWidth="1"/>
    <col min="12300" max="12300" width="14.85546875" style="293" customWidth="1"/>
    <col min="12301" max="12301" width="17.28515625" style="293" customWidth="1"/>
    <col min="12302" max="12302" width="15.5703125" style="293" customWidth="1"/>
    <col min="12303" max="12303" width="16.28515625" style="293" customWidth="1"/>
    <col min="12304" max="12304" width="14.5703125" style="293" bestFit="1" customWidth="1"/>
    <col min="12305" max="12305" width="14" style="293" bestFit="1" customWidth="1"/>
    <col min="12306" max="12544" width="9.140625" style="293"/>
    <col min="12545" max="12549" width="16.5703125" style="293" customWidth="1"/>
    <col min="12550" max="12550" width="16.28515625" style="293" customWidth="1"/>
    <col min="12551" max="12551" width="13.42578125" style="293" customWidth="1"/>
    <col min="12552" max="12552" width="13.5703125" style="293" customWidth="1"/>
    <col min="12553" max="12553" width="15.5703125" style="293" customWidth="1"/>
    <col min="12554" max="12554" width="13.42578125" style="293" customWidth="1"/>
    <col min="12555" max="12555" width="15.7109375" style="293" customWidth="1"/>
    <col min="12556" max="12556" width="14.85546875" style="293" customWidth="1"/>
    <col min="12557" max="12557" width="17.28515625" style="293" customWidth="1"/>
    <col min="12558" max="12558" width="15.5703125" style="293" customWidth="1"/>
    <col min="12559" max="12559" width="16.28515625" style="293" customWidth="1"/>
    <col min="12560" max="12560" width="14.5703125" style="293" bestFit="1" customWidth="1"/>
    <col min="12561" max="12561" width="14" style="293" bestFit="1" customWidth="1"/>
    <col min="12562" max="12800" width="9.140625" style="293"/>
    <col min="12801" max="12805" width="16.5703125" style="293" customWidth="1"/>
    <col min="12806" max="12806" width="16.28515625" style="293" customWidth="1"/>
    <col min="12807" max="12807" width="13.42578125" style="293" customWidth="1"/>
    <col min="12808" max="12808" width="13.5703125" style="293" customWidth="1"/>
    <col min="12809" max="12809" width="15.5703125" style="293" customWidth="1"/>
    <col min="12810" max="12810" width="13.42578125" style="293" customWidth="1"/>
    <col min="12811" max="12811" width="15.7109375" style="293" customWidth="1"/>
    <col min="12812" max="12812" width="14.85546875" style="293" customWidth="1"/>
    <col min="12813" max="12813" width="17.28515625" style="293" customWidth="1"/>
    <col min="12814" max="12814" width="15.5703125" style="293" customWidth="1"/>
    <col min="12815" max="12815" width="16.28515625" style="293" customWidth="1"/>
    <col min="12816" max="12816" width="14.5703125" style="293" bestFit="1" customWidth="1"/>
    <col min="12817" max="12817" width="14" style="293" bestFit="1" customWidth="1"/>
    <col min="12818" max="13056" width="9.140625" style="293"/>
    <col min="13057" max="13061" width="16.5703125" style="293" customWidth="1"/>
    <col min="13062" max="13062" width="16.28515625" style="293" customWidth="1"/>
    <col min="13063" max="13063" width="13.42578125" style="293" customWidth="1"/>
    <col min="13064" max="13064" width="13.5703125" style="293" customWidth="1"/>
    <col min="13065" max="13065" width="15.5703125" style="293" customWidth="1"/>
    <col min="13066" max="13066" width="13.42578125" style="293" customWidth="1"/>
    <col min="13067" max="13067" width="15.7109375" style="293" customWidth="1"/>
    <col min="13068" max="13068" width="14.85546875" style="293" customWidth="1"/>
    <col min="13069" max="13069" width="17.28515625" style="293" customWidth="1"/>
    <col min="13070" max="13070" width="15.5703125" style="293" customWidth="1"/>
    <col min="13071" max="13071" width="16.28515625" style="293" customWidth="1"/>
    <col min="13072" max="13072" width="14.5703125" style="293" bestFit="1" customWidth="1"/>
    <col min="13073" max="13073" width="14" style="293" bestFit="1" customWidth="1"/>
    <col min="13074" max="13312" width="9.140625" style="293"/>
    <col min="13313" max="13317" width="16.5703125" style="293" customWidth="1"/>
    <col min="13318" max="13318" width="16.28515625" style="293" customWidth="1"/>
    <col min="13319" max="13319" width="13.42578125" style="293" customWidth="1"/>
    <col min="13320" max="13320" width="13.5703125" style="293" customWidth="1"/>
    <col min="13321" max="13321" width="15.5703125" style="293" customWidth="1"/>
    <col min="13322" max="13322" width="13.42578125" style="293" customWidth="1"/>
    <col min="13323" max="13323" width="15.7109375" style="293" customWidth="1"/>
    <col min="13324" max="13324" width="14.85546875" style="293" customWidth="1"/>
    <col min="13325" max="13325" width="17.28515625" style="293" customWidth="1"/>
    <col min="13326" max="13326" width="15.5703125" style="293" customWidth="1"/>
    <col min="13327" max="13327" width="16.28515625" style="293" customWidth="1"/>
    <col min="13328" max="13328" width="14.5703125" style="293" bestFit="1" customWidth="1"/>
    <col min="13329" max="13329" width="14" style="293" bestFit="1" customWidth="1"/>
    <col min="13330" max="13568" width="9.140625" style="293"/>
    <col min="13569" max="13573" width="16.5703125" style="293" customWidth="1"/>
    <col min="13574" max="13574" width="16.28515625" style="293" customWidth="1"/>
    <col min="13575" max="13575" width="13.42578125" style="293" customWidth="1"/>
    <col min="13576" max="13576" width="13.5703125" style="293" customWidth="1"/>
    <col min="13577" max="13577" width="15.5703125" style="293" customWidth="1"/>
    <col min="13578" max="13578" width="13.42578125" style="293" customWidth="1"/>
    <col min="13579" max="13579" width="15.7109375" style="293" customWidth="1"/>
    <col min="13580" max="13580" width="14.85546875" style="293" customWidth="1"/>
    <col min="13581" max="13581" width="17.28515625" style="293" customWidth="1"/>
    <col min="13582" max="13582" width="15.5703125" style="293" customWidth="1"/>
    <col min="13583" max="13583" width="16.28515625" style="293" customWidth="1"/>
    <col min="13584" max="13584" width="14.5703125" style="293" bestFit="1" customWidth="1"/>
    <col min="13585" max="13585" width="14" style="293" bestFit="1" customWidth="1"/>
    <col min="13586" max="13824" width="9.140625" style="293"/>
    <col min="13825" max="13829" width="16.5703125" style="293" customWidth="1"/>
    <col min="13830" max="13830" width="16.28515625" style="293" customWidth="1"/>
    <col min="13831" max="13831" width="13.42578125" style="293" customWidth="1"/>
    <col min="13832" max="13832" width="13.5703125" style="293" customWidth="1"/>
    <col min="13833" max="13833" width="15.5703125" style="293" customWidth="1"/>
    <col min="13834" max="13834" width="13.42578125" style="293" customWidth="1"/>
    <col min="13835" max="13835" width="15.7109375" style="293" customWidth="1"/>
    <col min="13836" max="13836" width="14.85546875" style="293" customWidth="1"/>
    <col min="13837" max="13837" width="17.28515625" style="293" customWidth="1"/>
    <col min="13838" max="13838" width="15.5703125" style="293" customWidth="1"/>
    <col min="13839" max="13839" width="16.28515625" style="293" customWidth="1"/>
    <col min="13840" max="13840" width="14.5703125" style="293" bestFit="1" customWidth="1"/>
    <col min="13841" max="13841" width="14" style="293" bestFit="1" customWidth="1"/>
    <col min="13842" max="14080" width="9.140625" style="293"/>
    <col min="14081" max="14085" width="16.5703125" style="293" customWidth="1"/>
    <col min="14086" max="14086" width="16.28515625" style="293" customWidth="1"/>
    <col min="14087" max="14087" width="13.42578125" style="293" customWidth="1"/>
    <col min="14088" max="14088" width="13.5703125" style="293" customWidth="1"/>
    <col min="14089" max="14089" width="15.5703125" style="293" customWidth="1"/>
    <col min="14090" max="14090" width="13.42578125" style="293" customWidth="1"/>
    <col min="14091" max="14091" width="15.7109375" style="293" customWidth="1"/>
    <col min="14092" max="14092" width="14.85546875" style="293" customWidth="1"/>
    <col min="14093" max="14093" width="17.28515625" style="293" customWidth="1"/>
    <col min="14094" max="14094" width="15.5703125" style="293" customWidth="1"/>
    <col min="14095" max="14095" width="16.28515625" style="293" customWidth="1"/>
    <col min="14096" max="14096" width="14.5703125" style="293" bestFit="1" customWidth="1"/>
    <col min="14097" max="14097" width="14" style="293" bestFit="1" customWidth="1"/>
    <col min="14098" max="14336" width="9.140625" style="293"/>
    <col min="14337" max="14341" width="16.5703125" style="293" customWidth="1"/>
    <col min="14342" max="14342" width="16.28515625" style="293" customWidth="1"/>
    <col min="14343" max="14343" width="13.42578125" style="293" customWidth="1"/>
    <col min="14344" max="14344" width="13.5703125" style="293" customWidth="1"/>
    <col min="14345" max="14345" width="15.5703125" style="293" customWidth="1"/>
    <col min="14346" max="14346" width="13.42578125" style="293" customWidth="1"/>
    <col min="14347" max="14347" width="15.7109375" style="293" customWidth="1"/>
    <col min="14348" max="14348" width="14.85546875" style="293" customWidth="1"/>
    <col min="14349" max="14349" width="17.28515625" style="293" customWidth="1"/>
    <col min="14350" max="14350" width="15.5703125" style="293" customWidth="1"/>
    <col min="14351" max="14351" width="16.28515625" style="293" customWidth="1"/>
    <col min="14352" max="14352" width="14.5703125" style="293" bestFit="1" customWidth="1"/>
    <col min="14353" max="14353" width="14" style="293" bestFit="1" customWidth="1"/>
    <col min="14354" max="14592" width="9.140625" style="293"/>
    <col min="14593" max="14597" width="16.5703125" style="293" customWidth="1"/>
    <col min="14598" max="14598" width="16.28515625" style="293" customWidth="1"/>
    <col min="14599" max="14599" width="13.42578125" style="293" customWidth="1"/>
    <col min="14600" max="14600" width="13.5703125" style="293" customWidth="1"/>
    <col min="14601" max="14601" width="15.5703125" style="293" customWidth="1"/>
    <col min="14602" max="14602" width="13.42578125" style="293" customWidth="1"/>
    <col min="14603" max="14603" width="15.7109375" style="293" customWidth="1"/>
    <col min="14604" max="14604" width="14.85546875" style="293" customWidth="1"/>
    <col min="14605" max="14605" width="17.28515625" style="293" customWidth="1"/>
    <col min="14606" max="14606" width="15.5703125" style="293" customWidth="1"/>
    <col min="14607" max="14607" width="16.28515625" style="293" customWidth="1"/>
    <col min="14608" max="14608" width="14.5703125" style="293" bestFit="1" customWidth="1"/>
    <col min="14609" max="14609" width="14" style="293" bestFit="1" customWidth="1"/>
    <col min="14610" max="14848" width="9.140625" style="293"/>
    <col min="14849" max="14853" width="16.5703125" style="293" customWidth="1"/>
    <col min="14854" max="14854" width="16.28515625" style="293" customWidth="1"/>
    <col min="14855" max="14855" width="13.42578125" style="293" customWidth="1"/>
    <col min="14856" max="14856" width="13.5703125" style="293" customWidth="1"/>
    <col min="14857" max="14857" width="15.5703125" style="293" customWidth="1"/>
    <col min="14858" max="14858" width="13.42578125" style="293" customWidth="1"/>
    <col min="14859" max="14859" width="15.7109375" style="293" customWidth="1"/>
    <col min="14860" max="14860" width="14.85546875" style="293" customWidth="1"/>
    <col min="14861" max="14861" width="17.28515625" style="293" customWidth="1"/>
    <col min="14862" max="14862" width="15.5703125" style="293" customWidth="1"/>
    <col min="14863" max="14863" width="16.28515625" style="293" customWidth="1"/>
    <col min="14864" max="14864" width="14.5703125" style="293" bestFit="1" customWidth="1"/>
    <col min="14865" max="14865" width="14" style="293" bestFit="1" customWidth="1"/>
    <col min="14866" max="15104" width="9.140625" style="293"/>
    <col min="15105" max="15109" width="16.5703125" style="293" customWidth="1"/>
    <col min="15110" max="15110" width="16.28515625" style="293" customWidth="1"/>
    <col min="15111" max="15111" width="13.42578125" style="293" customWidth="1"/>
    <col min="15112" max="15112" width="13.5703125" style="293" customWidth="1"/>
    <col min="15113" max="15113" width="15.5703125" style="293" customWidth="1"/>
    <col min="15114" max="15114" width="13.42578125" style="293" customWidth="1"/>
    <col min="15115" max="15115" width="15.7109375" style="293" customWidth="1"/>
    <col min="15116" max="15116" width="14.85546875" style="293" customWidth="1"/>
    <col min="15117" max="15117" width="17.28515625" style="293" customWidth="1"/>
    <col min="15118" max="15118" width="15.5703125" style="293" customWidth="1"/>
    <col min="15119" max="15119" width="16.28515625" style="293" customWidth="1"/>
    <col min="15120" max="15120" width="14.5703125" style="293" bestFit="1" customWidth="1"/>
    <col min="15121" max="15121" width="14" style="293" bestFit="1" customWidth="1"/>
    <col min="15122" max="15360" width="9.140625" style="293"/>
    <col min="15361" max="15365" width="16.5703125" style="293" customWidth="1"/>
    <col min="15366" max="15366" width="16.28515625" style="293" customWidth="1"/>
    <col min="15367" max="15367" width="13.42578125" style="293" customWidth="1"/>
    <col min="15368" max="15368" width="13.5703125" style="293" customWidth="1"/>
    <col min="15369" max="15369" width="15.5703125" style="293" customWidth="1"/>
    <col min="15370" max="15370" width="13.42578125" style="293" customWidth="1"/>
    <col min="15371" max="15371" width="15.7109375" style="293" customWidth="1"/>
    <col min="15372" max="15372" width="14.85546875" style="293" customWidth="1"/>
    <col min="15373" max="15373" width="17.28515625" style="293" customWidth="1"/>
    <col min="15374" max="15374" width="15.5703125" style="293" customWidth="1"/>
    <col min="15375" max="15375" width="16.28515625" style="293" customWidth="1"/>
    <col min="15376" max="15376" width="14.5703125" style="293" bestFit="1" customWidth="1"/>
    <col min="15377" max="15377" width="14" style="293" bestFit="1" customWidth="1"/>
    <col min="15378" max="15616" width="9.140625" style="293"/>
    <col min="15617" max="15621" width="16.5703125" style="293" customWidth="1"/>
    <col min="15622" max="15622" width="16.28515625" style="293" customWidth="1"/>
    <col min="15623" max="15623" width="13.42578125" style="293" customWidth="1"/>
    <col min="15624" max="15624" width="13.5703125" style="293" customWidth="1"/>
    <col min="15625" max="15625" width="15.5703125" style="293" customWidth="1"/>
    <col min="15626" max="15626" width="13.42578125" style="293" customWidth="1"/>
    <col min="15627" max="15627" width="15.7109375" style="293" customWidth="1"/>
    <col min="15628" max="15628" width="14.85546875" style="293" customWidth="1"/>
    <col min="15629" max="15629" width="17.28515625" style="293" customWidth="1"/>
    <col min="15630" max="15630" width="15.5703125" style="293" customWidth="1"/>
    <col min="15631" max="15631" width="16.28515625" style="293" customWidth="1"/>
    <col min="15632" max="15632" width="14.5703125" style="293" bestFit="1" customWidth="1"/>
    <col min="15633" max="15633" width="14" style="293" bestFit="1" customWidth="1"/>
    <col min="15634" max="15872" width="9.140625" style="293"/>
    <col min="15873" max="15877" width="16.5703125" style="293" customWidth="1"/>
    <col min="15878" max="15878" width="16.28515625" style="293" customWidth="1"/>
    <col min="15879" max="15879" width="13.42578125" style="293" customWidth="1"/>
    <col min="15880" max="15880" width="13.5703125" style="293" customWidth="1"/>
    <col min="15881" max="15881" width="15.5703125" style="293" customWidth="1"/>
    <col min="15882" max="15882" width="13.42578125" style="293" customWidth="1"/>
    <col min="15883" max="15883" width="15.7109375" style="293" customWidth="1"/>
    <col min="15884" max="15884" width="14.85546875" style="293" customWidth="1"/>
    <col min="15885" max="15885" width="17.28515625" style="293" customWidth="1"/>
    <col min="15886" max="15886" width="15.5703125" style="293" customWidth="1"/>
    <col min="15887" max="15887" width="16.28515625" style="293" customWidth="1"/>
    <col min="15888" max="15888" width="14.5703125" style="293" bestFit="1" customWidth="1"/>
    <col min="15889" max="15889" width="14" style="293" bestFit="1" customWidth="1"/>
    <col min="15890" max="16128" width="9.140625" style="293"/>
    <col min="16129" max="16133" width="16.5703125" style="293" customWidth="1"/>
    <col min="16134" max="16134" width="16.28515625" style="293" customWidth="1"/>
    <col min="16135" max="16135" width="13.42578125" style="293" customWidth="1"/>
    <col min="16136" max="16136" width="13.5703125" style="293" customWidth="1"/>
    <col min="16137" max="16137" width="15.5703125" style="293" customWidth="1"/>
    <col min="16138" max="16138" width="13.42578125" style="293" customWidth="1"/>
    <col min="16139" max="16139" width="15.7109375" style="293" customWidth="1"/>
    <col min="16140" max="16140" width="14.85546875" style="293" customWidth="1"/>
    <col min="16141" max="16141" width="17.28515625" style="293" customWidth="1"/>
    <col min="16142" max="16142" width="15.5703125" style="293" customWidth="1"/>
    <col min="16143" max="16143" width="16.28515625" style="293" customWidth="1"/>
    <col min="16144" max="16144" width="14.5703125" style="293" bestFit="1" customWidth="1"/>
    <col min="16145" max="16145" width="14" style="293" bestFit="1" customWidth="1"/>
    <col min="16146" max="16384" width="9.140625" style="293"/>
  </cols>
  <sheetData>
    <row r="1" spans="1:18">
      <c r="A1" s="439" t="s">
        <v>634</v>
      </c>
      <c r="B1" s="439"/>
      <c r="C1" s="439"/>
      <c r="D1" s="439"/>
      <c r="E1" s="438"/>
      <c r="F1" s="437"/>
      <c r="G1" s="437"/>
      <c r="H1" s="437"/>
      <c r="I1" s="437"/>
      <c r="J1" s="437"/>
      <c r="K1" s="437"/>
      <c r="L1" s="437"/>
      <c r="M1" s="437"/>
      <c r="N1" s="436"/>
    </row>
    <row r="2" spans="1:18">
      <c r="A2" s="439" t="s">
        <v>633</v>
      </c>
      <c r="B2" s="439"/>
      <c r="C2" s="439"/>
      <c r="D2" s="439"/>
      <c r="E2" s="438"/>
      <c r="F2" s="437"/>
      <c r="G2" s="437"/>
      <c r="H2" s="437"/>
      <c r="I2" s="437"/>
      <c r="J2" s="437"/>
      <c r="K2" s="437"/>
      <c r="L2" s="437"/>
      <c r="M2" s="437"/>
      <c r="N2" s="436"/>
    </row>
    <row r="3" spans="1:18">
      <c r="A3" s="439"/>
      <c r="B3" s="439"/>
      <c r="C3" s="439"/>
      <c r="D3" s="439"/>
      <c r="E3" s="438"/>
      <c r="F3" s="437"/>
      <c r="G3" s="437"/>
      <c r="H3" s="437"/>
      <c r="I3" s="437"/>
      <c r="J3" s="437"/>
      <c r="K3" s="437"/>
      <c r="L3" s="437"/>
      <c r="M3" s="437"/>
      <c r="N3" s="436"/>
    </row>
    <row r="4" spans="1:18" ht="15.75" thickBot="1">
      <c r="A4" s="439" t="s">
        <v>632</v>
      </c>
      <c r="B4" s="439"/>
      <c r="C4" s="439"/>
      <c r="D4" s="439"/>
      <c r="E4" s="438"/>
      <c r="F4" s="437"/>
      <c r="G4" s="437"/>
      <c r="H4" s="437"/>
      <c r="I4" s="437"/>
      <c r="J4" s="437"/>
      <c r="K4" s="437"/>
      <c r="L4" s="437"/>
      <c r="M4" s="437"/>
      <c r="N4" s="436"/>
    </row>
    <row r="5" spans="1:18" ht="16.5" thickTop="1" thickBot="1">
      <c r="A5" s="435"/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3"/>
      <c r="O5" s="432"/>
      <c r="P5" s="431"/>
      <c r="Q5" s="430"/>
      <c r="R5" s="429"/>
    </row>
    <row r="6" spans="1:18">
      <c r="A6" s="325" t="s">
        <v>631</v>
      </c>
      <c r="B6" s="324"/>
      <c r="C6" s="324"/>
      <c r="D6" s="324"/>
      <c r="E6" s="324"/>
      <c r="F6" s="409"/>
      <c r="G6" s="409"/>
      <c r="H6" s="409"/>
      <c r="I6" s="428"/>
      <c r="J6" s="409"/>
      <c r="K6" s="409"/>
      <c r="L6" s="409"/>
      <c r="M6" s="409"/>
      <c r="N6" s="320"/>
      <c r="R6" s="302"/>
    </row>
    <row r="7" spans="1:18">
      <c r="A7" s="303" t="s">
        <v>581</v>
      </c>
      <c r="B7" s="368">
        <f t="shared" ref="B7:M7" si="0">MONTH(B8)</f>
        <v>8</v>
      </c>
      <c r="C7" s="368">
        <f t="shared" si="0"/>
        <v>9</v>
      </c>
      <c r="D7" s="368">
        <f t="shared" si="0"/>
        <v>10</v>
      </c>
      <c r="E7" s="368">
        <f t="shared" si="0"/>
        <v>11</v>
      </c>
      <c r="F7" s="368">
        <f t="shared" si="0"/>
        <v>12</v>
      </c>
      <c r="G7" s="368">
        <f t="shared" si="0"/>
        <v>1</v>
      </c>
      <c r="H7" s="368">
        <f t="shared" si="0"/>
        <v>2</v>
      </c>
      <c r="I7" s="368">
        <f t="shared" si="0"/>
        <v>3</v>
      </c>
      <c r="J7" s="368">
        <f t="shared" si="0"/>
        <v>4</v>
      </c>
      <c r="K7" s="368">
        <f t="shared" si="0"/>
        <v>5</v>
      </c>
      <c r="L7" s="368">
        <f t="shared" si="0"/>
        <v>6</v>
      </c>
      <c r="M7" s="368">
        <f t="shared" si="0"/>
        <v>7</v>
      </c>
      <c r="N7" s="317"/>
      <c r="R7" s="302"/>
    </row>
    <row r="8" spans="1:18" s="392" customFormat="1">
      <c r="A8" s="305" t="s">
        <v>609</v>
      </c>
      <c r="B8" s="408">
        <v>44774</v>
      </c>
      <c r="C8" s="408">
        <f t="shared" ref="C8:M8" si="1">EOMONTH(B8, 0)+1</f>
        <v>44805</v>
      </c>
      <c r="D8" s="408">
        <f t="shared" si="1"/>
        <v>44835</v>
      </c>
      <c r="E8" s="408">
        <f t="shared" si="1"/>
        <v>44866</v>
      </c>
      <c r="F8" s="408">
        <f t="shared" si="1"/>
        <v>44896</v>
      </c>
      <c r="G8" s="408">
        <f t="shared" si="1"/>
        <v>44927</v>
      </c>
      <c r="H8" s="408">
        <f t="shared" si="1"/>
        <v>44958</v>
      </c>
      <c r="I8" s="408">
        <f t="shared" si="1"/>
        <v>44986</v>
      </c>
      <c r="J8" s="408">
        <f t="shared" si="1"/>
        <v>45017</v>
      </c>
      <c r="K8" s="408">
        <f t="shared" si="1"/>
        <v>45047</v>
      </c>
      <c r="L8" s="408">
        <f t="shared" si="1"/>
        <v>45078</v>
      </c>
      <c r="M8" s="408">
        <f t="shared" si="1"/>
        <v>45108</v>
      </c>
      <c r="N8" s="427" t="s">
        <v>628</v>
      </c>
      <c r="O8"/>
      <c r="P8" s="426"/>
      <c r="Q8" s="357"/>
      <c r="R8" s="371"/>
    </row>
    <row r="9" spans="1:18">
      <c r="A9" s="377" t="s">
        <v>627</v>
      </c>
      <c r="B9" s="387">
        <f>'[56]DF Schedule'!B9</f>
        <v>541.85000000000014</v>
      </c>
      <c r="C9" s="387">
        <f>'[56]DF Schedule'!C9</f>
        <v>405.5200000000001</v>
      </c>
      <c r="D9" s="387">
        <f>'[56]DF Schedule'!D9</f>
        <v>471.04</v>
      </c>
      <c r="E9" s="387">
        <f>'[56]DF Schedule'!E9</f>
        <v>431.74000000000018</v>
      </c>
      <c r="F9" s="387">
        <f>'[56]DF Schedule'!F9</f>
        <v>397.81000000000017</v>
      </c>
      <c r="G9" s="387">
        <f>'[56]DF Schedule'!G9</f>
        <v>422.45999999999987</v>
      </c>
      <c r="H9" s="387">
        <f>'[56]DF Schedule'!H9</f>
        <v>466.29999999999984</v>
      </c>
      <c r="I9" s="387">
        <f>'[56]DF Schedule'!I9</f>
        <v>478.7399999999999</v>
      </c>
      <c r="J9" s="387">
        <f>'[56]DF Schedule'!J9</f>
        <v>373.70000000000005</v>
      </c>
      <c r="K9" s="387">
        <f>'[56]DF Schedule'!K9</f>
        <v>503.65999999999991</v>
      </c>
      <c r="L9" s="387">
        <f>'[56]DF Schedule'!L9</f>
        <v>445.02999999999986</v>
      </c>
      <c r="M9" s="387">
        <f>'[56]DF Schedule'!M9</f>
        <v>375.76000000000016</v>
      </c>
      <c r="N9" s="315">
        <f>SUM(B9:M9)</f>
        <v>5313.6100000000006</v>
      </c>
      <c r="R9" s="369"/>
    </row>
    <row r="10" spans="1:18">
      <c r="A10" s="377" t="s">
        <v>617</v>
      </c>
      <c r="B10" s="387">
        <f>'[56]DF Schedule'!B10</f>
        <v>300.90999999999997</v>
      </c>
      <c r="C10" s="387">
        <f>'[56]DF Schedule'!C10</f>
        <v>291.12</v>
      </c>
      <c r="D10" s="387">
        <f>'[56]DF Schedule'!D10</f>
        <v>219.54999999999995</v>
      </c>
      <c r="E10" s="387">
        <f>'[56]DF Schedule'!E10</f>
        <v>264.44</v>
      </c>
      <c r="F10" s="387">
        <f>'[56]DF Schedule'!F10</f>
        <v>228.13</v>
      </c>
      <c r="G10" s="387">
        <f>'[56]DF Schedule'!G10</f>
        <v>260.38</v>
      </c>
      <c r="H10" s="387">
        <f>'[56]DF Schedule'!H10</f>
        <v>233.93</v>
      </c>
      <c r="I10" s="387">
        <f>'[56]DF Schedule'!I10</f>
        <v>277.08000000000004</v>
      </c>
      <c r="J10" s="387">
        <f>'[56]DF Schedule'!J10</f>
        <v>245.86</v>
      </c>
      <c r="K10" s="387">
        <f>'[56]DF Schedule'!K10</f>
        <v>311.71999999999997</v>
      </c>
      <c r="L10" s="387">
        <f>'[56]DF Schedule'!L10</f>
        <v>330.77</v>
      </c>
      <c r="M10" s="387">
        <f>'[56]DF Schedule'!M10</f>
        <v>265.24999999999989</v>
      </c>
      <c r="N10" s="315">
        <f>SUM(B10:M10)</f>
        <v>3229.1400000000003</v>
      </c>
      <c r="R10" s="369"/>
    </row>
    <row r="11" spans="1:18" s="355" customFormat="1">
      <c r="A11" s="377" t="s">
        <v>615</v>
      </c>
      <c r="B11" s="402">
        <f>'[56]DF Schedule'!B12</f>
        <v>144.99</v>
      </c>
      <c r="C11" s="402">
        <f>'[56]DF Schedule'!C12</f>
        <v>144.99</v>
      </c>
      <c r="D11" s="402">
        <f>'[56]DF Schedule'!D12</f>
        <v>144.99</v>
      </c>
      <c r="E11" s="402">
        <f>'[56]DF Schedule'!E12</f>
        <v>144.99</v>
      </c>
      <c r="F11" s="402">
        <f>'[56]DF Schedule'!F12</f>
        <v>144.99</v>
      </c>
      <c r="G11" s="402">
        <f>'[56]DF Schedule'!G12</f>
        <v>144.99</v>
      </c>
      <c r="H11" s="402">
        <f>'[56]DF Schedule'!H12</f>
        <v>144.99</v>
      </c>
      <c r="I11" s="402">
        <f>'[56]DF Schedule'!I12</f>
        <v>144.99</v>
      </c>
      <c r="J11" s="402">
        <f>'[56]DF Schedule'!J12</f>
        <v>144.99</v>
      </c>
      <c r="K11" s="402">
        <f>'[56]DF Schedule'!K12</f>
        <v>144.99</v>
      </c>
      <c r="L11" s="402">
        <f>'[56]DF Schedule'!L12</f>
        <v>144.99</v>
      </c>
      <c r="M11" s="402">
        <f>'[56]DF Schedule'!M12</f>
        <v>144.99</v>
      </c>
      <c r="N11" s="317"/>
      <c r="O11"/>
      <c r="P11" s="405"/>
      <c r="Q11" s="294"/>
      <c r="R11" s="369"/>
    </row>
    <row r="12" spans="1:18" s="355" customFormat="1">
      <c r="A12" s="377" t="s">
        <v>614</v>
      </c>
      <c r="B12" s="425">
        <f t="shared" ref="B12:M12" si="2">ROUND(SUM(B9:B10)*B11,2)</f>
        <v>122191.77</v>
      </c>
      <c r="C12" s="425">
        <f t="shared" si="2"/>
        <v>101005.83</v>
      </c>
      <c r="D12" s="425">
        <f t="shared" si="2"/>
        <v>100128.64</v>
      </c>
      <c r="E12" s="425">
        <f t="shared" si="2"/>
        <v>100939.14</v>
      </c>
      <c r="F12" s="425">
        <f t="shared" si="2"/>
        <v>90755.04</v>
      </c>
      <c r="G12" s="425">
        <f t="shared" si="2"/>
        <v>99004.97</v>
      </c>
      <c r="H12" s="425">
        <f t="shared" si="2"/>
        <v>101526.35</v>
      </c>
      <c r="I12" s="425">
        <f t="shared" si="2"/>
        <v>109586.34</v>
      </c>
      <c r="J12" s="425">
        <f t="shared" si="2"/>
        <v>89830</v>
      </c>
      <c r="K12" s="425">
        <f t="shared" si="2"/>
        <v>118221.95</v>
      </c>
      <c r="L12" s="425">
        <f t="shared" si="2"/>
        <v>112483.24</v>
      </c>
      <c r="M12" s="425">
        <f t="shared" si="2"/>
        <v>92940.04</v>
      </c>
      <c r="N12" s="337">
        <f>SUM(B12:M12)</f>
        <v>1238613.31</v>
      </c>
      <c r="O12"/>
      <c r="P12" s="405"/>
      <c r="Q12" s="294"/>
      <c r="R12" s="369"/>
    </row>
    <row r="13" spans="1:18" s="355" customFormat="1">
      <c r="A13" s="377" t="s">
        <v>623</v>
      </c>
      <c r="B13" s="425">
        <f t="shared" ref="B13:M13" si="3">B9*B11</f>
        <v>78562.831500000029</v>
      </c>
      <c r="C13" s="425">
        <f t="shared" si="3"/>
        <v>58796.344800000021</v>
      </c>
      <c r="D13" s="425">
        <f t="shared" si="3"/>
        <v>68296.089600000007</v>
      </c>
      <c r="E13" s="425">
        <f t="shared" si="3"/>
        <v>62597.982600000032</v>
      </c>
      <c r="F13" s="425">
        <f t="shared" si="3"/>
        <v>57678.471900000026</v>
      </c>
      <c r="G13" s="425">
        <f t="shared" si="3"/>
        <v>61252.475399999981</v>
      </c>
      <c r="H13" s="425">
        <f t="shared" si="3"/>
        <v>67608.836999999985</v>
      </c>
      <c r="I13" s="425">
        <f t="shared" si="3"/>
        <v>69412.512599999987</v>
      </c>
      <c r="J13" s="425">
        <f t="shared" si="3"/>
        <v>54182.763000000014</v>
      </c>
      <c r="K13" s="425">
        <f t="shared" si="3"/>
        <v>73025.66339999999</v>
      </c>
      <c r="L13" s="425">
        <f t="shared" si="3"/>
        <v>64524.899699999987</v>
      </c>
      <c r="M13" s="425">
        <f t="shared" si="3"/>
        <v>54481.442400000029</v>
      </c>
      <c r="N13" s="337">
        <f>SUM(B13:M13)</f>
        <v>770420.31390000007</v>
      </c>
      <c r="O13"/>
      <c r="P13" s="405"/>
      <c r="Q13" s="294"/>
      <c r="R13" s="369"/>
    </row>
    <row r="14" spans="1:18" s="355" customFormat="1">
      <c r="A14" s="377" t="s">
        <v>611</v>
      </c>
      <c r="B14" s="425">
        <f t="shared" ref="B14:M14" si="4">B10*B11</f>
        <v>43628.940900000001</v>
      </c>
      <c r="C14" s="425">
        <f t="shared" si="4"/>
        <v>42209.488800000006</v>
      </c>
      <c r="D14" s="425">
        <f t="shared" si="4"/>
        <v>31832.554499999995</v>
      </c>
      <c r="E14" s="425">
        <f t="shared" si="4"/>
        <v>38341.155600000006</v>
      </c>
      <c r="F14" s="425">
        <f t="shared" si="4"/>
        <v>33076.568700000003</v>
      </c>
      <c r="G14" s="425">
        <f t="shared" si="4"/>
        <v>37752.496200000001</v>
      </c>
      <c r="H14" s="425">
        <f t="shared" si="4"/>
        <v>33917.510700000006</v>
      </c>
      <c r="I14" s="425">
        <f t="shared" si="4"/>
        <v>40173.829200000007</v>
      </c>
      <c r="J14" s="425">
        <f t="shared" si="4"/>
        <v>35647.241400000006</v>
      </c>
      <c r="K14" s="425">
        <f t="shared" si="4"/>
        <v>45196.282800000001</v>
      </c>
      <c r="L14" s="425">
        <f t="shared" si="4"/>
        <v>47958.342300000004</v>
      </c>
      <c r="M14" s="425">
        <f t="shared" si="4"/>
        <v>38458.597499999989</v>
      </c>
      <c r="N14" s="337">
        <f>SUM(B14:M14)</f>
        <v>468193.0086</v>
      </c>
      <c r="O14"/>
      <c r="P14" s="405"/>
      <c r="Q14" s="294"/>
      <c r="R14" s="369"/>
    </row>
    <row r="15" spans="1:18">
      <c r="A15" s="303"/>
      <c r="F15" s="395"/>
      <c r="G15" s="395"/>
      <c r="H15" s="395"/>
      <c r="I15" s="395"/>
      <c r="J15" s="395"/>
      <c r="K15" s="395"/>
      <c r="L15" s="395"/>
      <c r="M15" s="395"/>
      <c r="N15" s="312">
        <f>SUM(N13:N14)-N12</f>
        <v>1.2499999953433871E-2</v>
      </c>
      <c r="P15" s="405"/>
      <c r="R15" s="369"/>
    </row>
    <row r="16" spans="1:18">
      <c r="A16" s="305" t="s">
        <v>621</v>
      </c>
      <c r="B16" s="392"/>
      <c r="C16" s="392"/>
      <c r="D16" s="392"/>
      <c r="E16" s="392"/>
      <c r="F16" s="424"/>
      <c r="G16" s="424"/>
      <c r="H16" s="424"/>
      <c r="I16" s="424"/>
      <c r="J16" s="424"/>
      <c r="K16" s="424"/>
      <c r="L16" s="424"/>
      <c r="M16" s="424"/>
      <c r="N16" s="317"/>
      <c r="P16" s="405" t="s">
        <v>630</v>
      </c>
      <c r="R16" s="369"/>
    </row>
    <row r="17" spans="1:19">
      <c r="A17" s="377" t="s">
        <v>620</v>
      </c>
      <c r="B17" s="387">
        <f>'[56]DF Schedule'!B20</f>
        <v>793.43999999999994</v>
      </c>
      <c r="C17" s="387">
        <f>'[56]DF Schedule'!C20</f>
        <v>760.06</v>
      </c>
      <c r="D17" s="387">
        <f>'[56]DF Schedule'!D20</f>
        <v>678.39</v>
      </c>
      <c r="E17" s="387">
        <f>'[56]DF Schedule'!E20</f>
        <v>786.67</v>
      </c>
      <c r="F17" s="387">
        <f>'[56]DF Schedule'!F20</f>
        <v>669.81</v>
      </c>
      <c r="G17" s="387">
        <f>'[56]DF Schedule'!G20</f>
        <v>746.18000000000018</v>
      </c>
      <c r="H17" s="387">
        <f>'[56]DF Schedule'!H20</f>
        <v>605.06999999999994</v>
      </c>
      <c r="I17" s="387">
        <f>'[56]DF Schedule'!I20</f>
        <v>740.9</v>
      </c>
      <c r="J17" s="387">
        <f>'[56]DF Schedule'!J20</f>
        <v>668.68</v>
      </c>
      <c r="K17" s="387">
        <f>'[56]DF Schedule'!K20</f>
        <v>814.09</v>
      </c>
      <c r="L17" s="387">
        <f>'[56]DF Schedule'!L20</f>
        <v>783.44</v>
      </c>
      <c r="M17" s="387">
        <f>'[56]DF Schedule'!M20</f>
        <v>767.98</v>
      </c>
      <c r="N17" s="315">
        <f>SUM(B17:M17)</f>
        <v>8814.7099999999991</v>
      </c>
      <c r="P17" s="405" t="s">
        <v>416</v>
      </c>
      <c r="Q17" s="404"/>
      <c r="R17" s="369"/>
    </row>
    <row r="18" spans="1:19">
      <c r="A18" s="377" t="s">
        <v>618</v>
      </c>
      <c r="B18" s="387">
        <f>'[56]DF Schedule'!B21</f>
        <v>429.2700000000001</v>
      </c>
      <c r="C18" s="387">
        <f>'[56]DF Schedule'!C21</f>
        <v>382.79000000000013</v>
      </c>
      <c r="D18" s="387">
        <f>'[56]DF Schedule'!D21</f>
        <v>374.55999999999995</v>
      </c>
      <c r="E18" s="387">
        <f>'[56]DF Schedule'!E21</f>
        <v>406.78000000000003</v>
      </c>
      <c r="F18" s="387">
        <f>'[56]DF Schedule'!F21</f>
        <v>323.73400000000004</v>
      </c>
      <c r="G18" s="387">
        <f>'[56]DF Schedule'!G21</f>
        <v>363.22</v>
      </c>
      <c r="H18" s="387">
        <f>'[56]DF Schedule'!H21</f>
        <v>319.13</v>
      </c>
      <c r="I18" s="387">
        <f>'[56]DF Schedule'!I21</f>
        <v>395.67999999999995</v>
      </c>
      <c r="J18" s="387">
        <f>'[56]DF Schedule'!J21</f>
        <v>333.35</v>
      </c>
      <c r="K18" s="387">
        <f>'[56]DF Schedule'!K21</f>
        <v>405.58</v>
      </c>
      <c r="L18" s="387">
        <f>'[56]DF Schedule'!L21</f>
        <v>411.63</v>
      </c>
      <c r="M18" s="387">
        <f>'[56]DF Schedule'!M21</f>
        <v>390.25999999999988</v>
      </c>
      <c r="N18" s="315">
        <f>SUM(B18:M18)</f>
        <v>4535.9840000000004</v>
      </c>
      <c r="P18" s="405" t="s">
        <v>625</v>
      </c>
      <c r="Q18" s="421">
        <f>+N23+N24</f>
        <v>1935717.1230600001</v>
      </c>
      <c r="R18" s="369">
        <f>+Q18/$Q$21</f>
        <v>0.46798352438724622</v>
      </c>
    </row>
    <row r="19" spans="1:19">
      <c r="A19" s="377" t="s">
        <v>617</v>
      </c>
      <c r="B19" s="387">
        <f>'[56]DF Schedule'!B22</f>
        <v>512.4</v>
      </c>
      <c r="C19" s="387">
        <f>'[56]DF Schedule'!C22</f>
        <v>456.03999999999996</v>
      </c>
      <c r="D19" s="387">
        <f>'[56]DF Schedule'!D22</f>
        <v>398.87</v>
      </c>
      <c r="E19" s="387">
        <f>'[56]DF Schedule'!E22</f>
        <v>401.27</v>
      </c>
      <c r="F19" s="387">
        <f>'[56]DF Schedule'!F22</f>
        <v>369.43</v>
      </c>
      <c r="G19" s="387">
        <f>'[56]DF Schedule'!G22</f>
        <v>428.95000000000005</v>
      </c>
      <c r="H19" s="387">
        <f>'[56]DF Schedule'!H22</f>
        <v>348.78</v>
      </c>
      <c r="I19" s="387">
        <f>'[56]DF Schedule'!I22</f>
        <v>406.56999999999994</v>
      </c>
      <c r="J19" s="387">
        <f>'[56]DF Schedule'!J22</f>
        <v>368.53</v>
      </c>
      <c r="K19" s="387">
        <f>'[56]DF Schedule'!K22</f>
        <v>449.20999999999992</v>
      </c>
      <c r="L19" s="387">
        <f>'[56]DF Schedule'!L22</f>
        <v>438.65</v>
      </c>
      <c r="M19" s="387">
        <f>'[56]DF Schedule'!M22</f>
        <v>431.19999999999993</v>
      </c>
      <c r="N19" s="315">
        <f>SUM(B19:M19)</f>
        <v>5009.8999999999987</v>
      </c>
      <c r="P19" s="405" t="s">
        <v>624</v>
      </c>
      <c r="Q19" s="421">
        <f>+N47+N48</f>
        <v>899285.58700000017</v>
      </c>
      <c r="R19" s="369">
        <f>+Q19/$Q$21</f>
        <v>0.21741339859081713</v>
      </c>
    </row>
    <row r="20" spans="1:19" s="355" customFormat="1">
      <c r="A20" s="377" t="s">
        <v>615</v>
      </c>
      <c r="B20" s="423">
        <f>'[56]DF Schedule'!B23</f>
        <v>144.99</v>
      </c>
      <c r="C20" s="423">
        <f>'[56]DF Schedule'!C23</f>
        <v>144.99</v>
      </c>
      <c r="D20" s="423">
        <f>'[56]DF Schedule'!D23</f>
        <v>144.99</v>
      </c>
      <c r="E20" s="423">
        <f>'[56]DF Schedule'!E23</f>
        <v>144.99</v>
      </c>
      <c r="F20" s="423">
        <f>'[56]DF Schedule'!F23</f>
        <v>144.99</v>
      </c>
      <c r="G20" s="423">
        <f>'[56]DF Schedule'!G23</f>
        <v>144.99</v>
      </c>
      <c r="H20" s="423">
        <f>'[56]DF Schedule'!H23</f>
        <v>144.99</v>
      </c>
      <c r="I20" s="423">
        <f>'[56]DF Schedule'!I23</f>
        <v>144.99</v>
      </c>
      <c r="J20" s="423">
        <f>'[56]DF Schedule'!J23</f>
        <v>144.99</v>
      </c>
      <c r="K20" s="423">
        <f>'[56]DF Schedule'!K23</f>
        <v>144.99</v>
      </c>
      <c r="L20" s="423">
        <f>'[56]DF Schedule'!L23</f>
        <v>144.99</v>
      </c>
      <c r="M20" s="423">
        <f>'[56]DF Schedule'!M23</f>
        <v>144.99</v>
      </c>
      <c r="N20" s="317"/>
      <c r="O20"/>
      <c r="P20" s="405" t="s">
        <v>417</v>
      </c>
      <c r="Q20" s="422">
        <f>+N25+N49</f>
        <v>1301290.6041000001</v>
      </c>
      <c r="R20" s="369">
        <f>+Q20/$Q$21</f>
        <v>0.31460307702193663</v>
      </c>
    </row>
    <row r="21" spans="1:19" s="355" customFormat="1">
      <c r="A21" s="377" t="s">
        <v>614</v>
      </c>
      <c r="B21" s="367">
        <f t="shared" ref="B21:M21" si="5">ROUND(SUM(B17:B19)*B20,2)</f>
        <v>251573.6</v>
      </c>
      <c r="C21" s="367">
        <f t="shared" si="5"/>
        <v>231823.06</v>
      </c>
      <c r="D21" s="367">
        <f t="shared" si="5"/>
        <v>210499.38</v>
      </c>
      <c r="E21" s="367">
        <f t="shared" si="5"/>
        <v>231218.45</v>
      </c>
      <c r="F21" s="367">
        <f t="shared" si="5"/>
        <v>197617.6</v>
      </c>
      <c r="G21" s="367">
        <f t="shared" si="5"/>
        <v>223045.37</v>
      </c>
      <c r="H21" s="367">
        <f t="shared" si="5"/>
        <v>184569.37</v>
      </c>
      <c r="I21" s="367">
        <f t="shared" si="5"/>
        <v>223741.32</v>
      </c>
      <c r="J21" s="367">
        <f t="shared" si="5"/>
        <v>198717.49</v>
      </c>
      <c r="K21" s="367">
        <f t="shared" si="5"/>
        <v>241970.91</v>
      </c>
      <c r="L21" s="367">
        <f t="shared" si="5"/>
        <v>236873.06</v>
      </c>
      <c r="M21" s="367">
        <f t="shared" si="5"/>
        <v>230452.91</v>
      </c>
      <c r="N21" s="337">
        <f>SUM(B21:M21)</f>
        <v>2662102.5200000005</v>
      </c>
      <c r="O21"/>
      <c r="P21" s="405"/>
      <c r="Q21" s="421">
        <f>+SUM(Q18:Q20)</f>
        <v>4136293.3141600005</v>
      </c>
      <c r="R21" s="369"/>
    </row>
    <row r="22" spans="1:19" s="355" customFormat="1">
      <c r="A22" s="377"/>
      <c r="B22" s="384"/>
      <c r="C22" s="384"/>
      <c r="D22" s="384"/>
      <c r="E22" s="384"/>
      <c r="F22" s="383"/>
      <c r="G22" s="383"/>
      <c r="H22" s="383"/>
      <c r="I22" s="383"/>
      <c r="J22" s="383"/>
      <c r="K22" s="383"/>
      <c r="L22" s="383"/>
      <c r="M22" s="383"/>
      <c r="N22" s="382"/>
      <c r="O22"/>
      <c r="Q22" s="421">
        <f>+Q21-N58</f>
        <v>-5.8399992994964123E-3</v>
      </c>
      <c r="R22" s="369"/>
    </row>
    <row r="23" spans="1:19" s="355" customFormat="1">
      <c r="A23" s="377" t="s">
        <v>613</v>
      </c>
      <c r="B23" s="420">
        <f t="shared" ref="B23:M23" si="6">B17*B$20</f>
        <v>115040.8656</v>
      </c>
      <c r="C23" s="420">
        <f t="shared" si="6"/>
        <v>110201.09939999999</v>
      </c>
      <c r="D23" s="420">
        <f t="shared" si="6"/>
        <v>98359.766100000008</v>
      </c>
      <c r="E23" s="420">
        <f t="shared" si="6"/>
        <v>114059.2833</v>
      </c>
      <c r="F23" s="420">
        <f t="shared" si="6"/>
        <v>97115.751900000003</v>
      </c>
      <c r="G23" s="420">
        <f t="shared" si="6"/>
        <v>108188.63820000003</v>
      </c>
      <c r="H23" s="420">
        <f t="shared" si="6"/>
        <v>87729.099300000002</v>
      </c>
      <c r="I23" s="420">
        <f t="shared" si="6"/>
        <v>107423.091</v>
      </c>
      <c r="J23" s="420">
        <f t="shared" si="6"/>
        <v>96951.913199999995</v>
      </c>
      <c r="K23" s="420">
        <f t="shared" si="6"/>
        <v>118034.90910000002</v>
      </c>
      <c r="L23" s="420">
        <f t="shared" si="6"/>
        <v>113590.96560000001</v>
      </c>
      <c r="M23" s="420">
        <f t="shared" si="6"/>
        <v>111349.42020000001</v>
      </c>
      <c r="N23" s="419">
        <f>SUM(B23:M23)</f>
        <v>1278044.8029</v>
      </c>
      <c r="O23"/>
      <c r="P23" s="415"/>
      <c r="Q23" s="294"/>
      <c r="R23" s="369"/>
    </row>
    <row r="24" spans="1:19" s="355" customFormat="1">
      <c r="A24" s="377" t="s">
        <v>612</v>
      </c>
      <c r="B24" s="420">
        <f t="shared" ref="B24:M24" si="7">B18*B$20</f>
        <v>62239.857300000018</v>
      </c>
      <c r="C24" s="420">
        <f t="shared" si="7"/>
        <v>55500.722100000021</v>
      </c>
      <c r="D24" s="420">
        <f t="shared" si="7"/>
        <v>54307.454399999995</v>
      </c>
      <c r="E24" s="420">
        <f t="shared" si="7"/>
        <v>58979.032200000009</v>
      </c>
      <c r="F24" s="420">
        <f t="shared" si="7"/>
        <v>46938.192660000008</v>
      </c>
      <c r="G24" s="420">
        <f t="shared" si="7"/>
        <v>52663.267800000009</v>
      </c>
      <c r="H24" s="420">
        <f t="shared" si="7"/>
        <v>46270.6587</v>
      </c>
      <c r="I24" s="420">
        <f t="shared" si="7"/>
        <v>57369.643199999999</v>
      </c>
      <c r="J24" s="420">
        <f t="shared" si="7"/>
        <v>48332.416500000007</v>
      </c>
      <c r="K24" s="420">
        <f t="shared" si="7"/>
        <v>58805.044200000004</v>
      </c>
      <c r="L24" s="420">
        <f t="shared" si="7"/>
        <v>59682.233700000004</v>
      </c>
      <c r="M24" s="420">
        <f t="shared" si="7"/>
        <v>56583.797399999989</v>
      </c>
      <c r="N24" s="419">
        <f>SUM(B24:M24)</f>
        <v>657672.32016000012</v>
      </c>
      <c r="O24"/>
      <c r="P24" s="415"/>
      <c r="Q24" s="294"/>
      <c r="R24" s="369"/>
    </row>
    <row r="25" spans="1:19" s="355" customFormat="1">
      <c r="A25" s="377" t="s">
        <v>611</v>
      </c>
      <c r="B25" s="418">
        <f>B19*B$20</f>
        <v>74292.876000000004</v>
      </c>
      <c r="C25" s="418">
        <f>C19*C$20</f>
        <v>66121.239600000001</v>
      </c>
      <c r="D25" s="418">
        <f>D19*D$20</f>
        <v>57832.161300000007</v>
      </c>
      <c r="E25" s="418">
        <f>E19*E$20</f>
        <v>58180.137300000002</v>
      </c>
      <c r="F25" s="418">
        <f t="shared" ref="F25:M25" si="8">F19*$F$20</f>
        <v>53563.655700000003</v>
      </c>
      <c r="G25" s="418">
        <f t="shared" si="8"/>
        <v>62193.460500000008</v>
      </c>
      <c r="H25" s="418">
        <f t="shared" si="8"/>
        <v>50569.612199999996</v>
      </c>
      <c r="I25" s="418">
        <f t="shared" si="8"/>
        <v>58948.584299999995</v>
      </c>
      <c r="J25" s="418">
        <f t="shared" si="8"/>
        <v>53433.164700000001</v>
      </c>
      <c r="K25" s="418">
        <f t="shared" si="8"/>
        <v>65130.957899999994</v>
      </c>
      <c r="L25" s="418">
        <f t="shared" si="8"/>
        <v>63599.863499999999</v>
      </c>
      <c r="M25" s="418">
        <f t="shared" si="8"/>
        <v>62519.687999999995</v>
      </c>
      <c r="N25" s="375">
        <f>SUM(B25:M25)</f>
        <v>726385.40099999995</v>
      </c>
      <c r="O25"/>
      <c r="P25" s="415"/>
      <c r="Q25" s="414"/>
      <c r="R25" s="369"/>
      <c r="S25" s="293"/>
    </row>
    <row r="26" spans="1:19">
      <c r="A26" s="303"/>
      <c r="N26" s="312">
        <f>SUM(N23:N25)-N21</f>
        <v>4.0599997155368328E-3</v>
      </c>
      <c r="P26" s="415"/>
      <c r="Q26" s="414">
        <f>N18+N42</f>
        <v>7509.514000000001</v>
      </c>
      <c r="R26" s="369"/>
      <c r="S26" s="392"/>
    </row>
    <row r="27" spans="1:19" s="392" customFormat="1">
      <c r="A27" s="305" t="s">
        <v>610</v>
      </c>
      <c r="B27" s="417">
        <f t="shared" ref="B27:M27" si="9">B12+B21</f>
        <v>373765.37</v>
      </c>
      <c r="C27" s="417">
        <f t="shared" si="9"/>
        <v>332828.89</v>
      </c>
      <c r="D27" s="417">
        <f t="shared" si="9"/>
        <v>310628.02</v>
      </c>
      <c r="E27" s="417">
        <f t="shared" si="9"/>
        <v>332157.59000000003</v>
      </c>
      <c r="F27" s="417">
        <f t="shared" si="9"/>
        <v>288372.64</v>
      </c>
      <c r="G27" s="417">
        <f t="shared" si="9"/>
        <v>322050.33999999997</v>
      </c>
      <c r="H27" s="417">
        <f t="shared" si="9"/>
        <v>286095.71999999997</v>
      </c>
      <c r="I27" s="417">
        <f t="shared" si="9"/>
        <v>333327.66000000003</v>
      </c>
      <c r="J27" s="417">
        <f t="shared" si="9"/>
        <v>288547.49</v>
      </c>
      <c r="K27" s="417">
        <f t="shared" si="9"/>
        <v>360192.86</v>
      </c>
      <c r="L27" s="417">
        <f t="shared" si="9"/>
        <v>349356.3</v>
      </c>
      <c r="M27" s="417">
        <f t="shared" si="9"/>
        <v>323392.95</v>
      </c>
      <c r="N27" s="416">
        <f>SUM(B27:M27)</f>
        <v>3900715.8300000005</v>
      </c>
      <c r="O27"/>
      <c r="P27" s="415"/>
      <c r="Q27" s="414">
        <f>'[57]DF Schedule'!$N$18+'[57]DF Schedule'!$N$42</f>
        <v>5114.9754999999996</v>
      </c>
      <c r="R27" s="369"/>
      <c r="S27" s="293"/>
    </row>
    <row r="28" spans="1:19">
      <c r="A28" s="303"/>
      <c r="I28" s="413"/>
      <c r="J28" s="355"/>
      <c r="M28" s="355"/>
      <c r="N28" s="363"/>
      <c r="Q28" s="414">
        <f>Q26-Q27</f>
        <v>2394.5385000000015</v>
      </c>
      <c r="R28" s="369"/>
    </row>
    <row r="29" spans="1:19" ht="15.75" thickBot="1">
      <c r="A29" s="303"/>
      <c r="I29" s="413"/>
      <c r="N29" s="363"/>
      <c r="P29" s="412"/>
      <c r="Q29" s="411"/>
      <c r="R29" s="371"/>
    </row>
    <row r="30" spans="1:19">
      <c r="A30" s="325" t="s">
        <v>629</v>
      </c>
      <c r="B30" s="324"/>
      <c r="C30" s="324"/>
      <c r="D30" s="324"/>
      <c r="E30" s="324"/>
      <c r="F30" s="410"/>
      <c r="G30" s="409"/>
      <c r="H30" s="409"/>
      <c r="I30" s="409"/>
      <c r="J30" s="409"/>
      <c r="K30" s="409"/>
      <c r="L30" s="409"/>
      <c r="M30" s="409"/>
      <c r="N30" s="320"/>
      <c r="P30" s="406"/>
      <c r="Q30" s="406"/>
      <c r="R30" s="403"/>
    </row>
    <row r="31" spans="1:19">
      <c r="A31" s="303"/>
      <c r="F31" s="355"/>
      <c r="N31" s="317"/>
      <c r="P31" s="406"/>
      <c r="Q31" s="406"/>
      <c r="R31" s="403"/>
      <c r="S31" s="392"/>
    </row>
    <row r="32" spans="1:19" s="392" customFormat="1">
      <c r="A32" s="305" t="s">
        <v>609</v>
      </c>
      <c r="B32" s="408">
        <v>43466</v>
      </c>
      <c r="C32" s="408">
        <v>43497</v>
      </c>
      <c r="D32" s="408">
        <v>43525</v>
      </c>
      <c r="E32" s="408">
        <v>43556</v>
      </c>
      <c r="F32" s="408">
        <v>43586</v>
      </c>
      <c r="G32" s="408">
        <v>43617</v>
      </c>
      <c r="H32" s="408">
        <v>43647</v>
      </c>
      <c r="I32" s="408">
        <v>43678</v>
      </c>
      <c r="J32" s="408">
        <v>43709</v>
      </c>
      <c r="K32" s="408">
        <v>43739</v>
      </c>
      <c r="L32" s="408">
        <v>43770</v>
      </c>
      <c r="M32" s="408">
        <v>43800</v>
      </c>
      <c r="N32" s="407" t="s">
        <v>628</v>
      </c>
      <c r="O32"/>
      <c r="P32" s="406"/>
      <c r="Q32" s="406"/>
      <c r="R32" s="403"/>
      <c r="S32" s="293"/>
    </row>
    <row r="33" spans="1:19">
      <c r="A33" s="377" t="s">
        <v>627</v>
      </c>
      <c r="B33" s="387">
        <f>'[56]DF Schedule'!B36</f>
        <v>188.76</v>
      </c>
      <c r="C33" s="387">
        <f>'[56]DF Schedule'!C36</f>
        <v>139.12999999999997</v>
      </c>
      <c r="D33" s="387">
        <f>'[56]DF Schedule'!D36</f>
        <v>137.01</v>
      </c>
      <c r="E33" s="387">
        <f>'[56]DF Schedule'!E36</f>
        <v>131.32999999999998</v>
      </c>
      <c r="F33" s="387">
        <f>'[56]DF Schedule'!F36</f>
        <v>121.60000000000002</v>
      </c>
      <c r="G33" s="387">
        <f>'[56]DF Schedule'!G36</f>
        <v>162.07999999999998</v>
      </c>
      <c r="H33" s="387">
        <f>'[56]DF Schedule'!H36</f>
        <v>73.81</v>
      </c>
      <c r="I33" s="387">
        <f>'[56]DF Schedule'!I36</f>
        <v>102.08</v>
      </c>
      <c r="J33" s="387">
        <f>'[56]DF Schedule'!J36</f>
        <v>83.59999999999998</v>
      </c>
      <c r="K33" s="387">
        <f>'[56]DF Schedule'!K36</f>
        <v>135.62999999999994</v>
      </c>
      <c r="L33" s="387">
        <f>'[56]DF Schedule'!L36</f>
        <v>128.94</v>
      </c>
      <c r="M33" s="387">
        <f>'[56]DF Schedule'!M36</f>
        <v>125.65999999999998</v>
      </c>
      <c r="N33" s="315">
        <f>SUM(B33:M33)</f>
        <v>1529.6299999999999</v>
      </c>
      <c r="P33" s="406"/>
      <c r="Q33" s="406"/>
      <c r="R33" s="403"/>
    </row>
    <row r="34" spans="1:19" ht="15.75" thickBot="1">
      <c r="A34" s="377" t="s">
        <v>617</v>
      </c>
      <c r="B34" s="387">
        <f>'[56]DF Schedule'!B37</f>
        <v>115.17000000000002</v>
      </c>
      <c r="C34" s="387">
        <f>'[56]DF Schedule'!C37</f>
        <v>58.059999999999988</v>
      </c>
      <c r="D34" s="387">
        <f>'[56]DF Schedule'!D37</f>
        <v>85.080000000000013</v>
      </c>
      <c r="E34" s="387">
        <f>'[56]DF Schedule'!E37</f>
        <v>64.13</v>
      </c>
      <c r="F34" s="387">
        <f>'[56]DF Schedule'!F37</f>
        <v>91.14</v>
      </c>
      <c r="G34" s="387">
        <f>'[56]DF Schedule'!G37</f>
        <v>102.09999999999998</v>
      </c>
      <c r="H34" s="387">
        <f>'[56]DF Schedule'!H37</f>
        <v>70.619999999999976</v>
      </c>
      <c r="I34" s="387">
        <f>'[56]DF Schedule'!I37</f>
        <v>107.66</v>
      </c>
      <c r="J34" s="387">
        <f>'[56]DF Schedule'!J37</f>
        <v>113.08000000000001</v>
      </c>
      <c r="K34" s="387">
        <f>'[56]DF Schedule'!K37</f>
        <v>89.55</v>
      </c>
      <c r="L34" s="387">
        <f>'[56]DF Schedule'!L37</f>
        <v>89.65000000000002</v>
      </c>
      <c r="M34" s="387">
        <f>'[56]DF Schedule'!M37</f>
        <v>80.929999999999993</v>
      </c>
      <c r="N34" s="315">
        <f>SUM(B34:M34)</f>
        <v>1067.17</v>
      </c>
      <c r="P34" s="405" t="s">
        <v>626</v>
      </c>
      <c r="Q34" s="404"/>
      <c r="R34" s="403"/>
      <c r="S34" s="355"/>
    </row>
    <row r="35" spans="1:19" s="355" customFormat="1">
      <c r="A35" s="377" t="s">
        <v>615</v>
      </c>
      <c r="B35" s="402">
        <f>'[56]DF Schedule'!B39</f>
        <v>157.27000000000001</v>
      </c>
      <c r="C35" s="402">
        <f>'[56]DF Schedule'!C39</f>
        <v>157.27000000000001</v>
      </c>
      <c r="D35" s="402">
        <f>'[56]DF Schedule'!D39</f>
        <v>157.27000000000001</v>
      </c>
      <c r="E35" s="402">
        <f>'[56]DF Schedule'!E39</f>
        <v>157.27000000000001</v>
      </c>
      <c r="F35" s="402">
        <f>'[56]DF Schedule'!F39</f>
        <v>157.27000000000001</v>
      </c>
      <c r="G35" s="402">
        <f>'[56]DF Schedule'!G39</f>
        <v>157.27000000000001</v>
      </c>
      <c r="H35" s="402">
        <f>'[56]DF Schedule'!H39</f>
        <v>157.27000000000001</v>
      </c>
      <c r="I35" s="402">
        <f>'[56]DF Schedule'!I39</f>
        <v>157.27000000000001</v>
      </c>
      <c r="J35" s="402">
        <f>'[56]DF Schedule'!J39</f>
        <v>157.27000000000001</v>
      </c>
      <c r="K35" s="402">
        <f>'[56]DF Schedule'!K39</f>
        <v>157.27000000000001</v>
      </c>
      <c r="L35" s="402">
        <f>'[56]DF Schedule'!L39</f>
        <v>157.27000000000001</v>
      </c>
      <c r="M35" s="402">
        <f>'[56]DF Schedule'!M39</f>
        <v>157.27000000000001</v>
      </c>
      <c r="N35" s="317"/>
      <c r="O35"/>
      <c r="P35" s="401" t="s">
        <v>625</v>
      </c>
      <c r="Q35" s="400">
        <f>+N23+N24</f>
        <v>1935717.1230600001</v>
      </c>
      <c r="R35" s="369"/>
    </row>
    <row r="36" spans="1:19" s="355" customFormat="1">
      <c r="A36" s="377" t="s">
        <v>614</v>
      </c>
      <c r="B36" s="399">
        <f t="shared" ref="B36:M36" si="10">ROUND(SUM(B33:B34)*B35,2)</f>
        <v>47799.07</v>
      </c>
      <c r="C36" s="399">
        <f t="shared" si="10"/>
        <v>31012.07</v>
      </c>
      <c r="D36" s="399">
        <f t="shared" si="10"/>
        <v>34928.089999999997</v>
      </c>
      <c r="E36" s="399">
        <f t="shared" si="10"/>
        <v>30739.99</v>
      </c>
      <c r="F36" s="399">
        <f t="shared" si="10"/>
        <v>33457.620000000003</v>
      </c>
      <c r="G36" s="399">
        <f t="shared" si="10"/>
        <v>41547.589999999997</v>
      </c>
      <c r="H36" s="399">
        <f t="shared" si="10"/>
        <v>22714.51</v>
      </c>
      <c r="I36" s="399">
        <f t="shared" si="10"/>
        <v>32985.81</v>
      </c>
      <c r="J36" s="399">
        <f t="shared" si="10"/>
        <v>30931.86</v>
      </c>
      <c r="K36" s="399">
        <f t="shared" si="10"/>
        <v>35414.06</v>
      </c>
      <c r="L36" s="399">
        <f t="shared" si="10"/>
        <v>34377.65</v>
      </c>
      <c r="M36" s="399">
        <f t="shared" si="10"/>
        <v>32490.41</v>
      </c>
      <c r="N36" s="337">
        <f>SUM(B36:M36)</f>
        <v>408398.73</v>
      </c>
      <c r="O36"/>
      <c r="P36" s="397" t="s">
        <v>624</v>
      </c>
      <c r="Q36" s="393">
        <f>+N47+N48</f>
        <v>899285.58700000017</v>
      </c>
      <c r="R36" s="369"/>
    </row>
    <row r="37" spans="1:19" s="355" customFormat="1">
      <c r="A37" s="377" t="s">
        <v>623</v>
      </c>
      <c r="B37" s="313">
        <f t="shared" ref="B37:M37" si="11">B33*B35</f>
        <v>29686.285200000002</v>
      </c>
      <c r="C37" s="313">
        <f t="shared" si="11"/>
        <v>21880.975099999996</v>
      </c>
      <c r="D37" s="313">
        <f t="shared" si="11"/>
        <v>21547.562699999999</v>
      </c>
      <c r="E37" s="313">
        <f t="shared" si="11"/>
        <v>20654.269099999998</v>
      </c>
      <c r="F37" s="313">
        <f t="shared" si="11"/>
        <v>19124.032000000007</v>
      </c>
      <c r="G37" s="313">
        <f t="shared" si="11"/>
        <v>25490.321599999999</v>
      </c>
      <c r="H37" s="313">
        <f t="shared" si="11"/>
        <v>11608.0987</v>
      </c>
      <c r="I37" s="313">
        <f t="shared" si="11"/>
        <v>16054.1216</v>
      </c>
      <c r="J37" s="313">
        <f t="shared" si="11"/>
        <v>13147.771999999997</v>
      </c>
      <c r="K37" s="313">
        <f t="shared" si="11"/>
        <v>21330.530099999993</v>
      </c>
      <c r="L37" s="313">
        <f t="shared" si="11"/>
        <v>20278.393800000002</v>
      </c>
      <c r="M37" s="313">
        <f t="shared" si="11"/>
        <v>19762.548199999997</v>
      </c>
      <c r="N37" s="337">
        <f>SUM(B37:M37)</f>
        <v>240564.91009999998</v>
      </c>
      <c r="O37"/>
      <c r="P37" s="398" t="s">
        <v>622</v>
      </c>
      <c r="Q37" s="393">
        <f>+N73+N81+N97</f>
        <v>652972.24994778936</v>
      </c>
      <c r="R37" s="369"/>
    </row>
    <row r="38" spans="1:19" s="355" customFormat="1">
      <c r="A38" s="377" t="s">
        <v>611</v>
      </c>
      <c r="B38" s="313">
        <f t="shared" ref="B38:M38" si="12">B34*B35</f>
        <v>18112.785900000003</v>
      </c>
      <c r="C38" s="313">
        <f t="shared" si="12"/>
        <v>9131.0961999999981</v>
      </c>
      <c r="D38" s="313">
        <f t="shared" si="12"/>
        <v>13380.531600000002</v>
      </c>
      <c r="E38" s="313">
        <f t="shared" si="12"/>
        <v>10085.7251</v>
      </c>
      <c r="F38" s="313">
        <f t="shared" si="12"/>
        <v>14333.587800000001</v>
      </c>
      <c r="G38" s="313">
        <f t="shared" si="12"/>
        <v>16057.266999999998</v>
      </c>
      <c r="H38" s="313">
        <f t="shared" si="12"/>
        <v>11106.407399999996</v>
      </c>
      <c r="I38" s="313">
        <f t="shared" si="12"/>
        <v>16931.688200000001</v>
      </c>
      <c r="J38" s="313">
        <f t="shared" si="12"/>
        <v>17784.091600000003</v>
      </c>
      <c r="K38" s="313">
        <f t="shared" si="12"/>
        <v>14083.5285</v>
      </c>
      <c r="L38" s="313">
        <f t="shared" si="12"/>
        <v>14099.255500000005</v>
      </c>
      <c r="M38" s="313">
        <f t="shared" si="12"/>
        <v>12727.8611</v>
      </c>
      <c r="N38" s="337">
        <f>SUM(B38:M38)</f>
        <v>167833.8259</v>
      </c>
      <c r="O38"/>
      <c r="P38" s="397" t="s">
        <v>417</v>
      </c>
      <c r="Q38" s="396">
        <f>+N25+N49</f>
        <v>1301290.6041000001</v>
      </c>
      <c r="R38" s="369"/>
      <c r="S38" s="293"/>
    </row>
    <row r="39" spans="1:19">
      <c r="A39" s="303"/>
      <c r="F39" s="395"/>
      <c r="G39" s="395"/>
      <c r="H39" s="395"/>
      <c r="I39" s="395"/>
      <c r="J39" s="395"/>
      <c r="K39" s="395"/>
      <c r="L39" s="395"/>
      <c r="M39" s="395"/>
      <c r="N39" s="394">
        <f>SUM(N37:N38)-N36</f>
        <v>5.9999999939464033E-3</v>
      </c>
      <c r="P39" s="391" t="s">
        <v>15</v>
      </c>
      <c r="Q39" s="393">
        <f>SUM(Q35:Q38)</f>
        <v>4789265.5641077897</v>
      </c>
      <c r="R39" s="369"/>
    </row>
    <row r="40" spans="1:19">
      <c r="A40" s="305" t="s">
        <v>621</v>
      </c>
      <c r="B40" s="392"/>
      <c r="C40" s="392"/>
      <c r="D40" s="392"/>
      <c r="E40" s="392"/>
      <c r="N40" s="317"/>
      <c r="P40" s="391"/>
      <c r="Q40" s="388"/>
      <c r="R40" s="369"/>
    </row>
    <row r="41" spans="1:19">
      <c r="A41" s="377" t="s">
        <v>620</v>
      </c>
      <c r="B41" s="387">
        <f>'[56]DF Schedule'!B47</f>
        <v>256.07</v>
      </c>
      <c r="C41" s="387">
        <f>'[56]DF Schedule'!C47</f>
        <v>225.96000000000004</v>
      </c>
      <c r="D41" s="387">
        <f>'[56]DF Schedule'!D47</f>
        <v>215.20999999999998</v>
      </c>
      <c r="E41" s="387">
        <f>'[56]DF Schedule'!E47</f>
        <v>254.68000000000004</v>
      </c>
      <c r="F41" s="387">
        <f>'[56]DF Schedule'!F47</f>
        <v>195.52</v>
      </c>
      <c r="G41" s="387">
        <f>'[56]DF Schedule'!G47</f>
        <v>261.68</v>
      </c>
      <c r="H41" s="387">
        <f>'[56]DF Schedule'!H47</f>
        <v>191.42000000000002</v>
      </c>
      <c r="I41" s="387">
        <f>'[56]DF Schedule'!I47</f>
        <v>216.86000000000004</v>
      </c>
      <c r="J41" s="387">
        <f>'[56]DF Schedule'!J47</f>
        <v>201.20999999999998</v>
      </c>
      <c r="K41" s="387">
        <f>'[56]DF Schedule'!K47</f>
        <v>243.57</v>
      </c>
      <c r="L41" s="387">
        <f>'[56]DF Schedule'!L47</f>
        <v>246.42</v>
      </c>
      <c r="M41" s="387">
        <f>'[56]DF Schedule'!M47</f>
        <v>235.96999999999997</v>
      </c>
      <c r="N41" s="315">
        <f>SUM(B41:M41)</f>
        <v>2744.57</v>
      </c>
      <c r="P41" s="389" t="s">
        <v>619</v>
      </c>
      <c r="Q41" s="390">
        <f>+'[51]Master IS'!E155-'[51]Master IS'!F156-'[51]Master IS'!F157</f>
        <v>4729157.1700000018</v>
      </c>
      <c r="R41" s="369"/>
    </row>
    <row r="42" spans="1:19">
      <c r="A42" s="377" t="s">
        <v>618</v>
      </c>
      <c r="B42" s="387">
        <f>'[56]DF Schedule'!B48</f>
        <v>293.12</v>
      </c>
      <c r="C42" s="387">
        <f>'[56]DF Schedule'!C48</f>
        <v>243.95</v>
      </c>
      <c r="D42" s="387">
        <f>'[56]DF Schedule'!D48</f>
        <v>223.93</v>
      </c>
      <c r="E42" s="387">
        <f>'[56]DF Schedule'!E48</f>
        <v>229.19999999999996</v>
      </c>
      <c r="F42" s="387">
        <f>'[56]DF Schedule'!F48</f>
        <v>210.23999999999998</v>
      </c>
      <c r="G42" s="387">
        <f>'[56]DF Schedule'!G48</f>
        <v>248.44</v>
      </c>
      <c r="H42" s="387">
        <f>'[56]DF Schedule'!H48</f>
        <v>213</v>
      </c>
      <c r="I42" s="387">
        <f>'[56]DF Schedule'!I48</f>
        <v>264.96999999999997</v>
      </c>
      <c r="J42" s="387">
        <f>'[56]DF Schedule'!J48</f>
        <v>239.16999999999996</v>
      </c>
      <c r="K42" s="387">
        <f>'[56]DF Schedule'!K48</f>
        <v>281.90999999999997</v>
      </c>
      <c r="L42" s="387">
        <f>'[56]DF Schedule'!L48</f>
        <v>263.03000000000003</v>
      </c>
      <c r="M42" s="387">
        <f>'[56]DF Schedule'!M48</f>
        <v>262.57</v>
      </c>
      <c r="N42" s="315">
        <f>SUM(B42:M42)</f>
        <v>2973.53</v>
      </c>
      <c r="P42" s="389"/>
      <c r="Q42" s="388"/>
      <c r="R42" s="369"/>
    </row>
    <row r="43" spans="1:19" ht="15.75" thickBot="1">
      <c r="A43" s="377" t="s">
        <v>617</v>
      </c>
      <c r="B43" s="387">
        <f>'[56]DF Schedule'!B49</f>
        <v>360.1</v>
      </c>
      <c r="C43" s="387">
        <f>'[56]DF Schedule'!C49</f>
        <v>329.72</v>
      </c>
      <c r="D43" s="387">
        <f>'[56]DF Schedule'!D49</f>
        <v>287.15999999999997</v>
      </c>
      <c r="E43" s="387">
        <f>'[56]DF Schedule'!E49</f>
        <v>283.38</v>
      </c>
      <c r="F43" s="387">
        <f>'[56]DF Schedule'!F49</f>
        <v>239.20999999999998</v>
      </c>
      <c r="G43" s="387">
        <f>'[56]DF Schedule'!G49</f>
        <v>344.93999999999994</v>
      </c>
      <c r="H43" s="387">
        <f>'[56]DF Schedule'!H49</f>
        <v>255.61</v>
      </c>
      <c r="I43" s="387">
        <f>'[56]DF Schedule'!I49</f>
        <v>316.94</v>
      </c>
      <c r="J43" s="387">
        <f>'[56]DF Schedule'!J49</f>
        <v>283.78999999999996</v>
      </c>
      <c r="K43" s="387">
        <f>'[56]DF Schedule'!K49</f>
        <v>315.07000000000005</v>
      </c>
      <c r="L43" s="387">
        <f>'[56]DF Schedule'!L49</f>
        <v>312</v>
      </c>
      <c r="M43" s="387">
        <f>'[56]DF Schedule'!M49</f>
        <v>327.61</v>
      </c>
      <c r="N43" s="315">
        <f>SUM(B43:M43)</f>
        <v>3655.5300000000007</v>
      </c>
      <c r="P43" s="386" t="s">
        <v>616</v>
      </c>
      <c r="Q43" s="385">
        <f>+Q39-Q41</f>
        <v>60108.39410778787</v>
      </c>
      <c r="R43" s="369">
        <f>+Q43/Q39</f>
        <v>1.2550649635772638E-2</v>
      </c>
      <c r="S43" s="355"/>
    </row>
    <row r="44" spans="1:19" s="355" customFormat="1">
      <c r="A44" s="377" t="s">
        <v>615</v>
      </c>
      <c r="B44" s="313">
        <f>'[56]DF Schedule'!$B$50</f>
        <v>157.27000000000001</v>
      </c>
      <c r="C44" s="313">
        <f t="shared" ref="C44:M44" si="13">+B44</f>
        <v>157.27000000000001</v>
      </c>
      <c r="D44" s="313">
        <f t="shared" si="13"/>
        <v>157.27000000000001</v>
      </c>
      <c r="E44" s="313">
        <f t="shared" si="13"/>
        <v>157.27000000000001</v>
      </c>
      <c r="F44" s="313">
        <f t="shared" si="13"/>
        <v>157.27000000000001</v>
      </c>
      <c r="G44" s="313">
        <f t="shared" si="13"/>
        <v>157.27000000000001</v>
      </c>
      <c r="H44" s="313">
        <f t="shared" si="13"/>
        <v>157.27000000000001</v>
      </c>
      <c r="I44" s="313">
        <f t="shared" si="13"/>
        <v>157.27000000000001</v>
      </c>
      <c r="J44" s="313">
        <f t="shared" si="13"/>
        <v>157.27000000000001</v>
      </c>
      <c r="K44" s="313">
        <f t="shared" si="13"/>
        <v>157.27000000000001</v>
      </c>
      <c r="L44" s="313">
        <f t="shared" si="13"/>
        <v>157.27000000000001</v>
      </c>
      <c r="M44" s="313">
        <f t="shared" si="13"/>
        <v>157.27000000000001</v>
      </c>
      <c r="N44" s="317"/>
      <c r="O44"/>
      <c r="P44" s="293"/>
      <c r="Q44" s="294"/>
      <c r="R44" s="369"/>
    </row>
    <row r="45" spans="1:19" s="355" customFormat="1">
      <c r="A45" s="377" t="s">
        <v>614</v>
      </c>
      <c r="B45" s="367">
        <f t="shared" ref="B45:M45" si="14">ROUND(SUM(B41:B43)*B44,2)</f>
        <v>143004.04</v>
      </c>
      <c r="C45" s="367">
        <f t="shared" si="14"/>
        <v>125757.81</v>
      </c>
      <c r="D45" s="367">
        <f t="shared" si="14"/>
        <v>114225.2</v>
      </c>
      <c r="E45" s="367">
        <f t="shared" si="14"/>
        <v>120666.98</v>
      </c>
      <c r="F45" s="367">
        <f t="shared" si="14"/>
        <v>101434.43</v>
      </c>
      <c r="G45" s="367">
        <f t="shared" si="14"/>
        <v>134475.29</v>
      </c>
      <c r="H45" s="367">
        <f t="shared" si="14"/>
        <v>103802.92</v>
      </c>
      <c r="I45" s="367">
        <f t="shared" si="14"/>
        <v>125622.56</v>
      </c>
      <c r="J45" s="367">
        <f t="shared" si="14"/>
        <v>113890.22</v>
      </c>
      <c r="K45" s="367">
        <f t="shared" si="14"/>
        <v>132193.29999999999</v>
      </c>
      <c r="L45" s="367">
        <f t="shared" si="14"/>
        <v>129189.44</v>
      </c>
      <c r="M45" s="367">
        <f t="shared" si="14"/>
        <v>129928.61</v>
      </c>
      <c r="N45" s="337">
        <f>SUM(B45:M45)</f>
        <v>1474190.8</v>
      </c>
      <c r="O45"/>
      <c r="P45" s="293"/>
      <c r="Q45" s="294"/>
      <c r="R45" s="369"/>
    </row>
    <row r="46" spans="1:19" s="355" customFormat="1">
      <c r="A46" s="377"/>
      <c r="B46" s="384"/>
      <c r="C46" s="384"/>
      <c r="D46" s="384"/>
      <c r="E46" s="384"/>
      <c r="F46" s="383"/>
      <c r="G46" s="383"/>
      <c r="H46" s="383"/>
      <c r="I46" s="383"/>
      <c r="J46" s="383"/>
      <c r="K46" s="383"/>
      <c r="L46" s="383"/>
      <c r="M46" s="383"/>
      <c r="N46" s="382"/>
      <c r="O46"/>
      <c r="Q46" s="381"/>
      <c r="R46" s="369"/>
    </row>
    <row r="47" spans="1:19" s="355" customFormat="1">
      <c r="A47" s="377" t="s">
        <v>613</v>
      </c>
      <c r="B47" s="379">
        <f t="shared" ref="B47:E49" si="15">B41*B$44</f>
        <v>40272.128900000003</v>
      </c>
      <c r="C47" s="379">
        <f t="shared" si="15"/>
        <v>35536.729200000009</v>
      </c>
      <c r="D47" s="379">
        <f t="shared" si="15"/>
        <v>33846.076699999998</v>
      </c>
      <c r="E47" s="379">
        <f t="shared" si="15"/>
        <v>40053.523600000008</v>
      </c>
      <c r="F47" s="379">
        <f t="shared" ref="F47:M47" si="16">F41*$F$44</f>
        <v>30749.430400000005</v>
      </c>
      <c r="G47" s="379">
        <f t="shared" si="16"/>
        <v>41154.413600000007</v>
      </c>
      <c r="H47" s="379">
        <f t="shared" si="16"/>
        <v>30104.623400000004</v>
      </c>
      <c r="I47" s="379">
        <f t="shared" si="16"/>
        <v>34105.57220000001</v>
      </c>
      <c r="J47" s="379">
        <f t="shared" si="16"/>
        <v>31644.296699999999</v>
      </c>
      <c r="K47" s="379">
        <f t="shared" si="16"/>
        <v>38306.253900000003</v>
      </c>
      <c r="L47" s="379">
        <f t="shared" si="16"/>
        <v>38754.473400000003</v>
      </c>
      <c r="M47" s="379">
        <f t="shared" si="16"/>
        <v>37111.001899999996</v>
      </c>
      <c r="N47" s="378">
        <f>SUM(B47:M47)</f>
        <v>431638.52390000009</v>
      </c>
      <c r="O47"/>
      <c r="Q47" s="380"/>
      <c r="R47" s="369"/>
    </row>
    <row r="48" spans="1:19" s="355" customFormat="1">
      <c r="A48" s="377" t="s">
        <v>612</v>
      </c>
      <c r="B48" s="379">
        <f t="shared" si="15"/>
        <v>46098.982400000001</v>
      </c>
      <c r="C48" s="379">
        <f t="shared" si="15"/>
        <v>38366.016499999998</v>
      </c>
      <c r="D48" s="379">
        <f t="shared" si="15"/>
        <v>35217.471100000002</v>
      </c>
      <c r="E48" s="379">
        <f t="shared" si="15"/>
        <v>36046.284</v>
      </c>
      <c r="F48" s="379">
        <f>F42*F$44</f>
        <v>33064.444799999997</v>
      </c>
      <c r="G48" s="379">
        <f t="shared" ref="G48:M49" si="17">G42*$F$44</f>
        <v>39072.158800000005</v>
      </c>
      <c r="H48" s="379">
        <f t="shared" si="17"/>
        <v>33498.51</v>
      </c>
      <c r="I48" s="379">
        <f t="shared" si="17"/>
        <v>41671.831899999997</v>
      </c>
      <c r="J48" s="379">
        <f t="shared" si="17"/>
        <v>37614.265899999999</v>
      </c>
      <c r="K48" s="379">
        <f t="shared" si="17"/>
        <v>44335.985699999997</v>
      </c>
      <c r="L48" s="379">
        <f t="shared" si="17"/>
        <v>41366.728100000008</v>
      </c>
      <c r="M48" s="379">
        <f t="shared" si="17"/>
        <v>41294.383900000001</v>
      </c>
      <c r="N48" s="378">
        <f>SUM(B48:M48)</f>
        <v>467647.06310000009</v>
      </c>
      <c r="O48"/>
      <c r="Q48" s="294"/>
      <c r="R48" s="369"/>
    </row>
    <row r="49" spans="1:19" s="355" customFormat="1">
      <c r="A49" s="377" t="s">
        <v>611</v>
      </c>
      <c r="B49" s="376">
        <f t="shared" si="15"/>
        <v>56632.927000000011</v>
      </c>
      <c r="C49" s="376">
        <f t="shared" si="15"/>
        <v>51855.06440000001</v>
      </c>
      <c r="D49" s="376">
        <f t="shared" si="15"/>
        <v>45161.653200000001</v>
      </c>
      <c r="E49" s="376">
        <f t="shared" si="15"/>
        <v>44567.172600000005</v>
      </c>
      <c r="F49" s="376">
        <f>F43*$F$44</f>
        <v>37620.556700000001</v>
      </c>
      <c r="G49" s="376">
        <f t="shared" si="17"/>
        <v>54248.713799999998</v>
      </c>
      <c r="H49" s="376">
        <f t="shared" si="17"/>
        <v>40199.784700000004</v>
      </c>
      <c r="I49" s="376">
        <f t="shared" si="17"/>
        <v>49845.1538</v>
      </c>
      <c r="J49" s="376">
        <f t="shared" si="17"/>
        <v>44631.653299999998</v>
      </c>
      <c r="K49" s="376">
        <f t="shared" si="17"/>
        <v>49551.058900000011</v>
      </c>
      <c r="L49" s="376">
        <f t="shared" si="17"/>
        <v>49068.240000000005</v>
      </c>
      <c r="M49" s="376">
        <f t="shared" si="17"/>
        <v>51523.224700000006</v>
      </c>
      <c r="N49" s="375">
        <f>SUM(B49:M49)</f>
        <v>574905.20310000004</v>
      </c>
      <c r="O49"/>
      <c r="Q49" s="294"/>
      <c r="R49" s="374"/>
      <c r="S49" s="293"/>
    </row>
    <row r="50" spans="1:19">
      <c r="A50" s="303"/>
      <c r="N50" s="337">
        <f>SUM(B50:M50)</f>
        <v>0</v>
      </c>
      <c r="P50" s="355"/>
      <c r="R50" s="369"/>
      <c r="S50" s="358"/>
    </row>
    <row r="51" spans="1:19" s="358" customFormat="1">
      <c r="A51" s="305" t="s">
        <v>610</v>
      </c>
      <c r="B51" s="373">
        <f t="shared" ref="B51:M51" si="18">B36+B45</f>
        <v>190803.11000000002</v>
      </c>
      <c r="C51" s="373">
        <f t="shared" si="18"/>
        <v>156769.88</v>
      </c>
      <c r="D51" s="373">
        <f t="shared" si="18"/>
        <v>149153.28999999998</v>
      </c>
      <c r="E51" s="373">
        <f t="shared" si="18"/>
        <v>151406.97</v>
      </c>
      <c r="F51" s="373">
        <f t="shared" si="18"/>
        <v>134892.04999999999</v>
      </c>
      <c r="G51" s="373">
        <f t="shared" si="18"/>
        <v>176022.88</v>
      </c>
      <c r="H51" s="373">
        <f t="shared" si="18"/>
        <v>126517.43</v>
      </c>
      <c r="I51" s="373">
        <f t="shared" si="18"/>
        <v>158608.37</v>
      </c>
      <c r="J51" s="373">
        <f t="shared" si="18"/>
        <v>144822.08000000002</v>
      </c>
      <c r="K51" s="373">
        <f t="shared" si="18"/>
        <v>167607.35999999999</v>
      </c>
      <c r="L51" s="373">
        <f t="shared" si="18"/>
        <v>163567.09</v>
      </c>
      <c r="M51" s="373">
        <f t="shared" si="18"/>
        <v>162419.01999999999</v>
      </c>
      <c r="N51" s="372">
        <f>SUM(B51:M51)</f>
        <v>1882589.53</v>
      </c>
      <c r="O51"/>
      <c r="P51" s="355"/>
      <c r="Q51" s="294"/>
      <c r="R51" s="369"/>
      <c r="S51" s="293"/>
    </row>
    <row r="52" spans="1:19">
      <c r="A52" s="303"/>
      <c r="G52" s="304"/>
      <c r="N52" s="317"/>
      <c r="R52" s="369"/>
    </row>
    <row r="53" spans="1:19">
      <c r="A53" s="303"/>
      <c r="N53" s="317"/>
      <c r="P53" s="357"/>
      <c r="Q53" s="357"/>
      <c r="R53" s="371"/>
      <c r="S53" s="355"/>
    </row>
    <row r="54" spans="1:19" s="355" customFormat="1">
      <c r="A54" s="305" t="s">
        <v>609</v>
      </c>
      <c r="B54" s="370">
        <f t="shared" ref="B54:M54" si="19">B12+B36</f>
        <v>169990.84</v>
      </c>
      <c r="C54" s="370">
        <f t="shared" si="19"/>
        <v>132017.9</v>
      </c>
      <c r="D54" s="370">
        <f t="shared" si="19"/>
        <v>135056.72999999998</v>
      </c>
      <c r="E54" s="370">
        <f t="shared" si="19"/>
        <v>131679.13</v>
      </c>
      <c r="F54" s="370">
        <f t="shared" si="19"/>
        <v>124212.66</v>
      </c>
      <c r="G54" s="370">
        <f t="shared" si="19"/>
        <v>140552.56</v>
      </c>
      <c r="H54" s="370">
        <f t="shared" si="19"/>
        <v>124240.86</v>
      </c>
      <c r="I54" s="370">
        <f t="shared" si="19"/>
        <v>142572.15</v>
      </c>
      <c r="J54" s="370">
        <f t="shared" si="19"/>
        <v>120761.86</v>
      </c>
      <c r="K54" s="370">
        <f t="shared" si="19"/>
        <v>153636.01</v>
      </c>
      <c r="L54" s="370">
        <f t="shared" si="19"/>
        <v>146860.89000000001</v>
      </c>
      <c r="M54" s="370">
        <f t="shared" si="19"/>
        <v>125430.45</v>
      </c>
      <c r="N54" s="360">
        <f>SUM(B54:M54)</f>
        <v>1647012.0400000003</v>
      </c>
      <c r="O54"/>
      <c r="P54" s="293"/>
      <c r="Q54" s="294"/>
      <c r="R54" s="369"/>
    </row>
    <row r="55" spans="1:19" s="355" customFormat="1">
      <c r="A55" s="305" t="s">
        <v>607</v>
      </c>
      <c r="B55" s="361">
        <f>'[51]2112 IS'!K19</f>
        <v>171975.85</v>
      </c>
      <c r="C55" s="361">
        <f>'[51]2112 IS'!M19</f>
        <v>132564.95000000001</v>
      </c>
      <c r="D55" s="361">
        <f>'[51]2112 IS'!O19</f>
        <v>135361.35999999999</v>
      </c>
      <c r="E55" s="361">
        <f>'[51]2112 IS'!Q19</f>
        <v>132811.65</v>
      </c>
      <c r="F55" s="361">
        <f>'[51]2112 IS'!S19</f>
        <v>124359.92</v>
      </c>
      <c r="G55" s="361">
        <f>'[51]2112 IS'!U19</f>
        <v>141574.51</v>
      </c>
      <c r="H55" s="361">
        <f>'[51]2112 IS'!W19</f>
        <v>123646.2</v>
      </c>
      <c r="I55" s="361">
        <f>'[51]2112 IS'!Y19</f>
        <v>142792.57999999999</v>
      </c>
      <c r="J55" s="361">
        <f>'[51]2112 IS'!AA19</f>
        <v>121251.53</v>
      </c>
      <c r="K55" s="361">
        <f>'[51]2112 IS'!AC19</f>
        <v>153672.54</v>
      </c>
      <c r="L55" s="361">
        <f>'[51]2112 IS'!AE19</f>
        <v>147211.9</v>
      </c>
      <c r="M55" s="361">
        <f>'[51]2112 IS'!AG19</f>
        <v>125503.95</v>
      </c>
      <c r="N55" s="360">
        <f>SUM(B55:M55)</f>
        <v>1652726.94</v>
      </c>
      <c r="O55"/>
      <c r="P55" s="293"/>
      <c r="Q55" s="294"/>
      <c r="R55" s="369"/>
    </row>
    <row r="56" spans="1:19" s="355" customFormat="1">
      <c r="A56" s="366" t="s">
        <v>561</v>
      </c>
      <c r="B56" s="367">
        <f t="shared" ref="B56:M56" si="20">B54-B55</f>
        <v>-1985.0100000000093</v>
      </c>
      <c r="C56" s="367">
        <f t="shared" si="20"/>
        <v>-547.05000000001746</v>
      </c>
      <c r="D56" s="367">
        <f t="shared" si="20"/>
        <v>-304.63000000000466</v>
      </c>
      <c r="E56" s="367">
        <f t="shared" si="20"/>
        <v>-1132.5199999999895</v>
      </c>
      <c r="F56" s="367">
        <f t="shared" si="20"/>
        <v>-147.25999999999476</v>
      </c>
      <c r="G56" s="367">
        <f t="shared" si="20"/>
        <v>-1021.9500000000116</v>
      </c>
      <c r="H56" s="367">
        <f t="shared" si="20"/>
        <v>594.66000000000349</v>
      </c>
      <c r="I56" s="367">
        <f t="shared" si="20"/>
        <v>-220.42999999999302</v>
      </c>
      <c r="J56" s="367">
        <f t="shared" si="20"/>
        <v>-489.66999999999825</v>
      </c>
      <c r="K56" s="367">
        <f t="shared" si="20"/>
        <v>-36.529999999998836</v>
      </c>
      <c r="L56" s="367">
        <f t="shared" si="20"/>
        <v>-351.00999999998021</v>
      </c>
      <c r="M56" s="367">
        <f t="shared" si="20"/>
        <v>-73.5</v>
      </c>
      <c r="N56" s="337">
        <f>SUM(B56:M56)</f>
        <v>-5714.8999999999942</v>
      </c>
      <c r="O56"/>
      <c r="Q56" s="294"/>
      <c r="R56" s="369"/>
      <c r="S56" s="293"/>
    </row>
    <row r="57" spans="1:19">
      <c r="A57" s="303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17"/>
      <c r="P57" s="355"/>
      <c r="R57" s="302"/>
      <c r="S57" s="358"/>
    </row>
    <row r="58" spans="1:19" s="358" customFormat="1">
      <c r="A58" s="305" t="s">
        <v>608</v>
      </c>
      <c r="B58" s="362">
        <f t="shared" ref="B58:M58" si="21">B21+B45</f>
        <v>394577.64</v>
      </c>
      <c r="C58" s="362">
        <f t="shared" si="21"/>
        <v>357580.87</v>
      </c>
      <c r="D58" s="362">
        <f t="shared" si="21"/>
        <v>324724.58</v>
      </c>
      <c r="E58" s="362">
        <f t="shared" si="21"/>
        <v>351885.43</v>
      </c>
      <c r="F58" s="362">
        <f t="shared" si="21"/>
        <v>299052.03000000003</v>
      </c>
      <c r="G58" s="362">
        <f t="shared" si="21"/>
        <v>357520.66000000003</v>
      </c>
      <c r="H58" s="362">
        <f t="shared" si="21"/>
        <v>288372.28999999998</v>
      </c>
      <c r="I58" s="362">
        <f t="shared" si="21"/>
        <v>349363.88</v>
      </c>
      <c r="J58" s="362">
        <f t="shared" si="21"/>
        <v>312607.70999999996</v>
      </c>
      <c r="K58" s="362">
        <f t="shared" si="21"/>
        <v>374164.20999999996</v>
      </c>
      <c r="L58" s="362">
        <f t="shared" si="21"/>
        <v>366062.5</v>
      </c>
      <c r="M58" s="362">
        <f t="shared" si="21"/>
        <v>360381.52</v>
      </c>
      <c r="N58" s="360">
        <f>SUM(B58:M58)</f>
        <v>4136293.32</v>
      </c>
      <c r="O58"/>
      <c r="P58" s="355"/>
      <c r="Q58" s="294"/>
      <c r="R58" s="302"/>
      <c r="S58" s="355"/>
    </row>
    <row r="59" spans="1:19" s="355" customFormat="1">
      <c r="A59" s="305" t="s">
        <v>607</v>
      </c>
      <c r="B59" s="361">
        <f>(-_xll.NGL(_xll.BSpec(40101,2112,"000","00"),B$7,"",YEAR(B8),"Actual"))-B55</f>
        <v>-171975.85</v>
      </c>
      <c r="C59" s="361">
        <f>(-_xll.NGL(_xll.BSpec(40101,2112,"000","00"),C$7,"",YEAR(C8),"Actual"))-C55</f>
        <v>-132564.95000000001</v>
      </c>
      <c r="D59" s="361">
        <f>(-_xll.NGL(_xll.BSpec(40101,2112,"000","00"),D$7,"",YEAR(D8),"Actual"))-D55</f>
        <v>-135361.35999999999</v>
      </c>
      <c r="E59" s="361">
        <f>(-_xll.NGL(_xll.BSpec(40101,2112,"000","00"),E$7,"",YEAR(E8),"Actual"))-E55</f>
        <v>-132811.65</v>
      </c>
      <c r="F59" s="361">
        <f>(-_xll.NGL(_xll.BSpec(40101,2112,"000","00"),F$7,"",YEAR(F8),"Actual"))-F55</f>
        <v>-124359.92</v>
      </c>
      <c r="G59" s="361">
        <f>(-_xll.NGL(_xll.BSpec(40101,2112,"000","00"),G$7,"",YEAR(G8),"Actual"))-G55</f>
        <v>-141574.51</v>
      </c>
      <c r="H59" s="361">
        <f>(-_xll.NGL(_xll.BSpec(40101,2112,"000","00"),H$7,"",YEAR(H8),"Actual"))-H55</f>
        <v>-123646.2</v>
      </c>
      <c r="I59" s="361">
        <f>(-_xll.NGL(_xll.BSpec(40101,2112,"000","00"),I$7,"",YEAR(I8),"Actual"))-I55</f>
        <v>-142792.57999999999</v>
      </c>
      <c r="J59" s="361">
        <f>(-_xll.NGL(_xll.BSpec(40101,2112,"000","00"),J$7,"",YEAR(J8),"Actual"))-J55</f>
        <v>-121251.53</v>
      </c>
      <c r="K59" s="361">
        <f>(-_xll.NGL(_xll.BSpec(40101,2112,"000","00"),K$7,"",YEAR(K8),"Actual"))-K55</f>
        <v>-153672.54</v>
      </c>
      <c r="L59" s="361">
        <f>(-_xll.NGL(_xll.BSpec(40101,2112,"000","00"),L$7,"",YEAR(L8),"Actual"))-L55</f>
        <v>-147211.9</v>
      </c>
      <c r="M59" s="361">
        <f>(-_xll.NGL(_xll.BSpec(40101,2112,"000","00"),M$7,"",YEAR(M8),"Actual"))-M55</f>
        <v>-125503.95</v>
      </c>
      <c r="N59" s="360">
        <f>SUM(B59:M59)</f>
        <v>-1652726.94</v>
      </c>
      <c r="O59"/>
      <c r="P59" s="293"/>
      <c r="Q59" s="294"/>
      <c r="R59" s="302"/>
    </row>
    <row r="60" spans="1:19" s="355" customFormat="1">
      <c r="A60" s="366" t="s">
        <v>561</v>
      </c>
      <c r="B60" s="367">
        <f t="shared" ref="B60:M60" si="22">B58-B59</f>
        <v>566553.49</v>
      </c>
      <c r="C60" s="367">
        <f t="shared" si="22"/>
        <v>490145.82</v>
      </c>
      <c r="D60" s="367">
        <f t="shared" si="22"/>
        <v>460085.94</v>
      </c>
      <c r="E60" s="367">
        <f t="shared" si="22"/>
        <v>484697.07999999996</v>
      </c>
      <c r="F60" s="367">
        <f t="shared" si="22"/>
        <v>423411.95</v>
      </c>
      <c r="G60" s="367">
        <f t="shared" si="22"/>
        <v>499095.17000000004</v>
      </c>
      <c r="H60" s="367">
        <f t="shared" si="22"/>
        <v>412018.49</v>
      </c>
      <c r="I60" s="367">
        <f t="shared" si="22"/>
        <v>492156.45999999996</v>
      </c>
      <c r="J60" s="367">
        <f t="shared" si="22"/>
        <v>433859.24</v>
      </c>
      <c r="K60" s="367">
        <f t="shared" si="22"/>
        <v>527836.75</v>
      </c>
      <c r="L60" s="367">
        <f t="shared" si="22"/>
        <v>513274.4</v>
      </c>
      <c r="M60" s="367">
        <f t="shared" si="22"/>
        <v>485885.47000000003</v>
      </c>
      <c r="N60" s="337">
        <f>SUM(B60:M60)</f>
        <v>5789020.2600000007</v>
      </c>
      <c r="O60"/>
      <c r="P60" s="358"/>
      <c r="Q60" s="357"/>
      <c r="R60" s="356"/>
    </row>
    <row r="61" spans="1:19" s="355" customFormat="1">
      <c r="A61" s="366"/>
      <c r="B61" s="365"/>
      <c r="C61" s="365"/>
      <c r="D61" s="365"/>
      <c r="E61" s="365"/>
      <c r="F61" s="364"/>
      <c r="G61" s="364"/>
      <c r="H61" s="364"/>
      <c r="I61" s="364"/>
      <c r="J61" s="364"/>
      <c r="K61" s="364"/>
      <c r="L61" s="364"/>
      <c r="M61" s="364"/>
      <c r="N61" s="363"/>
      <c r="O61"/>
      <c r="Q61" s="294"/>
      <c r="R61" s="302"/>
      <c r="S61" s="358"/>
    </row>
    <row r="62" spans="1:19" s="358" customFormat="1">
      <c r="A62" s="305" t="s">
        <v>15</v>
      </c>
      <c r="B62" s="362">
        <f t="shared" ref="B62:M62" si="23">SUM(B27,B51)</f>
        <v>564568.48</v>
      </c>
      <c r="C62" s="362">
        <f t="shared" si="23"/>
        <v>489598.77</v>
      </c>
      <c r="D62" s="362">
        <f t="shared" si="23"/>
        <v>459781.31</v>
      </c>
      <c r="E62" s="362">
        <f t="shared" si="23"/>
        <v>483564.56000000006</v>
      </c>
      <c r="F62" s="362">
        <f t="shared" si="23"/>
        <v>423264.69</v>
      </c>
      <c r="G62" s="362">
        <f t="shared" si="23"/>
        <v>498073.22</v>
      </c>
      <c r="H62" s="362">
        <f t="shared" si="23"/>
        <v>412613.14999999997</v>
      </c>
      <c r="I62" s="362">
        <f t="shared" si="23"/>
        <v>491936.03</v>
      </c>
      <c r="J62" s="362">
        <f t="shared" si="23"/>
        <v>433369.57</v>
      </c>
      <c r="K62" s="362">
        <f t="shared" si="23"/>
        <v>527800.22</v>
      </c>
      <c r="L62" s="362">
        <f t="shared" si="23"/>
        <v>512923.39</v>
      </c>
      <c r="M62" s="362">
        <f t="shared" si="23"/>
        <v>485811.97</v>
      </c>
      <c r="N62" s="360">
        <f>SUM(B62:M62)</f>
        <v>5783305.3599999994</v>
      </c>
      <c r="O62"/>
      <c r="P62" s="355"/>
      <c r="Q62" s="294"/>
      <c r="R62" s="302"/>
      <c r="S62" s="355"/>
    </row>
    <row r="63" spans="1:19" s="355" customFormat="1">
      <c r="A63" s="305" t="s">
        <v>607</v>
      </c>
      <c r="B63" s="361">
        <f>(-_xll.NGL(_xll.BSpec(40101,2112,"000","00"),B$7,"",YEAR(B8),"Actual"))</f>
        <v>0</v>
      </c>
      <c r="C63" s="361">
        <f>(-_xll.NGL(_xll.BSpec(40101,2112,"000","00"),C$7,"",YEAR(C8),"Actual"))</f>
        <v>0</v>
      </c>
      <c r="D63" s="361">
        <f>(-_xll.NGL(_xll.BSpec(40101,2112,"000","00"),D$7,"",YEAR(D8),"Actual"))</f>
        <v>0</v>
      </c>
      <c r="E63" s="361">
        <f>(-_xll.NGL(_xll.BSpec(40101,2112,"000","00"),E$7,"",YEAR(E8),"Actual"))</f>
        <v>0</v>
      </c>
      <c r="F63" s="361">
        <f>(-_xll.NGL(_xll.BSpec(40101,2112,"000","00"),F$7,"",YEAR(F8),"Actual"))</f>
        <v>0</v>
      </c>
      <c r="G63" s="361">
        <f>(-_xll.NGL(_xll.BSpec(40101,2112,"000","00"),G$7,"",YEAR(G8),"Actual"))</f>
        <v>0</v>
      </c>
      <c r="H63" s="361">
        <f>(-_xll.NGL(_xll.BSpec(40101,2112,"000","00"),H$7,"",YEAR(H8),"Actual"))</f>
        <v>0</v>
      </c>
      <c r="I63" s="361">
        <f>(-_xll.NGL(_xll.BSpec(40101,2112,"000","00"),I$7,"",YEAR(I8),"Actual"))</f>
        <v>0</v>
      </c>
      <c r="J63" s="361">
        <f>(-_xll.NGL(_xll.BSpec(40101,2112,"000","00"),J$7,"",YEAR(J8),"Actual"))</f>
        <v>0</v>
      </c>
      <c r="K63" s="361">
        <f>(-_xll.NGL(_xll.BSpec(40101,2112,"000","00"),K$7,"",YEAR(K8),"Actual"))</f>
        <v>0</v>
      </c>
      <c r="L63" s="361">
        <f>(-_xll.NGL(_xll.BSpec(40101,2112,"000","00"),L$7,"",YEAR(L8),"Actual"))</f>
        <v>0</v>
      </c>
      <c r="M63" s="361">
        <f>(-_xll.NGL(_xll.BSpec(40101,2112,"000","00"),M$7,"",YEAR(M8),"Actual"))</f>
        <v>0</v>
      </c>
      <c r="N63" s="360">
        <f>SUM(B63:M63)</f>
        <v>0</v>
      </c>
      <c r="O63"/>
      <c r="Q63" s="294"/>
      <c r="R63" s="302"/>
      <c r="S63" s="293"/>
    </row>
    <row r="64" spans="1:19" ht="15.75" thickBot="1">
      <c r="A64" s="359" t="s">
        <v>606</v>
      </c>
      <c r="B64" s="307">
        <f t="shared" ref="B64:M64" si="24">B62-B63</f>
        <v>564568.48</v>
      </c>
      <c r="C64" s="307">
        <f t="shared" si="24"/>
        <v>489598.77</v>
      </c>
      <c r="D64" s="307">
        <f t="shared" si="24"/>
        <v>459781.31</v>
      </c>
      <c r="E64" s="307">
        <f t="shared" si="24"/>
        <v>483564.56000000006</v>
      </c>
      <c r="F64" s="307">
        <f t="shared" si="24"/>
        <v>423264.69</v>
      </c>
      <c r="G64" s="307">
        <f t="shared" si="24"/>
        <v>498073.22</v>
      </c>
      <c r="H64" s="307">
        <f t="shared" si="24"/>
        <v>412613.14999999997</v>
      </c>
      <c r="I64" s="307">
        <f t="shared" si="24"/>
        <v>491936.03</v>
      </c>
      <c r="J64" s="307">
        <f t="shared" si="24"/>
        <v>433369.57</v>
      </c>
      <c r="K64" s="307">
        <f t="shared" si="24"/>
        <v>527800.22</v>
      </c>
      <c r="L64" s="307">
        <f t="shared" si="24"/>
        <v>512923.39</v>
      </c>
      <c r="M64" s="307">
        <f t="shared" si="24"/>
        <v>485811.97</v>
      </c>
      <c r="N64" s="306">
        <f>SUM(B64:M64)</f>
        <v>5783305.3599999994</v>
      </c>
      <c r="P64" s="358"/>
      <c r="Q64" s="357"/>
      <c r="R64" s="356"/>
    </row>
    <row r="65" spans="1:18">
      <c r="A65" s="303"/>
      <c r="B65" s="294">
        <f t="shared" ref="B65:M65" si="25">B56/B55</f>
        <v>-1.1542376444134507E-2</v>
      </c>
      <c r="C65" s="294">
        <f t="shared" si="25"/>
        <v>-4.1266564050302691E-3</v>
      </c>
      <c r="D65" s="294">
        <f t="shared" si="25"/>
        <v>-2.2504945281282981E-3</v>
      </c>
      <c r="E65" s="294">
        <f t="shared" si="25"/>
        <v>-8.5272639862541393E-3</v>
      </c>
      <c r="F65" s="294">
        <f t="shared" si="25"/>
        <v>-1.1841435729453248E-3</v>
      </c>
      <c r="G65" s="294">
        <f t="shared" si="25"/>
        <v>-7.2184604417844115E-3</v>
      </c>
      <c r="H65" s="294">
        <f t="shared" si="25"/>
        <v>4.8093673723899602E-3</v>
      </c>
      <c r="I65" s="294">
        <f t="shared" si="25"/>
        <v>-1.5437076632412764E-3</v>
      </c>
      <c r="J65" s="294">
        <f t="shared" si="25"/>
        <v>-4.0384645043241782E-3</v>
      </c>
      <c r="K65" s="294">
        <f t="shared" si="25"/>
        <v>-2.3771325703342207E-4</v>
      </c>
      <c r="L65" s="294">
        <f t="shared" si="25"/>
        <v>-2.384386044878031E-3</v>
      </c>
      <c r="M65" s="294">
        <f t="shared" si="25"/>
        <v>-5.8563893805732808E-4</v>
      </c>
      <c r="P65" s="355"/>
      <c r="R65" s="302"/>
    </row>
    <row r="66" spans="1:18" s="326" customFormat="1" ht="15.75" thickBot="1">
      <c r="A66" s="340"/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29"/>
      <c r="O66"/>
      <c r="P66" s="353"/>
      <c r="Q66" s="352"/>
      <c r="R66" s="351"/>
    </row>
    <row r="67" spans="1:18" s="326" customFormat="1">
      <c r="A67" s="350" t="s">
        <v>605</v>
      </c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8"/>
      <c r="O67"/>
      <c r="Q67" s="328"/>
      <c r="R67" s="327"/>
    </row>
    <row r="68" spans="1:18" s="326" customFormat="1">
      <c r="A68" s="340"/>
      <c r="N68" s="342"/>
      <c r="O68"/>
      <c r="Q68" s="328"/>
      <c r="R68" s="327"/>
    </row>
    <row r="69" spans="1:18" s="326" customFormat="1">
      <c r="A69" s="330" t="s">
        <v>600</v>
      </c>
      <c r="B69" s="336">
        <f>'[56]DF Schedule'!B79</f>
        <v>1618.2219945355191</v>
      </c>
      <c r="C69" s="336">
        <f>'[56]DF Schedule'!C79</f>
        <v>1219.7687841530055</v>
      </c>
      <c r="D69" s="336">
        <f>'[56]DF Schedule'!D79</f>
        <v>868.84904371584696</v>
      </c>
      <c r="E69" s="336">
        <f>'[56]DF Schedule'!E79</f>
        <v>997.31967213114751</v>
      </c>
      <c r="F69" s="336">
        <f>'[56]DF Schedule'!F79</f>
        <v>740.97984972677591</v>
      </c>
      <c r="G69" s="336">
        <f>'[56]DF Schedule'!G79</f>
        <v>1380.1526639344263</v>
      </c>
      <c r="H69" s="336">
        <f>'[56]DF Schedule'!H79</f>
        <v>1244.799180327869</v>
      </c>
      <c r="I69" s="336">
        <f>'[56]DF Schedule'!I79</f>
        <v>1393.0505464480873</v>
      </c>
      <c r="J69" s="336">
        <f>'[56]DF Schedule'!J79</f>
        <v>1281.6396857923498</v>
      </c>
      <c r="K69" s="336">
        <f>'[56]DF Schedule'!K79</f>
        <v>1589.4217896174862</v>
      </c>
      <c r="L69" s="336">
        <f>'[56]DF Schedule'!L79</f>
        <v>1098.4419398907103</v>
      </c>
      <c r="M69" s="336">
        <f>'[56]DF Schedule'!M79</f>
        <v>571.15981452859353</v>
      </c>
      <c r="N69" s="315">
        <f>SUM(B69:M69)</f>
        <v>14003.804964801819</v>
      </c>
      <c r="O69"/>
      <c r="Q69" s="328"/>
      <c r="R69" s="327"/>
    </row>
    <row r="70" spans="1:18" s="326" customFormat="1">
      <c r="A70" s="330" t="s">
        <v>599</v>
      </c>
      <c r="B70" s="336">
        <f>'[56]DF Schedule'!B80</f>
        <v>1092.8800000000003</v>
      </c>
      <c r="C70" s="336">
        <f>'[56]DF Schedule'!C80</f>
        <v>1129.9899999999996</v>
      </c>
      <c r="D70" s="336">
        <f>'[56]DF Schedule'!D80</f>
        <v>990.06999999999971</v>
      </c>
      <c r="E70" s="336">
        <f>'[56]DF Schedule'!E80</f>
        <v>802.07000000000016</v>
      </c>
      <c r="F70" s="336">
        <f>'[56]DF Schedule'!F80</f>
        <v>329.88</v>
      </c>
      <c r="G70" s="336">
        <f>'[56]DF Schedule'!G80</f>
        <v>1415.2600000000004</v>
      </c>
      <c r="H70" s="336">
        <f>'[56]DF Schedule'!H80</f>
        <v>1072.48</v>
      </c>
      <c r="I70" s="336">
        <f>'[56]DF Schedule'!I80</f>
        <v>1649.6500000000005</v>
      </c>
      <c r="J70" s="336">
        <f>'[56]DF Schedule'!J80</f>
        <v>1199.1099999999997</v>
      </c>
      <c r="K70" s="336">
        <f>'[56]DF Schedule'!K80</f>
        <v>1495.8299999999995</v>
      </c>
      <c r="L70" s="336">
        <f>'[56]DF Schedule'!L80</f>
        <v>1490.56</v>
      </c>
      <c r="M70" s="336">
        <f>'[56]DF Schedule'!M80</f>
        <v>1795.59</v>
      </c>
      <c r="N70" s="315">
        <f>SUM(B70:M70)</f>
        <v>14463.369999999999</v>
      </c>
      <c r="O70"/>
      <c r="Q70" s="328"/>
      <c r="R70" s="327"/>
    </row>
    <row r="71" spans="1:18" s="326" customFormat="1">
      <c r="A71" s="330" t="s">
        <v>595</v>
      </c>
      <c r="B71" s="336">
        <f>'[56]DF Schedule'!B81</f>
        <v>525.34199453551878</v>
      </c>
      <c r="C71" s="336">
        <f>'[56]DF Schedule'!C81</f>
        <v>89.778784153005972</v>
      </c>
      <c r="D71" s="336">
        <f>'[56]DF Schedule'!D81</f>
        <v>-121.22095628415275</v>
      </c>
      <c r="E71" s="336">
        <f>'[56]DF Schedule'!E81</f>
        <v>195.24967213114735</v>
      </c>
      <c r="F71" s="336">
        <f>'[56]DF Schedule'!F81</f>
        <v>411.09984972677591</v>
      </c>
      <c r="G71" s="336">
        <f>'[56]DF Schedule'!G81</f>
        <v>-35.107336065574145</v>
      </c>
      <c r="H71" s="336">
        <f>'[56]DF Schedule'!H81</f>
        <v>172.31918032786893</v>
      </c>
      <c r="I71" s="336">
        <f>'[56]DF Schedule'!I81</f>
        <v>-256.59945355191326</v>
      </c>
      <c r="J71" s="336">
        <f>'[56]DF Schedule'!J81</f>
        <v>82.529685792350165</v>
      </c>
      <c r="K71" s="336">
        <f>'[56]DF Schedule'!K81</f>
        <v>93.591789617486711</v>
      </c>
      <c r="L71" s="336">
        <f>'[56]DF Schedule'!L81</f>
        <v>-392.11806010928967</v>
      </c>
      <c r="M71" s="336">
        <f>'[56]DF Schedule'!M81</f>
        <v>-1224.4301854714063</v>
      </c>
      <c r="N71" s="315">
        <f>SUM(B71:M71)</f>
        <v>-459.56503519818216</v>
      </c>
      <c r="O71"/>
      <c r="Q71" s="328"/>
      <c r="R71" s="327"/>
    </row>
    <row r="72" spans="1:18" s="326" customFormat="1">
      <c r="A72" s="330"/>
      <c r="B72" s="343">
        <f>'[56]DF Schedule'!B82</f>
        <v>29.28</v>
      </c>
      <c r="C72" s="343">
        <f>'[56]DF Schedule'!C82</f>
        <v>29.28</v>
      </c>
      <c r="D72" s="343">
        <f>'[56]DF Schedule'!D82</f>
        <v>29.28</v>
      </c>
      <c r="E72" s="343">
        <f>'[56]DF Schedule'!E82</f>
        <v>29.28</v>
      </c>
      <c r="F72" s="343">
        <f>'[56]DF Schedule'!F82</f>
        <v>29.28</v>
      </c>
      <c r="G72" s="343">
        <f>'[56]DF Schedule'!G82</f>
        <v>29.28</v>
      </c>
      <c r="H72" s="343">
        <f>'[56]DF Schedule'!H82</f>
        <v>29.28</v>
      </c>
      <c r="I72" s="343">
        <f>'[56]DF Schedule'!I82</f>
        <v>29.28</v>
      </c>
      <c r="J72" s="343">
        <f>'[56]DF Schedule'!J82</f>
        <v>29.28</v>
      </c>
      <c r="K72" s="343">
        <f>'[56]DF Schedule'!K82</f>
        <v>29.28</v>
      </c>
      <c r="L72" s="343">
        <f>'[56]DF Schedule'!L82</f>
        <v>29.28</v>
      </c>
      <c r="M72" s="343">
        <f>'[56]DF Schedule'!M82</f>
        <v>32.35</v>
      </c>
      <c r="N72" s="342">
        <f>'[56]DF Schedule'!N82</f>
        <v>0</v>
      </c>
      <c r="O72"/>
      <c r="Q72" s="347">
        <f>+M72-1.15</f>
        <v>31.200000000000003</v>
      </c>
      <c r="R72" s="327"/>
    </row>
    <row r="73" spans="1:18" s="326" customFormat="1">
      <c r="A73" s="330" t="s">
        <v>604</v>
      </c>
      <c r="B73" s="338">
        <f>'[56]DF Schedule'!B83</f>
        <v>31999.52640000001</v>
      </c>
      <c r="C73" s="338">
        <f>'[56]DF Schedule'!C83</f>
        <v>33086.107199999991</v>
      </c>
      <c r="D73" s="338">
        <f>'[56]DF Schedule'!D83</f>
        <v>28989.249599999992</v>
      </c>
      <c r="E73" s="338">
        <f>'[56]DF Schedule'!E83</f>
        <v>23484.609600000007</v>
      </c>
      <c r="F73" s="338">
        <f>'[56]DF Schedule'!F83</f>
        <v>9658.8863999999994</v>
      </c>
      <c r="G73" s="338">
        <f>'[56]DF Schedule'!G83</f>
        <v>41438.812800000014</v>
      </c>
      <c r="H73" s="338">
        <f>'[56]DF Schedule'!H83</f>
        <v>31402.214400000001</v>
      </c>
      <c r="I73" s="338">
        <f>'[56]DF Schedule'!I83</f>
        <v>48301.752000000015</v>
      </c>
      <c r="J73" s="338">
        <f>'[56]DF Schedule'!J83</f>
        <v>35109.940799999989</v>
      </c>
      <c r="K73" s="338">
        <f>'[56]DF Schedule'!K83</f>
        <v>43797.902399999984</v>
      </c>
      <c r="L73" s="338">
        <f>'[56]DF Schedule'!L83</f>
        <v>43643.596799999999</v>
      </c>
      <c r="M73" s="338">
        <f>'[56]DF Schedule'!M83</f>
        <v>58087.336499999998</v>
      </c>
      <c r="N73" s="346">
        <f>SUM(B73:M73)</f>
        <v>428999.93489999999</v>
      </c>
      <c r="O73"/>
      <c r="Q73" s="328"/>
      <c r="R73" s="327"/>
    </row>
    <row r="74" spans="1:18" s="326" customFormat="1">
      <c r="A74" s="340" t="s">
        <v>602</v>
      </c>
      <c r="B74" s="339">
        <f>(-_xll.NGL(_xll.BSpec(40101,2112,"505","01"),B$7,"",YEAR(B$8),"Actual"))</f>
        <v>0</v>
      </c>
      <c r="C74" s="339">
        <f>(-_xll.NGL(_xll.BSpec(40101,2112,"505","01"),C$7,"",YEAR(C$8),"Actual"))</f>
        <v>0</v>
      </c>
      <c r="D74" s="339">
        <f>(-_xll.NGL(_xll.BSpec(40101,2112,"505","01"),D$7,"",YEAR(D$8),"Actual"))</f>
        <v>0</v>
      </c>
      <c r="E74" s="339">
        <f>(-_xll.NGL(_xll.BSpec(40101,2112,"505","01"),E$7,"",YEAR(E$8),"Actual"))</f>
        <v>0</v>
      </c>
      <c r="F74" s="339">
        <f>(-_xll.NGL(_xll.BSpec(40101,2112,"505","01"),F$7,"",YEAR(F$8),"Actual"))</f>
        <v>0</v>
      </c>
      <c r="G74" s="339">
        <f>(-_xll.NGL(_xll.BSpec(40101,2112,"505","01"),G$7,"",YEAR(G$8),"Actual"))</f>
        <v>0</v>
      </c>
      <c r="H74" s="339">
        <f>(-_xll.NGL(_xll.BSpec(40101,2112,"505","01"),H$7,"",YEAR(H$8),"Actual"))</f>
        <v>0</v>
      </c>
      <c r="I74" s="339">
        <f>(-_xll.NGL(_xll.BSpec(40101,2112,"505","01"),I$7,"",YEAR(I$8),"Actual"))</f>
        <v>0</v>
      </c>
      <c r="J74" s="339">
        <f>(-_xll.NGL(_xll.BSpec(40101,2112,"505","01"),J$7,"",YEAR(J$8),"Actual"))</f>
        <v>0</v>
      </c>
      <c r="K74" s="339">
        <f>(-_xll.NGL(_xll.BSpec(40101,2112,"505","01"),K$7,"",YEAR(K$8),"Actual"))</f>
        <v>0</v>
      </c>
      <c r="L74" s="339">
        <f>(-_xll.NGL(_xll.BSpec(40101,2112,"505","01"),L$7,"",YEAR(L$8),"Actual"))</f>
        <v>0</v>
      </c>
      <c r="M74" s="339">
        <f>(-_xll.NGL(_xll.BSpec(40101,2112,"505","01"),M$7,"",YEAR(M$8),"Actual"))</f>
        <v>0</v>
      </c>
      <c r="N74" s="337">
        <f>SUM(B74:M74)</f>
        <v>0</v>
      </c>
      <c r="O74"/>
      <c r="Q74" s="328"/>
      <c r="R74" s="331"/>
    </row>
    <row r="75" spans="1:18" s="326" customFormat="1">
      <c r="A75" s="330" t="s">
        <v>561</v>
      </c>
      <c r="B75" s="338">
        <f t="shared" ref="B75:M75" si="26">B73-B74</f>
        <v>31999.52640000001</v>
      </c>
      <c r="C75" s="338">
        <f t="shared" si="26"/>
        <v>33086.107199999991</v>
      </c>
      <c r="D75" s="338">
        <f t="shared" si="26"/>
        <v>28989.249599999992</v>
      </c>
      <c r="E75" s="338">
        <f t="shared" si="26"/>
        <v>23484.609600000007</v>
      </c>
      <c r="F75" s="338">
        <f t="shared" si="26"/>
        <v>9658.8863999999994</v>
      </c>
      <c r="G75" s="338">
        <f t="shared" si="26"/>
        <v>41438.812800000014</v>
      </c>
      <c r="H75" s="338">
        <f t="shared" si="26"/>
        <v>31402.214400000001</v>
      </c>
      <c r="I75" s="338">
        <f t="shared" si="26"/>
        <v>48301.752000000015</v>
      </c>
      <c r="J75" s="338">
        <f t="shared" si="26"/>
        <v>35109.940799999989</v>
      </c>
      <c r="K75" s="338">
        <f t="shared" si="26"/>
        <v>43797.902399999984</v>
      </c>
      <c r="L75" s="338">
        <f t="shared" si="26"/>
        <v>43643.596799999999</v>
      </c>
      <c r="M75" s="338">
        <f t="shared" si="26"/>
        <v>58087.336499999998</v>
      </c>
      <c r="N75" s="345">
        <f>SUM(B75:M75)</f>
        <v>428999.93489999999</v>
      </c>
      <c r="O75"/>
      <c r="Q75" s="328"/>
      <c r="R75" s="331"/>
    </row>
    <row r="76" spans="1:18" s="326" customFormat="1">
      <c r="A76" s="330"/>
      <c r="N76" s="342"/>
      <c r="O76"/>
      <c r="Q76" s="328"/>
      <c r="R76" s="331"/>
    </row>
    <row r="77" spans="1:18" s="326" customFormat="1">
      <c r="A77" s="330" t="s">
        <v>597</v>
      </c>
      <c r="B77" s="336">
        <f>'[56]DF Schedule'!B87</f>
        <v>1412.6420765027324</v>
      </c>
      <c r="C77" s="336">
        <f>'[56]DF Schedule'!C87</f>
        <v>300.99043715846994</v>
      </c>
      <c r="D77" s="336">
        <f>'[56]DF Schedule'!D87</f>
        <v>384.27049180327867</v>
      </c>
      <c r="E77" s="336">
        <f>'[56]DF Schedule'!E87</f>
        <v>226.53073770491801</v>
      </c>
      <c r="F77" s="336">
        <f>'[56]DF Schedule'!F87</f>
        <v>360.60997267759564</v>
      </c>
      <c r="G77" s="336">
        <f>'[56]DF Schedule'!G87</f>
        <v>467.93101092896177</v>
      </c>
      <c r="H77" s="336">
        <f>'[56]DF Schedule'!H87</f>
        <v>617.32001366120221</v>
      </c>
      <c r="I77" s="336">
        <f>'[56]DF Schedule'!I87</f>
        <v>407.3104508196721</v>
      </c>
      <c r="J77" s="336">
        <f>'[56]DF Schedule'!J87</f>
        <v>416.45013661202182</v>
      </c>
      <c r="K77" s="336">
        <f>'[56]DF Schedule'!K87</f>
        <v>552.97096994535514</v>
      </c>
      <c r="L77" s="336">
        <f>'[56]DF Schedule'!L87</f>
        <v>481.20047814207646</v>
      </c>
      <c r="M77" s="336">
        <f>'[56]DF Schedule'!M87</f>
        <v>353.29057187017003</v>
      </c>
      <c r="N77" s="315">
        <f>SUM(B77:M77)</f>
        <v>5981.5173478264551</v>
      </c>
      <c r="O77"/>
      <c r="Q77" s="328"/>
      <c r="R77" s="331"/>
    </row>
    <row r="78" spans="1:18" s="326" customFormat="1">
      <c r="A78" s="330" t="s">
        <v>596</v>
      </c>
      <c r="B78" s="336">
        <f>'[56]DF Schedule'!B88</f>
        <v>926.04999999999973</v>
      </c>
      <c r="C78" s="336">
        <f>'[56]DF Schedule'!C88</f>
        <v>300.99</v>
      </c>
      <c r="D78" s="336">
        <f>'[56]DF Schedule'!D88</f>
        <v>457.25</v>
      </c>
      <c r="E78" s="336">
        <f>'[56]DF Schedule'!E88</f>
        <v>50.769999999999996</v>
      </c>
      <c r="F78" s="336">
        <f>'[56]DF Schedule'!F88</f>
        <v>109.84</v>
      </c>
      <c r="G78" s="336">
        <f>'[56]DF Schedule'!G88</f>
        <v>380.34</v>
      </c>
      <c r="H78" s="336">
        <f>'[56]DF Schedule'!H88</f>
        <v>590.40000000000009</v>
      </c>
      <c r="I78" s="336">
        <f>'[56]DF Schedule'!I88</f>
        <v>541.75</v>
      </c>
      <c r="J78" s="336">
        <f>'[56]DF Schedule'!J88</f>
        <v>414.12000000000006</v>
      </c>
      <c r="K78" s="336">
        <f>'[56]DF Schedule'!K88</f>
        <v>561.92999999999995</v>
      </c>
      <c r="L78" s="336">
        <f>'[56]DF Schedule'!L88</f>
        <v>966.07000000000028</v>
      </c>
      <c r="M78" s="336">
        <f>'[56]DF Schedule'!M88</f>
        <v>1014.9599999999999</v>
      </c>
      <c r="N78" s="315">
        <f>SUM(B78:M78)</f>
        <v>6314.47</v>
      </c>
      <c r="O78"/>
      <c r="Q78" s="328"/>
      <c r="R78" s="331"/>
    </row>
    <row r="79" spans="1:18" s="326" customFormat="1">
      <c r="A79" s="330" t="s">
        <v>595</v>
      </c>
      <c r="B79" s="336">
        <f>'[56]DF Schedule'!B89</f>
        <v>486.59207650273265</v>
      </c>
      <c r="C79" s="336">
        <f>'[56]DF Schedule'!C89</f>
        <v>4.37158469935639E-4</v>
      </c>
      <c r="D79" s="336">
        <f>'[56]DF Schedule'!D89</f>
        <v>-72.979508196721326</v>
      </c>
      <c r="E79" s="336">
        <f>'[56]DF Schedule'!E89</f>
        <v>175.76073770491803</v>
      </c>
      <c r="F79" s="336">
        <f>'[56]DF Schedule'!F89</f>
        <v>250.76997267759563</v>
      </c>
      <c r="G79" s="336">
        <f>'[56]DF Schedule'!G89</f>
        <v>87.591010928961794</v>
      </c>
      <c r="H79" s="336">
        <f>'[56]DF Schedule'!H89</f>
        <v>26.92001366120212</v>
      </c>
      <c r="I79" s="336">
        <f>'[56]DF Schedule'!I89</f>
        <v>-134.4395491803279</v>
      </c>
      <c r="J79" s="336">
        <f>'[56]DF Schedule'!J89</f>
        <v>2.3301366120217608</v>
      </c>
      <c r="K79" s="336">
        <f>'[56]DF Schedule'!K89</f>
        <v>-8.9590300546448134</v>
      </c>
      <c r="L79" s="336">
        <f>'[56]DF Schedule'!L89</f>
        <v>-484.86952185792381</v>
      </c>
      <c r="M79" s="336">
        <f>'[56]DF Schedule'!M89</f>
        <v>-661.66942812982984</v>
      </c>
      <c r="N79" s="315">
        <f>SUM(B79:M79)</f>
        <v>-332.95265217354586</v>
      </c>
      <c r="O79"/>
      <c r="Q79" s="328"/>
      <c r="R79" s="331"/>
    </row>
    <row r="80" spans="1:18" s="326" customFormat="1">
      <c r="A80" s="330"/>
      <c r="B80" s="343">
        <f>'[56]DF Schedule'!B90</f>
        <v>29.28</v>
      </c>
      <c r="C80" s="343">
        <f>'[56]DF Schedule'!C90</f>
        <v>29.28</v>
      </c>
      <c r="D80" s="343">
        <f>'[56]DF Schedule'!D90</f>
        <v>29.28</v>
      </c>
      <c r="E80" s="343">
        <f>'[56]DF Schedule'!E90</f>
        <v>29.28</v>
      </c>
      <c r="F80" s="343">
        <f>'[56]DF Schedule'!F90</f>
        <v>29.28</v>
      </c>
      <c r="G80" s="343">
        <f>'[56]DF Schedule'!G90</f>
        <v>29.28</v>
      </c>
      <c r="H80" s="343">
        <f>'[56]DF Schedule'!H90</f>
        <v>29.28</v>
      </c>
      <c r="I80" s="343">
        <f>'[56]DF Schedule'!I90</f>
        <v>29.28</v>
      </c>
      <c r="J80" s="343">
        <f>'[56]DF Schedule'!J90</f>
        <v>29.28</v>
      </c>
      <c r="K80" s="343">
        <f>'[56]DF Schedule'!K90</f>
        <v>29.28</v>
      </c>
      <c r="L80" s="343">
        <f>'[56]DF Schedule'!L90</f>
        <v>29.28</v>
      </c>
      <c r="M80" s="343">
        <f>'[56]DF Schedule'!M90</f>
        <v>32.35</v>
      </c>
      <c r="N80" s="342"/>
      <c r="O80"/>
      <c r="Q80" s="328"/>
      <c r="R80" s="331"/>
    </row>
    <row r="81" spans="1:18" s="326" customFormat="1">
      <c r="A81" s="330" t="s">
        <v>603</v>
      </c>
      <c r="B81" s="338">
        <f>'[56]DF Schedule'!B91</f>
        <v>27114.743999999992</v>
      </c>
      <c r="C81" s="338">
        <f>'[56]DF Schedule'!C91</f>
        <v>8812.9872000000014</v>
      </c>
      <c r="D81" s="338">
        <f>'[56]DF Schedule'!D91</f>
        <v>13388.28</v>
      </c>
      <c r="E81" s="338">
        <f>'[56]DF Schedule'!E91</f>
        <v>1486.5455999999999</v>
      </c>
      <c r="F81" s="338">
        <f>'[56]DF Schedule'!F91</f>
        <v>3216.1152000000002</v>
      </c>
      <c r="G81" s="338">
        <f>'[56]DF Schedule'!G91</f>
        <v>11136.3552</v>
      </c>
      <c r="H81" s="338">
        <f>'[56]DF Schedule'!H91</f>
        <v>17286.912000000004</v>
      </c>
      <c r="I81" s="338">
        <f>'[56]DF Schedule'!I91</f>
        <v>15862.44</v>
      </c>
      <c r="J81" s="338">
        <f>'[56]DF Schedule'!J91</f>
        <v>12125.433600000002</v>
      </c>
      <c r="K81" s="338">
        <f>'[56]DF Schedule'!K91</f>
        <v>16453.310399999998</v>
      </c>
      <c r="L81" s="338">
        <f>'[56]DF Schedule'!L91</f>
        <v>28286.529600000009</v>
      </c>
      <c r="M81" s="338">
        <f>'[56]DF Schedule'!M91</f>
        <v>32833.955999999998</v>
      </c>
      <c r="N81" s="346">
        <f>SUM(B81:M81)</f>
        <v>188003.60880000002</v>
      </c>
      <c r="O81"/>
      <c r="Q81" s="328"/>
      <c r="R81" s="331"/>
    </row>
    <row r="82" spans="1:18" s="326" customFormat="1">
      <c r="A82" s="340" t="s">
        <v>602</v>
      </c>
      <c r="B82" s="339">
        <f>(-_xll.NGL(_xll.BSpec(40101,2112,"505","02"),B$7,"",YEAR(B$8),"Actual"))</f>
        <v>0</v>
      </c>
      <c r="C82" s="339">
        <f>(-_xll.NGL(_xll.BSpec(40101,2112,"505","02"),C$7,"",YEAR(C$8),"Actual"))</f>
        <v>0</v>
      </c>
      <c r="D82" s="339">
        <f>(-_xll.NGL(_xll.BSpec(40101,2112,"505","02"),D$7,"",YEAR(D$8),"Actual"))</f>
        <v>0</v>
      </c>
      <c r="E82" s="339">
        <f>(-_xll.NGL(_xll.BSpec(40101,2112,"505","02"),E$7,"",YEAR(E$8),"Actual"))</f>
        <v>0</v>
      </c>
      <c r="F82" s="339">
        <f>(-_xll.NGL(_xll.BSpec(40101,2112,"505","02"),F$7,"",YEAR(F$8),"Actual"))</f>
        <v>0</v>
      </c>
      <c r="G82" s="339">
        <f>(-_xll.NGL(_xll.BSpec(40101,2112,"505","02"),G$7,"",YEAR(G$8),"Actual"))</f>
        <v>0</v>
      </c>
      <c r="H82" s="339">
        <f>(-_xll.NGL(_xll.BSpec(40101,2112,"505","02"),H$7,"",YEAR(H$8),"Actual"))</f>
        <v>0</v>
      </c>
      <c r="I82" s="339">
        <f>(-_xll.NGL(_xll.BSpec(40101,2112,"505","02"),I$7,"",YEAR(I$8),"Actual"))</f>
        <v>0</v>
      </c>
      <c r="J82" s="339">
        <f>(-_xll.NGL(_xll.BSpec(40101,2112,"505","02"),J$7,"",YEAR(J$8),"Actual"))</f>
        <v>0</v>
      </c>
      <c r="K82" s="339">
        <f>(-_xll.NGL(_xll.BSpec(40101,2112,"505","02"),K$7,"",YEAR(K$8),"Actual"))</f>
        <v>0</v>
      </c>
      <c r="L82" s="339">
        <f>(-_xll.NGL(_xll.BSpec(40101,2112,"505","02"),L$7,"",YEAR(L$8),"Actual"))</f>
        <v>0</v>
      </c>
      <c r="M82" s="339">
        <f>(-_xll.NGL(_xll.BSpec(40101,2112,"505","02"),M$7,"",YEAR(M$8),"Actual"))</f>
        <v>0</v>
      </c>
      <c r="N82" s="337">
        <f>SUM(B82:M82)</f>
        <v>0</v>
      </c>
      <c r="O82"/>
      <c r="Q82" s="328"/>
      <c r="R82" s="331"/>
    </row>
    <row r="83" spans="1:18" s="326" customFormat="1">
      <c r="A83" s="330" t="s">
        <v>561</v>
      </c>
      <c r="B83" s="338">
        <f t="shared" ref="B83:M83" si="27">B81-B82</f>
        <v>27114.743999999992</v>
      </c>
      <c r="C83" s="338">
        <f t="shared" si="27"/>
        <v>8812.9872000000014</v>
      </c>
      <c r="D83" s="338">
        <f t="shared" si="27"/>
        <v>13388.28</v>
      </c>
      <c r="E83" s="338">
        <f t="shared" si="27"/>
        <v>1486.5455999999999</v>
      </c>
      <c r="F83" s="338">
        <f t="shared" si="27"/>
        <v>3216.1152000000002</v>
      </c>
      <c r="G83" s="338">
        <f t="shared" si="27"/>
        <v>11136.3552</v>
      </c>
      <c r="H83" s="338">
        <f t="shared" si="27"/>
        <v>17286.912000000004</v>
      </c>
      <c r="I83" s="338">
        <f t="shared" si="27"/>
        <v>15862.44</v>
      </c>
      <c r="J83" s="338">
        <f t="shared" si="27"/>
        <v>12125.433600000002</v>
      </c>
      <c r="K83" s="338">
        <f t="shared" si="27"/>
        <v>16453.310399999998</v>
      </c>
      <c r="L83" s="338">
        <f t="shared" si="27"/>
        <v>28286.529600000009</v>
      </c>
      <c r="M83" s="338">
        <f t="shared" si="27"/>
        <v>32833.955999999998</v>
      </c>
      <c r="N83" s="345">
        <f>SUM(B83:M83)</f>
        <v>188003.60880000002</v>
      </c>
      <c r="O83"/>
      <c r="Q83" s="328"/>
      <c r="R83" s="331"/>
    </row>
    <row r="84" spans="1:18" s="326" customFormat="1">
      <c r="A84" s="330"/>
      <c r="B84" s="329"/>
      <c r="C84" s="329"/>
      <c r="D84" s="329"/>
      <c r="E84" s="329"/>
      <c r="F84" s="329"/>
      <c r="G84" s="329"/>
      <c r="H84" s="329"/>
      <c r="I84" s="329"/>
      <c r="J84" s="329"/>
      <c r="K84" s="329"/>
      <c r="L84" s="329"/>
      <c r="M84" s="329"/>
      <c r="N84" s="335"/>
      <c r="O84"/>
      <c r="Q84" s="328"/>
      <c r="R84" s="331"/>
    </row>
    <row r="85" spans="1:18" s="326" customFormat="1">
      <c r="A85" s="344" t="s">
        <v>601</v>
      </c>
      <c r="B85" s="329"/>
      <c r="C85" s="329"/>
      <c r="D85" s="329"/>
      <c r="E85" s="329"/>
      <c r="F85" s="329"/>
      <c r="G85" s="329"/>
      <c r="H85" s="329"/>
      <c r="I85" s="329"/>
      <c r="J85" s="329"/>
      <c r="K85" s="329"/>
      <c r="L85" s="329"/>
      <c r="M85" s="329"/>
      <c r="N85" s="335"/>
      <c r="O85"/>
      <c r="Q85" s="328"/>
      <c r="R85" s="331"/>
    </row>
    <row r="86" spans="1:18" s="326" customFormat="1">
      <c r="A86" s="330"/>
      <c r="B86" s="329"/>
      <c r="C86" s="329"/>
      <c r="D86" s="329"/>
      <c r="E86" s="329"/>
      <c r="F86" s="329"/>
      <c r="G86" s="329"/>
      <c r="H86" s="329"/>
      <c r="I86" s="329"/>
      <c r="J86" s="329"/>
      <c r="K86" s="329"/>
      <c r="L86" s="329"/>
      <c r="M86" s="329"/>
      <c r="N86" s="335"/>
      <c r="O86"/>
      <c r="Q86" s="328"/>
      <c r="R86" s="331"/>
    </row>
    <row r="87" spans="1:18" s="326" customFormat="1">
      <c r="A87" s="330" t="s">
        <v>600</v>
      </c>
      <c r="B87" s="336">
        <f>'[56]DF Schedule'!B97</f>
        <v>66.609636162503591</v>
      </c>
      <c r="C87" s="336">
        <f>'[56]DF Schedule'!C97</f>
        <v>39.117051881747173</v>
      </c>
      <c r="D87" s="336">
        <f>'[56]DF Schedule'!D97</f>
        <v>71.506417482120469</v>
      </c>
      <c r="E87" s="336">
        <f>'[56]DF Schedule'!E97</f>
        <v>72.856880940086072</v>
      </c>
      <c r="F87" s="336">
        <f>'[56]DF Schedule'!F97</f>
        <v>5.0764508423961798</v>
      </c>
      <c r="G87" s="336">
        <f>'[56]DF Schedule'!G97</f>
        <v>96.499912277333678</v>
      </c>
      <c r="H87" s="336">
        <f>'[56]DF Schedule'!H97</f>
        <v>121.65296127175532</v>
      </c>
      <c r="I87" s="336">
        <f>'[56]DF Schedule'!I97</f>
        <v>9.2233547935206666</v>
      </c>
      <c r="J87" s="336">
        <f>'[56]DF Schedule'!J97</f>
        <v>132.922419411118</v>
      </c>
      <c r="K87" s="336">
        <f>'[56]DF Schedule'!K97</f>
        <v>90.265683619329849</v>
      </c>
      <c r="L87" s="336">
        <f>'[56]DF Schedule'!L97</f>
        <v>33.70789632426748</v>
      </c>
      <c r="M87" s="336">
        <f>'[56]DF Schedule'!M97</f>
        <v>73.662150709813091</v>
      </c>
      <c r="N87" s="315">
        <f>SUM(B87:M87)</f>
        <v>813.10081571599153</v>
      </c>
      <c r="O87"/>
      <c r="Q87" s="328"/>
      <c r="R87" s="331"/>
    </row>
    <row r="88" spans="1:18" s="326" customFormat="1">
      <c r="A88" s="330" t="s">
        <v>599</v>
      </c>
      <c r="B88" s="336">
        <f>'[56]DF Schedule'!B98</f>
        <v>42.33</v>
      </c>
      <c r="C88" s="336">
        <f>'[56]DF Schedule'!C98</f>
        <v>82.960000000000008</v>
      </c>
      <c r="D88" s="336">
        <f>'[56]DF Schedule'!D98</f>
        <v>48.18</v>
      </c>
      <c r="E88" s="336">
        <f>'[56]DF Schedule'!E98</f>
        <v>79.88</v>
      </c>
      <c r="F88" s="336">
        <f>'[56]DF Schedule'!F98</f>
        <v>95.86999999999999</v>
      </c>
      <c r="G88" s="336">
        <f>'[56]DF Schedule'!G98</f>
        <v>147.72</v>
      </c>
      <c r="H88" s="336">
        <f>'[56]DF Schedule'!H98</f>
        <v>90.32</v>
      </c>
      <c r="I88" s="336">
        <f>'[56]DF Schedule'!I98</f>
        <v>120.92000000000002</v>
      </c>
      <c r="J88" s="336">
        <f>'[56]DF Schedule'!J98</f>
        <v>73</v>
      </c>
      <c r="K88" s="336">
        <f>'[56]DF Schedule'!K98</f>
        <v>147.26</v>
      </c>
      <c r="L88" s="336">
        <f>'[56]DF Schedule'!L98</f>
        <v>140.38</v>
      </c>
      <c r="M88" s="336">
        <f>'[56]DF Schedule'!M98</f>
        <v>185.04999999999998</v>
      </c>
      <c r="N88" s="315">
        <f>SUM(B88:M88)</f>
        <v>1253.8700000000001</v>
      </c>
      <c r="O88"/>
      <c r="Q88" s="328"/>
      <c r="R88" s="331"/>
    </row>
    <row r="89" spans="1:18" s="326" customFormat="1">
      <c r="A89" s="330" t="s">
        <v>595</v>
      </c>
      <c r="B89" s="336">
        <f>'[56]DF Schedule'!B99</f>
        <v>24.279636162503593</v>
      </c>
      <c r="C89" s="336">
        <f>'[56]DF Schedule'!C99</f>
        <v>-43.842948118252835</v>
      </c>
      <c r="D89" s="336">
        <f>'[56]DF Schedule'!D99</f>
        <v>23.326417482120469</v>
      </c>
      <c r="E89" s="336">
        <f>'[56]DF Schedule'!E99</f>
        <v>-7.0231190599139239</v>
      </c>
      <c r="F89" s="336">
        <f>'[56]DF Schedule'!F99</f>
        <v>-90.793549157603806</v>
      </c>
      <c r="G89" s="336">
        <f>'[56]DF Schedule'!G99</f>
        <v>-51.220087722666321</v>
      </c>
      <c r="H89" s="336">
        <f>'[56]DF Schedule'!H99</f>
        <v>31.332961271755323</v>
      </c>
      <c r="I89" s="336">
        <f>'[56]DF Schedule'!I99</f>
        <v>-111.69664520647935</v>
      </c>
      <c r="J89" s="336">
        <f>'[56]DF Schedule'!J99</f>
        <v>59.922419411118</v>
      </c>
      <c r="K89" s="336">
        <f>'[56]DF Schedule'!K99</f>
        <v>-56.994316380670142</v>
      </c>
      <c r="L89" s="336">
        <f>'[56]DF Schedule'!L99</f>
        <v>-106.67210367573252</v>
      </c>
      <c r="M89" s="336">
        <f>'[56]DF Schedule'!M99</f>
        <v>-111.38784929018689</v>
      </c>
      <c r="N89" s="315">
        <f>SUM(B89:M89)</f>
        <v>-440.76918428400836</v>
      </c>
      <c r="O89"/>
      <c r="Q89" s="328"/>
      <c r="R89" s="331"/>
    </row>
    <row r="90" spans="1:18" s="326" customFormat="1">
      <c r="A90" s="330"/>
      <c r="B90" s="343">
        <v>29.28</v>
      </c>
      <c r="C90" s="343">
        <v>29.28</v>
      </c>
      <c r="D90" s="343">
        <v>29.28</v>
      </c>
      <c r="E90" s="343">
        <v>29.28</v>
      </c>
      <c r="F90" s="343">
        <v>29.28</v>
      </c>
      <c r="G90" s="343">
        <v>29.28</v>
      </c>
      <c r="H90" s="343">
        <v>29.28</v>
      </c>
      <c r="I90" s="343">
        <v>29.28</v>
      </c>
      <c r="J90" s="343">
        <v>30</v>
      </c>
      <c r="K90" s="343">
        <v>30</v>
      </c>
      <c r="L90" s="343">
        <v>30</v>
      </c>
      <c r="M90" s="343">
        <v>30</v>
      </c>
      <c r="N90" s="342"/>
      <c r="O90"/>
      <c r="Q90" s="328"/>
      <c r="R90" s="331"/>
    </row>
    <row r="91" spans="1:18" s="326" customFormat="1">
      <c r="A91" s="330" t="s">
        <v>598</v>
      </c>
      <c r="B91" s="338">
        <f>'[56]DF Schedule'!B101</f>
        <v>1950.3301468381053</v>
      </c>
      <c r="C91" s="338">
        <f>'[56]DF Schedule'!C101</f>
        <v>1145.3472790975572</v>
      </c>
      <c r="D91" s="338">
        <f>'[56]DF Schedule'!D101</f>
        <v>2093.7079038764873</v>
      </c>
      <c r="E91" s="338">
        <f>'[56]DF Schedule'!E101</f>
        <v>2133.2494739257204</v>
      </c>
      <c r="F91" s="338">
        <f>'[56]DF Schedule'!F101</f>
        <v>148.63848066536016</v>
      </c>
      <c r="G91" s="338">
        <f>'[56]DF Schedule'!G101</f>
        <v>2825.5174314803303</v>
      </c>
      <c r="H91" s="338">
        <f>'[56]DF Schedule'!H101</f>
        <v>3561.9987060369958</v>
      </c>
      <c r="I91" s="338">
        <f>'[56]DF Schedule'!I101</f>
        <v>270.05982835428512</v>
      </c>
      <c r="J91" s="338">
        <f>'[56]DF Schedule'!J101</f>
        <v>3987.67258233354</v>
      </c>
      <c r="K91" s="338">
        <f>'[56]DF Schedule'!K101</f>
        <v>2707.9705085798955</v>
      </c>
      <c r="L91" s="338">
        <f>'[56]DF Schedule'!L101</f>
        <v>1011.2368897280244</v>
      </c>
      <c r="M91" s="338">
        <f>'[56]DF Schedule'!M101</f>
        <v>2209.8645212943929</v>
      </c>
      <c r="N91" s="341">
        <f>SUM(B91:M91)</f>
        <v>24045.593752210694</v>
      </c>
      <c r="O91"/>
      <c r="Q91" s="328"/>
      <c r="R91" s="331"/>
    </row>
    <row r="92" spans="1:18" s="326" customFormat="1">
      <c r="A92" s="330"/>
      <c r="N92" s="342"/>
      <c r="O92"/>
      <c r="Q92" s="328"/>
      <c r="R92" s="331"/>
    </row>
    <row r="93" spans="1:18" s="326" customFormat="1">
      <c r="A93" s="330" t="s">
        <v>597</v>
      </c>
      <c r="B93" s="336">
        <f>'[56]DF Schedule'!B103</f>
        <v>99.638314657168522</v>
      </c>
      <c r="C93" s="336">
        <f>'[56]DF Schedule'!C103</f>
        <v>58.513412599127122</v>
      </c>
      <c r="D93" s="336">
        <f>'[56]DF Schedule'!D103</f>
        <v>106.9631863430161</v>
      </c>
      <c r="E93" s="336">
        <f>'[56]DF Schedule'!E103</f>
        <v>108.98328299434013</v>
      </c>
      <c r="F93" s="336">
        <f>'[56]DF Schedule'!F103</f>
        <v>7.593631124816933</v>
      </c>
      <c r="G93" s="336">
        <f>'[56]DF Schedule'!G103</f>
        <v>144.34981449862255</v>
      </c>
      <c r="H93" s="336">
        <f>'[56]DF Schedule'!H103</f>
        <v>181.97511249873642</v>
      </c>
      <c r="I93" s="336">
        <f>'[56]DF Schedule'!I103</f>
        <v>13.796795479703373</v>
      </c>
      <c r="J93" s="336">
        <f>'[56]DF Schedule'!J103</f>
        <v>198.83258058888197</v>
      </c>
      <c r="K93" s="336">
        <f>'[56]DF Schedule'!K103</f>
        <v>135.02431638067011</v>
      </c>
      <c r="L93" s="336">
        <f>'[56]DF Schedule'!L103</f>
        <v>50.422103675732515</v>
      </c>
      <c r="M93" s="336">
        <f>'[56]DF Schedule'!M103</f>
        <v>110.18784929018688</v>
      </c>
      <c r="N93" s="315">
        <f>SUM(B93:M93)</f>
        <v>1216.2804001310028</v>
      </c>
      <c r="O93"/>
      <c r="Q93" s="328"/>
      <c r="R93" s="331"/>
    </row>
    <row r="94" spans="1:18" s="326" customFormat="1">
      <c r="A94" s="330" t="s">
        <v>596</v>
      </c>
      <c r="B94" s="336">
        <f>'[56]DF Schedule'!B104</f>
        <v>84.76</v>
      </c>
      <c r="C94" s="336">
        <f>'[56]DF Schedule'!C104</f>
        <v>62.400000000000006</v>
      </c>
      <c r="D94" s="336">
        <f>'[56]DF Schedule'!D104</f>
        <v>99.139999999999986</v>
      </c>
      <c r="E94" s="336">
        <f>'[56]DF Schedule'!E104</f>
        <v>31.18</v>
      </c>
      <c r="F94" s="336">
        <f>'[56]DF Schedule'!F104</f>
        <v>49.510000000000005</v>
      </c>
      <c r="G94" s="336">
        <f>'[56]DF Schedule'!G104</f>
        <v>118.08999999999999</v>
      </c>
      <c r="H94" s="336">
        <f>'[56]DF Schedule'!H104</f>
        <v>50.319999999999993</v>
      </c>
      <c r="I94" s="336">
        <f>'[56]DF Schedule'!I104</f>
        <v>41.42</v>
      </c>
      <c r="J94" s="336">
        <f>'[56]DF Schedule'!J104</f>
        <v>56.12</v>
      </c>
      <c r="K94" s="336">
        <f>'[56]DF Schedule'!K104</f>
        <v>55.069999999999993</v>
      </c>
      <c r="L94" s="336">
        <f>'[56]DF Schedule'!L104</f>
        <v>102.61</v>
      </c>
      <c r="M94" s="336">
        <f>'[56]DF Schedule'!M104</f>
        <v>87.61</v>
      </c>
      <c r="N94" s="315">
        <f>SUM(B94:M94)</f>
        <v>838.23</v>
      </c>
      <c r="O94"/>
      <c r="Q94" s="328"/>
      <c r="R94" s="331"/>
    </row>
    <row r="95" spans="1:18" s="326" customFormat="1">
      <c r="A95" s="330" t="s">
        <v>595</v>
      </c>
      <c r="B95" s="336">
        <f t="shared" ref="B95:M95" si="28">B93-B94</f>
        <v>14.878314657168517</v>
      </c>
      <c r="C95" s="336">
        <f t="shared" si="28"/>
        <v>-3.8865874008728838</v>
      </c>
      <c r="D95" s="336">
        <f t="shared" si="28"/>
        <v>7.8231863430161184</v>
      </c>
      <c r="E95" s="336">
        <f t="shared" si="28"/>
        <v>77.803282994340123</v>
      </c>
      <c r="F95" s="336">
        <f t="shared" si="28"/>
        <v>-41.916368875183075</v>
      </c>
      <c r="G95" s="336">
        <f t="shared" si="28"/>
        <v>26.259814498622561</v>
      </c>
      <c r="H95" s="336">
        <f t="shared" si="28"/>
        <v>131.65511249873643</v>
      </c>
      <c r="I95" s="336">
        <f t="shared" si="28"/>
        <v>-27.623204520296628</v>
      </c>
      <c r="J95" s="336">
        <f t="shared" si="28"/>
        <v>142.71258058888196</v>
      </c>
      <c r="K95" s="336">
        <f t="shared" si="28"/>
        <v>79.954316380670122</v>
      </c>
      <c r="L95" s="336">
        <f t="shared" si="28"/>
        <v>-52.187896324267484</v>
      </c>
      <c r="M95" s="336">
        <f t="shared" si="28"/>
        <v>22.577849290186876</v>
      </c>
      <c r="N95" s="315">
        <f>SUM(B95:M95)</f>
        <v>378.05040013100262</v>
      </c>
      <c r="O95"/>
      <c r="Q95" s="328"/>
      <c r="R95" s="331"/>
    </row>
    <row r="96" spans="1:18" s="326" customFormat="1">
      <c r="A96" s="330"/>
      <c r="B96" s="343">
        <v>29.28</v>
      </c>
      <c r="C96" s="343">
        <v>29.28</v>
      </c>
      <c r="D96" s="343">
        <v>29.28</v>
      </c>
      <c r="E96" s="343">
        <v>29.28</v>
      </c>
      <c r="F96" s="343">
        <v>29.28</v>
      </c>
      <c r="G96" s="343">
        <v>29.28</v>
      </c>
      <c r="H96" s="343">
        <v>29.28</v>
      </c>
      <c r="I96" s="343">
        <v>29.28</v>
      </c>
      <c r="J96" s="343">
        <v>30</v>
      </c>
      <c r="K96" s="343">
        <v>30</v>
      </c>
      <c r="L96" s="343">
        <v>30</v>
      </c>
      <c r="M96" s="343">
        <v>30</v>
      </c>
      <c r="N96" s="342"/>
      <c r="O96"/>
      <c r="Q96" s="328"/>
      <c r="R96" s="331"/>
    </row>
    <row r="97" spans="1:18" s="326" customFormat="1">
      <c r="A97" s="330" t="s">
        <v>594</v>
      </c>
      <c r="B97" s="338">
        <f>'[56]DF Schedule'!B107</f>
        <v>2917.4098531618943</v>
      </c>
      <c r="C97" s="338">
        <f>'[56]DF Schedule'!C107</f>
        <v>1713.2727209024422</v>
      </c>
      <c r="D97" s="338">
        <f>'[56]DF Schedule'!D107</f>
        <v>3131.8820961235115</v>
      </c>
      <c r="E97" s="338">
        <f>'[56]DF Schedule'!E107</f>
        <v>3191.0305260742789</v>
      </c>
      <c r="F97" s="338">
        <f>'[56]DF Schedule'!F107</f>
        <v>222.3415193346398</v>
      </c>
      <c r="G97" s="338">
        <f>'[56]DF Schedule'!G107</f>
        <v>4226.5625685196683</v>
      </c>
      <c r="H97" s="338">
        <f>'[56]DF Schedule'!H107</f>
        <v>5328.2312939630028</v>
      </c>
      <c r="I97" s="338">
        <f>'[56]DF Schedule'!I107</f>
        <v>403.9701716457148</v>
      </c>
      <c r="J97" s="338">
        <f>'[56]DF Schedule'!J107</f>
        <v>5964.9774176664587</v>
      </c>
      <c r="K97" s="338">
        <f>'[56]DF Schedule'!K107</f>
        <v>4050.7294914201034</v>
      </c>
      <c r="L97" s="338">
        <f>'[56]DF Schedule'!L107</f>
        <v>1512.6631102719755</v>
      </c>
      <c r="M97" s="338">
        <f>'[56]DF Schedule'!M107</f>
        <v>3305.6354787056061</v>
      </c>
      <c r="N97" s="341">
        <f>SUM(B97:M97)</f>
        <v>35968.706247789291</v>
      </c>
      <c r="O97"/>
      <c r="Q97" s="328"/>
      <c r="R97" s="331"/>
    </row>
    <row r="98" spans="1:18" s="326" customFormat="1">
      <c r="A98" s="340" t="s">
        <v>593</v>
      </c>
      <c r="B98" s="339">
        <f>(-_xll.NGL(_xll.BSpec(40109,2112,"505","01"),B$7,"",YEAR(B$8),"Actual"))</f>
        <v>0</v>
      </c>
      <c r="C98" s="339">
        <f>(-_xll.NGL(_xll.BSpec(40109,2112,"505","01"),C$7,"",YEAR(C$8),"Actual"))</f>
        <v>0</v>
      </c>
      <c r="D98" s="339">
        <f>(-_xll.NGL(_xll.BSpec(40109,2112,"505","01"),D$7,"",YEAR(D$8),"Actual"))</f>
        <v>0</v>
      </c>
      <c r="E98" s="339">
        <f>(-_xll.NGL(_xll.BSpec(40109,2112,"505","01"),E$7,"",YEAR(E$8),"Actual"))</f>
        <v>0</v>
      </c>
      <c r="F98" s="339">
        <f>(-_xll.NGL(_xll.BSpec(40109,2112,"505","01"),F$7,"",YEAR(F$8),"Actual"))</f>
        <v>0</v>
      </c>
      <c r="G98" s="339">
        <f>(-_xll.NGL(_xll.BSpec(40109,2112,"505","01"),G$7,"",YEAR(G$8),"Actual"))</f>
        <v>0</v>
      </c>
      <c r="H98" s="339">
        <f>(-_xll.NGL(_xll.BSpec(40109,2112,"505","01"),H$7,"",YEAR(H$8),"Actual"))</f>
        <v>0</v>
      </c>
      <c r="I98" s="339">
        <f>(-_xll.NGL(_xll.BSpec(40109,2112,"505","01"),I$7,"",YEAR(I$8),"Actual"))</f>
        <v>0</v>
      </c>
      <c r="J98" s="339">
        <f>(-_xll.NGL(_xll.BSpec(40109,2112,"505","01"),J$7,"",YEAR(J$8),"Actual"))</f>
        <v>0</v>
      </c>
      <c r="K98" s="339">
        <f>(-_xll.NGL(_xll.BSpec(40109,2112,"505","01"),K$7,"",YEAR(K$8),"Actual"))</f>
        <v>0</v>
      </c>
      <c r="L98" s="339">
        <f>(-_xll.NGL(_xll.BSpec(40109,2112,"505","01"),L$7,"",YEAR(L$8),"Actual"))</f>
        <v>0</v>
      </c>
      <c r="M98" s="339">
        <f>(-_xll.NGL(_xll.BSpec(40109,2112,"505","01"),M$7,"",YEAR(M$8),"Actual"))</f>
        <v>0</v>
      </c>
      <c r="N98" s="337">
        <f>SUM(B98:M98)</f>
        <v>0</v>
      </c>
      <c r="O98"/>
      <c r="Q98" s="328"/>
      <c r="R98" s="331"/>
    </row>
    <row r="99" spans="1:18" s="326" customFormat="1">
      <c r="A99" s="330" t="s">
        <v>592</v>
      </c>
      <c r="B99" s="338">
        <f t="shared" ref="B99:M99" si="29">B97+B91-B98</f>
        <v>4867.74</v>
      </c>
      <c r="C99" s="338">
        <f t="shared" si="29"/>
        <v>2858.6199999999994</v>
      </c>
      <c r="D99" s="338">
        <f t="shared" si="29"/>
        <v>5225.5899999999983</v>
      </c>
      <c r="E99" s="338">
        <f t="shared" si="29"/>
        <v>5324.2799999999988</v>
      </c>
      <c r="F99" s="338">
        <f t="shared" si="29"/>
        <v>370.97999999999996</v>
      </c>
      <c r="G99" s="338">
        <f t="shared" si="29"/>
        <v>7052.0799999999981</v>
      </c>
      <c r="H99" s="338">
        <f t="shared" si="29"/>
        <v>8890.23</v>
      </c>
      <c r="I99" s="338">
        <f t="shared" si="29"/>
        <v>674.03</v>
      </c>
      <c r="J99" s="338">
        <f t="shared" si="29"/>
        <v>9952.6499999999978</v>
      </c>
      <c r="K99" s="338">
        <f t="shared" si="29"/>
        <v>6758.6999999999989</v>
      </c>
      <c r="L99" s="338">
        <f t="shared" si="29"/>
        <v>2523.8999999999996</v>
      </c>
      <c r="M99" s="338">
        <f t="shared" si="29"/>
        <v>5515.4999999999991</v>
      </c>
      <c r="N99" s="337">
        <f>SUM(B99:M99)</f>
        <v>60014.299999999981</v>
      </c>
      <c r="O99"/>
      <c r="Q99" s="328"/>
      <c r="R99" s="331"/>
    </row>
    <row r="100" spans="1:18" s="326" customFormat="1">
      <c r="A100" s="330"/>
      <c r="B100" s="329"/>
      <c r="C100" s="329"/>
      <c r="D100" s="329"/>
      <c r="E100" s="329"/>
      <c r="F100" s="329"/>
      <c r="G100" s="329"/>
      <c r="H100" s="329"/>
      <c r="I100" s="329"/>
      <c r="J100" s="329"/>
      <c r="K100" s="329"/>
      <c r="L100" s="329"/>
      <c r="M100" s="329"/>
      <c r="N100" s="335"/>
      <c r="O100"/>
      <c r="Q100" s="328"/>
      <c r="R100" s="331"/>
    </row>
    <row r="101" spans="1:18" s="326" customFormat="1">
      <c r="A101" s="330"/>
      <c r="B101" s="329"/>
      <c r="C101" s="329"/>
      <c r="D101" s="329"/>
      <c r="E101" s="329"/>
      <c r="F101" s="329"/>
      <c r="G101" s="329"/>
      <c r="H101" s="329"/>
      <c r="I101" s="329"/>
      <c r="J101" s="329"/>
      <c r="K101" s="329"/>
      <c r="L101" s="329"/>
      <c r="M101" s="329"/>
      <c r="N101" s="335"/>
      <c r="O101"/>
      <c r="Q101" s="328"/>
      <c r="R101" s="331"/>
    </row>
    <row r="102" spans="1:18" s="326" customFormat="1">
      <c r="A102" s="330"/>
      <c r="B102" s="329"/>
      <c r="C102" s="329"/>
      <c r="D102" s="329"/>
      <c r="E102" s="329"/>
      <c r="F102" s="329"/>
      <c r="G102" s="329"/>
      <c r="H102" s="329"/>
      <c r="I102" s="329"/>
      <c r="J102" s="329"/>
      <c r="K102" s="329"/>
      <c r="L102" s="329"/>
      <c r="M102" s="329"/>
      <c r="N102" s="335"/>
      <c r="O102"/>
      <c r="Q102" s="328"/>
      <c r="R102" s="331"/>
    </row>
    <row r="103" spans="1:18" s="326" customFormat="1">
      <c r="A103" s="330" t="s">
        <v>591</v>
      </c>
      <c r="B103" s="336">
        <f>'[56]DF Schedule'!B113</f>
        <v>205.25000000000003</v>
      </c>
      <c r="C103" s="336">
        <f>'[56]DF Schedule'!C113</f>
        <v>119.33</v>
      </c>
      <c r="D103" s="336">
        <f>'[56]DF Schedule'!D113</f>
        <v>178.47</v>
      </c>
      <c r="E103" s="336">
        <f>'[56]DF Schedule'!E113</f>
        <v>196.46000000000004</v>
      </c>
      <c r="F103" s="336">
        <f>'[56]DF Schedule'!F113</f>
        <v>12.67</v>
      </c>
      <c r="G103" s="336">
        <f>'[56]DF Schedule'!G113</f>
        <v>240.84999999999997</v>
      </c>
      <c r="H103" s="336">
        <f>'[56]DF Schedule'!H113</f>
        <v>295.09000000000003</v>
      </c>
      <c r="I103" s="336">
        <f>'[56]DF Schedule'!I113</f>
        <v>23.020000000000003</v>
      </c>
      <c r="J103" s="336">
        <f>'[56]DF Schedule'!J113</f>
        <v>332.92999999999995</v>
      </c>
      <c r="K103" s="336">
        <f>'[56]DF Schedule'!K113</f>
        <v>225.29</v>
      </c>
      <c r="L103" s="336">
        <f>'[56]DF Schedule'!L113</f>
        <v>84.13</v>
      </c>
      <c r="M103" s="336">
        <f>'[56]DF Schedule'!M113</f>
        <v>183.85</v>
      </c>
      <c r="N103" s="315">
        <f>SUM(B103:M103)</f>
        <v>2097.3399999999997</v>
      </c>
      <c r="O103"/>
      <c r="Q103" s="328"/>
      <c r="R103" s="331"/>
    </row>
    <row r="104" spans="1:18" s="326" customFormat="1">
      <c r="A104" s="330" t="s">
        <v>590</v>
      </c>
      <c r="B104" s="336">
        <f>'[56]DF Schedule'!B114</f>
        <v>166.2479508196721</v>
      </c>
      <c r="C104" s="336">
        <f>'[56]DF Schedule'!C114</f>
        <v>97.630464480874295</v>
      </c>
      <c r="D104" s="336">
        <f>'[56]DF Schedule'!D114</f>
        <v>178.46960382513657</v>
      </c>
      <c r="E104" s="336">
        <f>'[56]DF Schedule'!E114</f>
        <v>181.84016393442619</v>
      </c>
      <c r="F104" s="336">
        <f>'[56]DF Schedule'!F114</f>
        <v>12.670081967213113</v>
      </c>
      <c r="G104" s="336">
        <f>'[56]DF Schedule'!G114</f>
        <v>240.84972677595624</v>
      </c>
      <c r="H104" s="336">
        <f>'[56]DF Schedule'!H114</f>
        <v>303.62807377049171</v>
      </c>
      <c r="I104" s="336">
        <f>'[56]DF Schedule'!I114</f>
        <v>23.02015027322404</v>
      </c>
      <c r="J104" s="336">
        <f>'[56]DF Schedule'!J114</f>
        <v>331.755</v>
      </c>
      <c r="K104" s="336">
        <f>'[56]DF Schedule'!K114</f>
        <v>225.28999999999996</v>
      </c>
      <c r="L104" s="336">
        <f>'[56]DF Schedule'!L114</f>
        <v>84.13</v>
      </c>
      <c r="M104" s="336">
        <f>'[56]DF Schedule'!M114</f>
        <v>183.84999999999997</v>
      </c>
      <c r="N104" s="315">
        <f>SUM(B104:M104)</f>
        <v>2029.3812158469941</v>
      </c>
      <c r="O104"/>
      <c r="Q104" s="328"/>
      <c r="R104" s="331"/>
    </row>
    <row r="105" spans="1:18" s="326" customFormat="1">
      <c r="A105" s="330" t="s">
        <v>561</v>
      </c>
      <c r="B105" s="336">
        <f t="shared" ref="B105:M105" si="30">B104-B103</f>
        <v>-39.00204918032793</v>
      </c>
      <c r="C105" s="336">
        <f t="shared" si="30"/>
        <v>-21.699535519125703</v>
      </c>
      <c r="D105" s="336">
        <f t="shared" si="30"/>
        <v>-3.9617486342535813E-4</v>
      </c>
      <c r="E105" s="336">
        <f t="shared" si="30"/>
        <v>-14.61983606557385</v>
      </c>
      <c r="F105" s="336">
        <f t="shared" si="30"/>
        <v>8.1967213112932313E-5</v>
      </c>
      <c r="G105" s="336">
        <f t="shared" si="30"/>
        <v>-2.7322404372398523E-4</v>
      </c>
      <c r="H105" s="336">
        <f t="shared" si="30"/>
        <v>8.5380737704916783</v>
      </c>
      <c r="I105" s="336">
        <f t="shared" si="30"/>
        <v>1.5027322403682319E-4</v>
      </c>
      <c r="J105" s="336">
        <f t="shared" si="30"/>
        <v>-1.1749999999999545</v>
      </c>
      <c r="K105" s="336">
        <f t="shared" si="30"/>
        <v>0</v>
      </c>
      <c r="L105" s="336">
        <f t="shared" si="30"/>
        <v>0</v>
      </c>
      <c r="M105" s="336">
        <f t="shared" si="30"/>
        <v>0</v>
      </c>
      <c r="N105" s="315">
        <f>SUM(B105:M105)</f>
        <v>-67.958784153005766</v>
      </c>
      <c r="O105"/>
      <c r="Q105" s="328"/>
      <c r="R105" s="331"/>
    </row>
    <row r="106" spans="1:18" s="326" customFormat="1">
      <c r="A106" s="330"/>
      <c r="B106" s="329"/>
      <c r="C106" s="329"/>
      <c r="D106" s="329"/>
      <c r="E106" s="329"/>
      <c r="F106" s="329"/>
      <c r="G106" s="329"/>
      <c r="H106" s="329"/>
      <c r="I106" s="329"/>
      <c r="J106" s="329"/>
      <c r="K106" s="329"/>
      <c r="L106" s="329"/>
      <c r="M106" s="329"/>
      <c r="N106" s="335"/>
      <c r="O106"/>
      <c r="Q106" s="328"/>
      <c r="R106" s="331"/>
    </row>
    <row r="107" spans="1:18" s="326" customFormat="1" ht="15.75" thickBot="1">
      <c r="A107" s="334"/>
      <c r="B107" s="333"/>
      <c r="C107" s="333"/>
      <c r="D107" s="333"/>
      <c r="E107" s="333"/>
      <c r="F107" s="333"/>
      <c r="G107" s="333"/>
      <c r="H107" s="333"/>
      <c r="I107" s="333"/>
      <c r="J107" s="333"/>
      <c r="K107" s="333"/>
      <c r="L107" s="333"/>
      <c r="M107" s="333"/>
      <c r="N107" s="332"/>
      <c r="O107"/>
      <c r="Q107" s="328"/>
      <c r="R107" s="331"/>
    </row>
    <row r="108" spans="1:18" s="326" customFormat="1" ht="15.75" thickBot="1">
      <c r="A108" s="330"/>
      <c r="N108" s="329"/>
      <c r="O108"/>
      <c r="Q108" s="328"/>
      <c r="R108" s="327"/>
    </row>
    <row r="109" spans="1:18">
      <c r="A109" s="325" t="s">
        <v>589</v>
      </c>
      <c r="B109" s="324"/>
      <c r="C109" s="324"/>
      <c r="D109" s="324"/>
      <c r="E109" s="324"/>
      <c r="F109" s="321"/>
      <c r="G109" s="323"/>
      <c r="H109" s="321"/>
      <c r="I109" s="321"/>
      <c r="J109" s="321"/>
      <c r="K109" s="322"/>
      <c r="L109" s="321"/>
      <c r="M109" s="321"/>
      <c r="N109" s="320"/>
      <c r="R109" s="302"/>
    </row>
    <row r="110" spans="1:18">
      <c r="A110" s="303"/>
      <c r="L110" s="304"/>
      <c r="M110" s="304"/>
      <c r="N110" s="317"/>
      <c r="R110" s="302"/>
    </row>
    <row r="111" spans="1:18">
      <c r="A111" s="319" t="s">
        <v>588</v>
      </c>
      <c r="B111" s="318"/>
      <c r="C111" s="318"/>
      <c r="D111" s="318"/>
      <c r="E111" s="318"/>
      <c r="N111" s="317"/>
      <c r="R111" s="302"/>
    </row>
    <row r="112" spans="1:18">
      <c r="A112" s="303" t="s">
        <v>587</v>
      </c>
      <c r="B112" s="316">
        <f t="shared" ref="B112:M112" si="31">B115/B113</f>
        <v>0</v>
      </c>
      <c r="C112" s="316">
        <f t="shared" si="31"/>
        <v>0</v>
      </c>
      <c r="D112" s="316">
        <f t="shared" si="31"/>
        <v>0</v>
      </c>
      <c r="E112" s="316">
        <f t="shared" si="31"/>
        <v>0</v>
      </c>
      <c r="F112" s="316">
        <f t="shared" si="31"/>
        <v>0</v>
      </c>
      <c r="G112" s="316">
        <f t="shared" si="31"/>
        <v>0</v>
      </c>
      <c r="H112" s="316">
        <f t="shared" si="31"/>
        <v>0</v>
      </c>
      <c r="I112" s="316">
        <f t="shared" si="31"/>
        <v>0</v>
      </c>
      <c r="J112" s="316">
        <f t="shared" si="31"/>
        <v>0</v>
      </c>
      <c r="K112" s="316">
        <f t="shared" si="31"/>
        <v>0</v>
      </c>
      <c r="L112" s="316">
        <f t="shared" si="31"/>
        <v>0</v>
      </c>
      <c r="M112" s="316">
        <f t="shared" si="31"/>
        <v>0</v>
      </c>
      <c r="N112" s="315">
        <f>SUM(B112:M112)</f>
        <v>0</v>
      </c>
      <c r="R112" s="302"/>
    </row>
    <row r="113" spans="1:18">
      <c r="A113" s="311" t="s">
        <v>586</v>
      </c>
      <c r="B113" s="314">
        <f>'[56]DF Schedule'!B124</f>
        <v>10</v>
      </c>
      <c r="C113" s="314">
        <f>'[56]DF Schedule'!C124</f>
        <v>10</v>
      </c>
      <c r="D113" s="314">
        <f>'[56]DF Schedule'!D124</f>
        <v>10</v>
      </c>
      <c r="E113" s="314">
        <f>'[56]DF Schedule'!E124</f>
        <v>10</v>
      </c>
      <c r="F113" s="314">
        <f>'[56]DF Schedule'!F124</f>
        <v>10</v>
      </c>
      <c r="G113" s="314">
        <f>'[56]DF Schedule'!G124</f>
        <v>10</v>
      </c>
      <c r="H113" s="314">
        <f>'[56]DF Schedule'!H124</f>
        <v>10</v>
      </c>
      <c r="I113" s="314">
        <f>'[56]DF Schedule'!I124</f>
        <v>10</v>
      </c>
      <c r="J113" s="314">
        <f>'[56]DF Schedule'!J124</f>
        <v>10</v>
      </c>
      <c r="K113" s="314">
        <f>'[56]DF Schedule'!K124</f>
        <v>10</v>
      </c>
      <c r="L113" s="314">
        <f>'[56]DF Schedule'!L124</f>
        <v>10</v>
      </c>
      <c r="M113" s="314">
        <f>'[56]DF Schedule'!M124</f>
        <v>10</v>
      </c>
      <c r="N113" s="309">
        <f>'[56]DF Schedule'!N124</f>
        <v>10</v>
      </c>
      <c r="R113" s="302"/>
    </row>
    <row r="114" spans="1:18">
      <c r="A114" s="303" t="s">
        <v>15</v>
      </c>
      <c r="B114" s="313">
        <f t="shared" ref="B114:M114" si="32">+B112*B113</f>
        <v>0</v>
      </c>
      <c r="C114" s="313">
        <f t="shared" si="32"/>
        <v>0</v>
      </c>
      <c r="D114" s="313">
        <f t="shared" si="32"/>
        <v>0</v>
      </c>
      <c r="E114" s="313">
        <f t="shared" si="32"/>
        <v>0</v>
      </c>
      <c r="F114" s="313">
        <f t="shared" si="32"/>
        <v>0</v>
      </c>
      <c r="G114" s="313">
        <f t="shared" si="32"/>
        <v>0</v>
      </c>
      <c r="H114" s="313">
        <f t="shared" si="32"/>
        <v>0</v>
      </c>
      <c r="I114" s="313">
        <f t="shared" si="32"/>
        <v>0</v>
      </c>
      <c r="J114" s="313">
        <f t="shared" si="32"/>
        <v>0</v>
      </c>
      <c r="K114" s="313">
        <f t="shared" si="32"/>
        <v>0</v>
      </c>
      <c r="L114" s="313">
        <f t="shared" si="32"/>
        <v>0</v>
      </c>
      <c r="M114" s="313">
        <f t="shared" si="32"/>
        <v>0</v>
      </c>
      <c r="N114" s="312">
        <f>SUM(B114:M114)</f>
        <v>0</v>
      </c>
      <c r="R114" s="302"/>
    </row>
    <row r="115" spans="1:18">
      <c r="A115" s="311" t="s">
        <v>585</v>
      </c>
      <c r="B115" s="310">
        <f>(-_xll.NGL(_xll.BSpec(44166,2112,"*","*"),B$7,"",YEAR(B8),"Actual"))</f>
        <v>0</v>
      </c>
      <c r="C115" s="310">
        <f>(-_xll.NGL(_xll.BSpec(44166,2112,"*","*"),C$7,"",YEAR(C8),"Actual"))</f>
        <v>0</v>
      </c>
      <c r="D115" s="310">
        <f>(-_xll.NGL(_xll.BSpec(44166,2112,"*","*"),D$7,"",YEAR(D8),"Actual"))</f>
        <v>0</v>
      </c>
      <c r="E115" s="310">
        <f>(-_xll.NGL(_xll.BSpec(44166,2112,"*","*"),E$7,"",YEAR(E8),"Actual"))</f>
        <v>0</v>
      </c>
      <c r="F115" s="310">
        <f>(-_xll.NGL(_xll.BSpec(44166,2112,"*","*"),F$7,"",YEAR(F8),"Actual"))</f>
        <v>0</v>
      </c>
      <c r="G115" s="310">
        <f>(-_xll.NGL(_xll.BSpec(44166,2112,"*","*"),G$7,"",YEAR(G8),"Actual"))</f>
        <v>0</v>
      </c>
      <c r="H115" s="310">
        <f>(-_xll.NGL(_xll.BSpec(44166,2112,"*","*"),H$7,"",YEAR(H8),"Actual"))</f>
        <v>0</v>
      </c>
      <c r="I115" s="310">
        <f>(-_xll.NGL(_xll.BSpec(44166,2112,"*","*"),I$7,"",YEAR(I8),"Actual"))</f>
        <v>0</v>
      </c>
      <c r="J115" s="310">
        <f>(-_xll.NGL(_xll.BSpec(44166,2112,"*","*"),J$7,"",YEAR(J8),"Actual"))</f>
        <v>0</v>
      </c>
      <c r="K115" s="310">
        <f>(-_xll.NGL(_xll.BSpec(44166,2112,"*","*"),K$7,"",YEAR(K8),"Actual"))</f>
        <v>0</v>
      </c>
      <c r="L115" s="310">
        <f>(-_xll.NGL(_xll.BSpec(44166,2112,"*","*"),L$7,"",YEAR(L8),"Actual"))</f>
        <v>0</v>
      </c>
      <c r="M115" s="310">
        <f>(-_xll.NGL(_xll.BSpec(44166,2112,"*","*"),M$7,"",YEAR(M8),"Actual"))</f>
        <v>0</v>
      </c>
      <c r="N115" s="309">
        <f>SUM(B115:M115)</f>
        <v>0</v>
      </c>
      <c r="R115" s="302"/>
    </row>
    <row r="116" spans="1:18" ht="15.75" thickBot="1">
      <c r="A116" s="308" t="s">
        <v>561</v>
      </c>
      <c r="B116" s="307">
        <f t="shared" ref="B116:N116" si="33">+B114-B115</f>
        <v>0</v>
      </c>
      <c r="C116" s="307">
        <f t="shared" si="33"/>
        <v>0</v>
      </c>
      <c r="D116" s="307">
        <f t="shared" si="33"/>
        <v>0</v>
      </c>
      <c r="E116" s="307">
        <f t="shared" si="33"/>
        <v>0</v>
      </c>
      <c r="F116" s="307">
        <f t="shared" si="33"/>
        <v>0</v>
      </c>
      <c r="G116" s="307">
        <f t="shared" si="33"/>
        <v>0</v>
      </c>
      <c r="H116" s="307">
        <f t="shared" si="33"/>
        <v>0</v>
      </c>
      <c r="I116" s="307">
        <f t="shared" si="33"/>
        <v>0</v>
      </c>
      <c r="J116" s="307">
        <f t="shared" si="33"/>
        <v>0</v>
      </c>
      <c r="K116" s="307">
        <f t="shared" si="33"/>
        <v>0</v>
      </c>
      <c r="L116" s="307">
        <f t="shared" si="33"/>
        <v>0</v>
      </c>
      <c r="M116" s="307">
        <f t="shared" si="33"/>
        <v>0</v>
      </c>
      <c r="N116" s="306">
        <f t="shared" si="33"/>
        <v>0</v>
      </c>
      <c r="R116" s="302"/>
    </row>
    <row r="117" spans="1:18">
      <c r="A117" s="303"/>
      <c r="R117" s="302"/>
    </row>
    <row r="118" spans="1:18">
      <c r="A118" s="305"/>
      <c r="R118" s="302"/>
    </row>
    <row r="119" spans="1:18">
      <c r="A119" s="303"/>
      <c r="R119" s="302"/>
    </row>
    <row r="120" spans="1:18">
      <c r="A120" s="303"/>
      <c r="H120" s="304"/>
      <c r="R120" s="302"/>
    </row>
    <row r="121" spans="1:18">
      <c r="A121" s="303"/>
      <c r="R121" s="302"/>
    </row>
    <row r="122" spans="1:18">
      <c r="A122" s="303"/>
      <c r="R122" s="302"/>
    </row>
    <row r="123" spans="1:18">
      <c r="A123" s="303"/>
      <c r="R123" s="302"/>
    </row>
    <row r="124" spans="1:18">
      <c r="A124" s="303"/>
      <c r="R124" s="302"/>
    </row>
    <row r="125" spans="1:18">
      <c r="A125" s="303"/>
      <c r="R125" s="302"/>
    </row>
    <row r="126" spans="1:18">
      <c r="A126" s="303"/>
      <c r="R126" s="302"/>
    </row>
    <row r="127" spans="1:18">
      <c r="A127" s="303"/>
      <c r="R127" s="302"/>
    </row>
    <row r="128" spans="1:18">
      <c r="A128" s="303"/>
      <c r="R128" s="302"/>
    </row>
    <row r="129" spans="1:18">
      <c r="A129" s="303"/>
      <c r="R129" s="302"/>
    </row>
    <row r="130" spans="1:18">
      <c r="A130" s="303"/>
      <c r="R130" s="302"/>
    </row>
    <row r="131" spans="1:18">
      <c r="A131" s="303"/>
      <c r="R131" s="302"/>
    </row>
    <row r="132" spans="1:18">
      <c r="A132" s="303"/>
      <c r="R132" s="302"/>
    </row>
    <row r="133" spans="1:18">
      <c r="A133" s="303"/>
      <c r="R133" s="302"/>
    </row>
    <row r="134" spans="1:18" ht="15.75" thickBot="1">
      <c r="A134" s="301"/>
      <c r="B134" s="298"/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300"/>
      <c r="O134" s="299"/>
      <c r="P134" s="298"/>
      <c r="Q134" s="297"/>
      <c r="R134" s="296"/>
    </row>
    <row r="135" spans="1:18" ht="15.75" thickTop="1"/>
  </sheetData>
  <pageMargins left="0.25" right="0.25" top="0.27" bottom="0.4" header="0.18" footer="0.25"/>
  <pageSetup scale="70" orientation="portrait" errors="blank" r:id="rId1"/>
  <headerFooter alignWithMargins="0">
    <oddFooter>&amp;L&amp;F - &amp;A&amp;CPrinted &amp;D - &amp;T&amp;RPage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F7FDF73A6FFE4FA410786F56622DB3" ma:contentTypeVersion="24" ma:contentTypeDescription="" ma:contentTypeScope="" ma:versionID="48264d48bbd675e5fad571807740cbf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2023-11-16T08:00:00+00:00</OpenedDate>
    <Date1 xmlns="dc463f71-b30c-4ab2-9473-d307f9d35888">2023-11-16T08:00:00+00:00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  </CaseCompanyNames>
    <Nickname xmlns="http://schemas.microsoft.com/sharepoint/v3" xsi:nil="true"/>
    <DocketNumber xmlns="dc463f71-b30c-4ab2-9473-d307f9d35888">231007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80DA474-52E4-4412-BCEF-915FB58AD823}"/>
</file>

<file path=customXml/itemProps2.xml><?xml version="1.0" encoding="utf-8"?>
<ds:datastoreItem xmlns:ds="http://schemas.openxmlformats.org/officeDocument/2006/customXml" ds:itemID="{7AA5072E-BC36-4E68-9392-88DAAEF307E2}"/>
</file>

<file path=customXml/itemProps3.xml><?xml version="1.0" encoding="utf-8"?>
<ds:datastoreItem xmlns:ds="http://schemas.openxmlformats.org/officeDocument/2006/customXml" ds:itemID="{FA12FD04-0E39-44D6-A644-C5CF5343C23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B09F9A-AE3B-4E8F-AFB7-15BAB48D0A8C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dc463f71-b30c-4ab2-9473-d307f9d35888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References</vt:lpstr>
      <vt:lpstr>Proposed Rates</vt:lpstr>
      <vt:lpstr>Company Calc</vt:lpstr>
      <vt:lpstr>Proposed Rates #2</vt:lpstr>
      <vt:lpstr>Clallam Reg Price Out</vt:lpstr>
      <vt:lpstr>CityPA-M Price Out</vt:lpstr>
      <vt:lpstr>DF Schedule</vt:lpstr>
      <vt:lpstr>'Company Calc'!Print_Area</vt:lpstr>
      <vt:lpstr>'DF Schedule'!Print_Area</vt:lpstr>
      <vt:lpstr>'Proposed Rates'!Print_Area</vt:lpstr>
      <vt:lpstr>'Proposed Rates #2'!Print_Area</vt:lpstr>
      <vt:lpstr>References!Print_Area</vt:lpstr>
      <vt:lpstr>'Company Calc'!Print_Titles</vt:lpstr>
      <vt:lpstr>'Proposed Rates'!Print_Titles</vt:lpstr>
      <vt:lpstr>'Proposed Rates #2'!Print_Titles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Brian Vandenburg</cp:lastModifiedBy>
  <cp:lastPrinted>2023-12-13T01:11:40Z</cp:lastPrinted>
  <dcterms:created xsi:type="dcterms:W3CDTF">2013-10-29T22:33:54Z</dcterms:created>
  <dcterms:modified xsi:type="dcterms:W3CDTF">2023-12-13T01:17:01Z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0x0101006E56B4D1795A2E4DB2F0B01679ED314A0005F7FDF73A6FFE4FA410786F56622DB3</vt:lpwstr>
  </property>
  <property fmtid="{D5CDD505-2E9C-101B-9397-08002B2CF9AE}" pid="3" name="_docset_NoMedatataSyncRequired">
    <vt:lpwstr>False</vt:lpwstr>
  </property>
</Properties>
</file>