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2000 Western Region Office\WUTC\WUTC-Empire 2120\Dump Fee\Whitman Spokane 1-1-2023\"/>
    </mc:Choice>
  </mc:AlternateContent>
  <xr:revisionPtr revIDLastSave="0" documentId="13_ncr:1_{B0B557E8-E5A5-4D06-8B49-74144968C8E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References" sheetId="2" r:id="rId1"/>
    <sheet name="Whitman DF Calc" sheetId="3" r:id="rId2"/>
    <sheet name="Proposed Rates" sheetId="4" r:id="rId3"/>
    <sheet name="Disposal Schedule" sheetId="6" r:id="rId4"/>
    <sheet name="Whitman Reg - Price Out" sheetId="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hidden="1">#REF!</definedName>
    <definedName name="_ACT1" localSheetId="3">[4]Hidden!#REF!</definedName>
    <definedName name="_ACT1" localSheetId="4">[5]Hidden!#REF!</definedName>
    <definedName name="_ACT1">[6]Hidden!#REF!</definedName>
    <definedName name="_ACT2" localSheetId="3">[4]Hidden!#REF!</definedName>
    <definedName name="_ACT2" localSheetId="4">[5]Hidden!#REF!</definedName>
    <definedName name="_ACT2">[6]Hidden!#REF!</definedName>
    <definedName name="_ACT3" localSheetId="3">[4]Hidden!#REF!</definedName>
    <definedName name="_ACT3" localSheetId="4">[5]Hidden!#REF!</definedName>
    <definedName name="_ACT3">[6]Hidden!#REF!</definedName>
    <definedName name="_COS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hidden="1">#REF!</definedName>
    <definedName name="_xlnm._FilterDatabase" localSheetId="1" hidden="1">'Whitman DF Calc'!$A$1:$W$82</definedName>
    <definedName name="_Key1" localSheetId="4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hidden="1">#REF!</definedName>
    <definedName name="_Mon" localSheetId="4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hidden="1">#REF!</definedName>
    <definedName name="_Sort1" hidden="1">'[2]#REF'!$A$10:$Z$281</definedName>
    <definedName name="_sort3" hidden="1">[3]XXXXXX!$G$10:$J$11</definedName>
    <definedName name="ACCT" localSheetId="3">[4]Hidden!#REF!</definedName>
    <definedName name="ACCT" localSheetId="4">[5]Hidden!#REF!</definedName>
    <definedName name="ACCT">[6]Hidden!#REF!</definedName>
    <definedName name="ACCT.ConsolSum">[1]Hidden!$Q$11</definedName>
    <definedName name="ACT_CUR" localSheetId="3">[4]Hidden!#REF!</definedName>
    <definedName name="ACT_CUR" localSheetId="4">[5]Hidden!#REF!</definedName>
    <definedName name="ACT_CUR">[6]Hidden!#REF!</definedName>
    <definedName name="ACT_YTD" localSheetId="3">[4]Hidden!#REF!</definedName>
    <definedName name="ACT_YTD" localSheetId="4">[5]Hidden!#REF!</definedName>
    <definedName name="ACT_YTD">[6]Hidden!#REF!</definedName>
    <definedName name="AmountCount" localSheetId="3">#REF!</definedName>
    <definedName name="AmountCount" localSheetId="4">#REF!</definedName>
    <definedName name="AmountCount">#REF!</definedName>
    <definedName name="AmountCount1">#REF!</definedName>
    <definedName name="AmountTotal" localSheetId="4">#REF!</definedName>
    <definedName name="AmountTotal">#REF!</definedName>
    <definedName name="AmountTotal1">#REF!</definedName>
    <definedName name="BookRev" localSheetId="3">'[7]Pacific Regulated - Price Out'!$F$50</definedName>
    <definedName name="BookRev" localSheetId="4">'[7]Pacific Regulated - Price Out'!$F$50</definedName>
    <definedName name="BookRev">'[8]Pacific Regulated - Price Out'!$F$50</definedName>
    <definedName name="BookRev_com" localSheetId="3">'[7]Pacific Regulated - Price Out'!$F$214</definedName>
    <definedName name="BookRev_com" localSheetId="4">'[7]Pacific Regulated - Price Out'!$F$214</definedName>
    <definedName name="BookRev_com">'[8]Pacific Regulated - Price Out'!$F$214</definedName>
    <definedName name="BookRev_mfr" localSheetId="3">'[7]Pacific Regulated - Price Out'!$F$222</definedName>
    <definedName name="BookRev_mfr" localSheetId="4">'[7]Pacific Regulated - Price Out'!$F$222</definedName>
    <definedName name="BookRev_mfr">'[8]Pacific Regulated - Price Out'!$F$222</definedName>
    <definedName name="BookRev_ro" localSheetId="3">'[7]Pacific Regulated - Price Out'!$F$282</definedName>
    <definedName name="BookRev_ro" localSheetId="4">'[7]Pacific Regulated - Price Out'!$F$282</definedName>
    <definedName name="BookRev_ro">'[8]Pacific Regulated - Price Out'!$F$282</definedName>
    <definedName name="BookRev_rr" localSheetId="3">'[7]Pacific Regulated - Price Out'!$F$59</definedName>
    <definedName name="BookRev_rr" localSheetId="4">'[7]Pacific Regulated - Price Out'!$F$59</definedName>
    <definedName name="BookRev_rr">'[8]Pacific Regulated - Price Out'!$F$59</definedName>
    <definedName name="BookRev_yw" localSheetId="3">'[7]Pacific Regulated - Price Out'!$F$70</definedName>
    <definedName name="BookRev_yw" localSheetId="4">'[7]Pacific Regulated - Price Out'!$F$70</definedName>
    <definedName name="BookRev_yw">'[8]Pacific Regulated - Price Out'!$F$70</definedName>
    <definedName name="BREMAIR_COST_of_SERVICE_STUDY" localSheetId="3">#REF!</definedName>
    <definedName name="BREMAIR_COST_of_SERVICE_STUDY" localSheetId="4">#REF!</definedName>
    <definedName name="BREMAIR_COST_of_SERVICE_STUDY">#REF!</definedName>
    <definedName name="BUD_CUR" localSheetId="3">[4]Hidden!#REF!</definedName>
    <definedName name="BUD_CUR" localSheetId="4">[5]Hidden!#REF!</definedName>
    <definedName name="BUD_CUR">[6]Hidden!#REF!</definedName>
    <definedName name="BUD_YTD" localSheetId="3">[4]Hidden!#REF!</definedName>
    <definedName name="BUD_YTD" localSheetId="4">[5]Hidden!#REF!</definedName>
    <definedName name="BUD_YTD">[6]Hidden!#REF!</definedName>
    <definedName name="CalRecyTons" localSheetId="3">'[9]Recycl Tons, Commodity Value'!$L$23</definedName>
    <definedName name="CalRecyTons" localSheetId="4">'[9]Recycl Tons, Commodity Value'!$L$23</definedName>
    <definedName name="CalRecyTons">'[10]Recycl Tons, Commodity Value'!$L$23</definedName>
    <definedName name="CheckTotals" localSheetId="3">#REF!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ommlStaffPriceOut">'[11]Price Out-Reg EASTSIDE-Resi'!#REF!</definedName>
    <definedName name="CRCTable" localSheetId="3">#REF!</definedName>
    <definedName name="CRCTable" localSheetId="4">#REF!</definedName>
    <definedName name="CRCTable">#REF!</definedName>
    <definedName name="CRCTableOLD" localSheetId="4">#REF!</definedName>
    <definedName name="CRCTableOLD">#REF!</definedName>
    <definedName name="CriteriaType">[12]ControlPanel!$Z$2:$Z$5</definedName>
    <definedName name="CurrentMonth">'[13]38000 Other Rev'!$H$8</definedName>
    <definedName name="Cutomers" localSheetId="3">#REF!</definedName>
    <definedName name="Cutomers" localSheetId="4">#REF!</definedName>
    <definedName name="Cutomers">#REF!</definedName>
    <definedName name="_xlnm.Database" localSheetId="4">#REF!</definedName>
    <definedName name="_xlnm.Database">#REF!</definedName>
    <definedName name="Database1" localSheetId="4">#REF!</definedName>
    <definedName name="Database1">#REF!</definedName>
    <definedName name="DateFrom">'[13]38000 Other Rev'!$G$12</definedName>
    <definedName name="DateTo">'[13]38000 Other Rev'!$G$13</definedName>
    <definedName name="DBxStaffPriceOut">'[11]Price Out-Reg EASTSIDE-Resi'!#REF!</definedName>
    <definedName name="DEPT" localSheetId="3">[4]Hidden!#REF!</definedName>
    <definedName name="DEPT" localSheetId="4">[5]Hidden!#REF!</definedName>
    <definedName name="DEPT">[6]Hidden!#REF!</definedName>
    <definedName name="Dist">[14]Data!$E$3</definedName>
    <definedName name="District" localSheetId="3">'[15]Vashon BS'!#REF!</definedName>
    <definedName name="District" localSheetId="4">#REF!</definedName>
    <definedName name="District">'[16]Vashon BS'!#REF!</definedName>
    <definedName name="DistrictNum" localSheetId="3">#REF!</definedName>
    <definedName name="DistrictNum" localSheetId="4">#REF!</definedName>
    <definedName name="DistrictNum">#REF!</definedName>
    <definedName name="dOG" localSheetId="3">#REF!</definedName>
    <definedName name="dOG">#REF!</definedName>
    <definedName name="drlFilter">[1]Settings!$D$27</definedName>
    <definedName name="End" localSheetId="3">#REF!</definedName>
    <definedName name="End" localSheetId="4">#REF!</definedName>
    <definedName name="End">'[17]IS-2120'!#REF!</definedName>
    <definedName name="EntrieShownLimit">'[13]38000 Other Rev'!$D$6</definedName>
    <definedName name="ExcludeIC" localSheetId="3">'[13]2025 BS'!#REF!</definedName>
    <definedName name="ExcludeIC" localSheetId="4">#REF!</definedName>
    <definedName name="ExcludeIC">'[16]Vashon BS'!#REF!</definedName>
    <definedName name="EXT">#REF!</definedName>
    <definedName name="FBTable" localSheetId="3">#REF!</definedName>
    <definedName name="FBTable" localSheetId="4">#REF!</definedName>
    <definedName name="FBTable">#REF!</definedName>
    <definedName name="FBTableOld" localSheetId="4">#REF!</definedName>
    <definedName name="FBTableOld">#REF!</definedName>
    <definedName name="filter">[1]Settings!$B$14:$H$25</definedName>
    <definedName name="FundsApprPend" localSheetId="4">[14]Data!#REF!</definedName>
    <definedName name="FundsApprPend">[14]Data!#REF!</definedName>
    <definedName name="FundsBudUnbud" localSheetId="4">[14]Data!#REF!</definedName>
    <definedName name="FundsBudUnbud">[14]Data!#REF!</definedName>
    <definedName name="GLMappingStart" localSheetId="3">#REF!</definedName>
    <definedName name="GLMappingStart" localSheetId="4">#REF!</definedName>
    <definedName name="GLMappingStart">#REF!</definedName>
    <definedName name="GLMappingStart1">#REF!</definedName>
    <definedName name="Import_Range" localSheetId="4">[14]Data!#REF!</definedName>
    <definedName name="Import_Range">[14]Data!#REF!</definedName>
    <definedName name="IncomeStmnt" localSheetId="4">#REF!</definedName>
    <definedName name="IncomeStmnt">#REF!</definedName>
    <definedName name="INPUT" localSheetId="3">#REF!</definedName>
    <definedName name="INPUT" localSheetId="4">#REF!</definedName>
    <definedName name="INPUT">#REF!</definedName>
    <definedName name="Insurance" localSheetId="4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4">[14]Invoice_Drill!#REF!</definedName>
    <definedName name="Invoice_Start">[14]Invoice_Drill!#REF!</definedName>
    <definedName name="JEDetail" localSheetId="4">#REF!</definedName>
    <definedName name="JEDetail">#REF!</definedName>
    <definedName name="JEDetail1" localSheetId="4">#REF!</definedName>
    <definedName name="JEDetail1">#REF!</definedName>
    <definedName name="JEType" localSheetId="4">#REF!</definedName>
    <definedName name="JEType">#REF!</definedName>
    <definedName name="JEType1">#REF!</definedName>
    <definedName name="lblBillAreaStatus" localSheetId="4">#REF!</definedName>
    <definedName name="lblBillAreaStatus">#REF!</definedName>
    <definedName name="lblBillCycleStatus" localSheetId="4">#REF!</definedName>
    <definedName name="lblBillCycleStatus">#REF!</definedName>
    <definedName name="lblCategoryStatus" localSheetId="4">#REF!</definedName>
    <definedName name="lblCategoryStatus">#REF!</definedName>
    <definedName name="lblCompanyStatus" localSheetId="4">#REF!</definedName>
    <definedName name="lblCompanyStatus">#REF!</definedName>
    <definedName name="lblDatabaseStatus" localSheetId="4">#REF!</definedName>
    <definedName name="lblDatabaseStatus">#REF!</definedName>
    <definedName name="lblPullStatus" localSheetId="4">#REF!</definedName>
    <definedName name="lblPullStatus">#REF!</definedName>
    <definedName name="lllllllllllllllllllll" localSheetId="4">#REF!</definedName>
    <definedName name="lllllllllllllllllllll">#REF!</definedName>
    <definedName name="MainDataEnd" localSheetId="4">#REF!</definedName>
    <definedName name="MainDataEnd">#REF!</definedName>
    <definedName name="MainDataStart" localSheetId="4">#REF!</definedName>
    <definedName name="MainDataStart">#REF!</definedName>
    <definedName name="MapKeyStart" localSheetId="4">#REF!</definedName>
    <definedName name="MapKeyStart">#REF!</definedName>
    <definedName name="master_def" localSheetId="3">#REF!</definedName>
    <definedName name="master_def" localSheetId="4">#REF!</definedName>
    <definedName name="master_def">'[17]IS-2120'!#REF!</definedName>
    <definedName name="MATRIX">#REF!</definedName>
    <definedName name="MemoAttachment" localSheetId="3">#REF!</definedName>
    <definedName name="MemoAttachment" localSheetId="4">#REF!</definedName>
    <definedName name="MemoAttachment">#REF!</definedName>
    <definedName name="MetaSet">[1]Orientation!$C$22</definedName>
    <definedName name="MFStaffPriceOut">'[11]Price Out-Reg EASTSIDE-Resi'!#REF!</definedName>
    <definedName name="MonthList">'[14]Lookup Tables'!$A$1:$A$13</definedName>
    <definedName name="NewOnlyOrg">#N/A</definedName>
    <definedName name="nn">#REF!</definedName>
    <definedName name="NOTES" localSheetId="3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[18]JEexport!$L$10</definedName>
    <definedName name="OffsetAcctPmt">[18]JEexport!$L$9</definedName>
    <definedName name="Org11_13">#N/A</definedName>
    <definedName name="Org7_10">#N/A</definedName>
    <definedName name="p" localSheetId="3">#REF!</definedName>
    <definedName name="p" localSheetId="4">#REF!</definedName>
    <definedName name="p">#REF!</definedName>
    <definedName name="PAGE_1" localSheetId="4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 localSheetId="4">#REF!</definedName>
    <definedName name="pBatchID">#REF!</definedName>
    <definedName name="pBillArea" localSheetId="4">#REF!</definedName>
    <definedName name="pBillArea">#REF!</definedName>
    <definedName name="pBillCycle" localSheetId="4">#REF!</definedName>
    <definedName name="pBillCycle">#REF!</definedName>
    <definedName name="pCategory" localSheetId="4">#REF!</definedName>
    <definedName name="pCategory">#REF!</definedName>
    <definedName name="pCompany" localSheetId="4">#REF!</definedName>
    <definedName name="pCompany">#REF!</definedName>
    <definedName name="pCustomerNumber" localSheetId="4">#REF!</definedName>
    <definedName name="pCustomerNumber">#REF!</definedName>
    <definedName name="pDatabase" localSheetId="4">#REF!</definedName>
    <definedName name="pDatabase">#REF!</definedName>
    <definedName name="pEndPostDate" localSheetId="4">#REF!</definedName>
    <definedName name="pEndPostDate">#REF!</definedName>
    <definedName name="Period" localSheetId="4">#REF!</definedName>
    <definedName name="Period">#REF!</definedName>
    <definedName name="pMonth" localSheetId="4">#REF!</definedName>
    <definedName name="pMonth">#REF!</definedName>
    <definedName name="pOnlyShowLastTranx" localSheetId="4">#REF!</definedName>
    <definedName name="pOnlyShowLastTranx">#REF!</definedName>
    <definedName name="primtbl">[1]Orientation!$C$23</definedName>
    <definedName name="_xlnm.Print_Area" localSheetId="3">'Disposal Schedule'!$A$1:$H$33</definedName>
    <definedName name="_xlnm.Print_Area" localSheetId="2">'Proposed Rates'!$A$1:$D$87</definedName>
    <definedName name="_xlnm.Print_Area" localSheetId="1">'Whitman DF Calc'!$A$1:$W$101</definedName>
    <definedName name="_xlnm.Print_Area" localSheetId="4">'Whitman Reg - Price Out'!$A$1:$P$174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Area3" localSheetId="4">#REF!</definedName>
    <definedName name="Print_Area3">#REF!</definedName>
    <definedName name="Print_Area5" localSheetId="4">#REF!</definedName>
    <definedName name="Print_Area5">#REF!</definedName>
    <definedName name="_xlnm.Print_Titles" localSheetId="2">'Proposed Rates'!$1:$5</definedName>
    <definedName name="_xlnm.Print_Titles" localSheetId="1">'Whitman DF Calc'!$1:$5</definedName>
    <definedName name="Print1" localSheetId="3">#REF!</definedName>
    <definedName name="Print1" localSheetId="4">#REF!</definedName>
    <definedName name="Print1">#REF!</definedName>
    <definedName name="Print2" localSheetId="4">#REF!</definedName>
    <definedName name="Print2">#REF!</definedName>
    <definedName name="Print5" localSheetId="4">#REF!</definedName>
    <definedName name="Print5">#REF!</definedName>
    <definedName name="ProRev" localSheetId="3">'[7]Pacific Regulated - Price Out'!$M$49</definedName>
    <definedName name="ProRev" localSheetId="4">'[7]Pacific Regulated - Price Out'!$M$49</definedName>
    <definedName name="ProRev">'[8]Pacific Regulated - Price Out'!$M$49</definedName>
    <definedName name="ProRev_com" localSheetId="3">'[7]Pacific Regulated - Price Out'!$M$213</definedName>
    <definedName name="ProRev_com" localSheetId="4">'[7]Pacific Regulated - Price Out'!$M$213</definedName>
    <definedName name="ProRev_com">'[8]Pacific Regulated - Price Out'!$M$213</definedName>
    <definedName name="ProRev_mfr" localSheetId="3">'[7]Pacific Regulated - Price Out'!$M$221</definedName>
    <definedName name="ProRev_mfr" localSheetId="4">'[7]Pacific Regulated - Price Out'!$M$221</definedName>
    <definedName name="ProRev_mfr">'[8]Pacific Regulated - Price Out'!$M$221</definedName>
    <definedName name="ProRev_ro" localSheetId="3">'[7]Pacific Regulated - Price Out'!$M$281</definedName>
    <definedName name="ProRev_ro" localSheetId="4">'[7]Pacific Regulated - Price Out'!$M$281</definedName>
    <definedName name="ProRev_ro">'[8]Pacific Regulated - Price Out'!$M$281</definedName>
    <definedName name="ProRev_rr" localSheetId="3">'[7]Pacific Regulated - Price Out'!$M$58</definedName>
    <definedName name="ProRev_rr" localSheetId="4">'[7]Pacific Regulated - Price Out'!$M$58</definedName>
    <definedName name="ProRev_rr">'[8]Pacific Regulated - Price Out'!$M$58</definedName>
    <definedName name="ProRev_yw" localSheetId="3">'[7]Pacific Regulated - Price Out'!$M$69</definedName>
    <definedName name="ProRev_yw" localSheetId="4">'[7]Pacific Regulated - Price Out'!$M$69</definedName>
    <definedName name="ProRev_yw">'[8]Pacific Regulated - Price Out'!$M$69</definedName>
    <definedName name="pServer" localSheetId="3">#REF!</definedName>
    <definedName name="pServer" localSheetId="4">#REF!</definedName>
    <definedName name="pServer">#REF!</definedName>
    <definedName name="pServiceCode" localSheetId="4">#REF!</definedName>
    <definedName name="pServiceCode">#REF!</definedName>
    <definedName name="pShowAllUnposted" localSheetId="4">#REF!</definedName>
    <definedName name="pShowAllUnposted">#REF!</definedName>
    <definedName name="pShowCustomerDetail" localSheetId="4">#REF!</definedName>
    <definedName name="pShowCustomerDetail">#REF!</definedName>
    <definedName name="pSortOption" localSheetId="4">#REF!</definedName>
    <definedName name="pSortOption">#REF!</definedName>
    <definedName name="pStartPostDate" localSheetId="4">#REF!</definedName>
    <definedName name="pStartPostDate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>'[19]Consolidated IS 2009 2010'!$AK$20</definedName>
    <definedName name="Reg_Cust_Percent">'[19]Consolidated IS 2009 2010'!$AC$20</definedName>
    <definedName name="Reg_Drive_Percent">'[19]Consolidated IS 2009 2010'!$AC$40</definedName>
    <definedName name="Reg_Haul_Rev_Percent">'[19]Consolidated IS 2009 2010'!$Z$18</definedName>
    <definedName name="Reg_Lab_Percent">'[19]Consolidated IS 2009 2010'!$AC$39</definedName>
    <definedName name="Reg_Steel_Cont_Percent">'[19]Consolidated IS 2009 2010'!$AE$120</definedName>
    <definedName name="RegulatedIS">'[19]2009 IS'!$A$12:$Q$655</definedName>
    <definedName name="RelatedSalary">#N/A</definedName>
    <definedName name="report_type">[1]Orientation!$C$24</definedName>
    <definedName name="ReportNames">[20]ControlPanel!$S$2:$S$16</definedName>
    <definedName name="ReportVersion">[1]Settings!$D$5</definedName>
    <definedName name="ReslStaffPriceOut">'[11]Price Out-Reg EASTSIDE-Resi'!#REF!</definedName>
    <definedName name="RetainedEarnings" localSheetId="3">#REF!</definedName>
    <definedName name="RetainedEarnings" localSheetId="4">#REF!</definedName>
    <definedName name="RetainedEarnings">#REF!</definedName>
    <definedName name="RevCust" localSheetId="3">[21]RevenuesCust!#REF!</definedName>
    <definedName name="RevCust" localSheetId="4">[22]RevenuesCust!#REF!</definedName>
    <definedName name="RevCust">[23]RevenuesCust!#REF!</definedName>
    <definedName name="RevCustomer" localSheetId="3">#REF!</definedName>
    <definedName name="RevCustomer" localSheetId="4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3">#REF!</definedName>
    <definedName name="sortcol" localSheetId="4">#REF!</definedName>
    <definedName name="sortcol">'[17]IS-2120'!#REF!</definedName>
    <definedName name="sSRCDate" localSheetId="3">'[24]Feb''12 FAR Data'!#REF!</definedName>
    <definedName name="sSRCDate" localSheetId="4">'[24]Feb''12 FAR Data'!#REF!</definedName>
    <definedName name="sSRCDate">'[25]Feb''12 FAR Data'!#REF!</definedName>
    <definedName name="Supplemental_filter">[1]Settings!$C$31</definedName>
    <definedName name="SWDisposal">#N/A</definedName>
    <definedName name="System" localSheetId="4">#REF!</definedName>
    <definedName name="System">[26]BS_Close!$V$8</definedName>
    <definedName name="TemplateEnd" localSheetId="3">#REF!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 localSheetId="4">#REF!</definedName>
    <definedName name="TheTable">#REF!</definedName>
    <definedName name="TheTableOLD" localSheetId="4">#REF!</definedName>
    <definedName name="TheTableOLD">#REF!</definedName>
    <definedName name="timeseries">[1]Orientation!$B$6:$C$13</definedName>
    <definedName name="Tons">#REF!</definedName>
    <definedName name="Total_Comm" localSheetId="3">'[9]Tariff Rate Sheet'!$L$214</definedName>
    <definedName name="Total_Comm" localSheetId="4">'[9]Tariff Rate Sheet'!$L$214</definedName>
    <definedName name="Total_Comm">'[10]Tariff Rate Sheet'!$L$214</definedName>
    <definedName name="Total_DB" localSheetId="3">'[9]Tariff Rate Sheet'!$L$278</definedName>
    <definedName name="Total_DB" localSheetId="4">'[9]Tariff Rate Sheet'!$L$278</definedName>
    <definedName name="Total_DB">'[10]Tariff Rate Sheet'!$L$278</definedName>
    <definedName name="Total_Resi" localSheetId="3">'[9]Tariff Rate Sheet'!$L$107</definedName>
    <definedName name="Total_Resi" localSheetId="4">'[9]Tariff Rate Sheet'!$L$107</definedName>
    <definedName name="Total_Resi">'[10]Tariff Rate Sheet'!$L$107</definedName>
    <definedName name="Transactions" localSheetId="3">#REF!</definedName>
    <definedName name="Transactions" localSheetId="4">#REF!</definedName>
    <definedName name="Transactions">#REF!</definedName>
    <definedName name="UnregulatedIS">'[19]2010 IS'!$A$12:$Q$654</definedName>
    <definedName name="Version" localSheetId="4">[14]Data!#REF!</definedName>
    <definedName name="Version">[14]Data!#REF!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3">[4]Hidden!#REF!</definedName>
    <definedName name="xtabin" localSheetId="4">[5]Hidden!#REF!</definedName>
    <definedName name="xtabin">[6]Hidden!#REF!</definedName>
    <definedName name="xx" localSheetId="3">#REF!</definedName>
    <definedName name="xx" localSheetId="4">#REF!</definedName>
    <definedName name="xx">#REF!</definedName>
    <definedName name="xxx">#REF!</definedName>
    <definedName name="xxxx">#REF!</definedName>
    <definedName name="YearMonth" localSheetId="3">'[15]Vashon BS'!#REF!</definedName>
    <definedName name="YearMonth" localSheetId="4">#REF!</definedName>
    <definedName name="YearMonth">'[16]Vashon BS'!#REF!</definedName>
    <definedName name="YWMedWasteDisp">#N/A</definedName>
    <definedName name="yy" localSheetId="3">#REF!</definedName>
    <definedName name="yy" localSheetId="4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" l="1"/>
  <c r="P6" i="3" s="1"/>
  <c r="G53" i="2" l="1"/>
  <c r="K140" i="7" l="1"/>
  <c r="K139" i="7"/>
  <c r="M31" i="3" l="1"/>
  <c r="G74" i="3"/>
  <c r="M74" i="3"/>
  <c r="M46" i="3"/>
  <c r="G46" i="3"/>
  <c r="M43" i="3"/>
  <c r="G43" i="3"/>
  <c r="M26" i="3"/>
  <c r="G26" i="3"/>
  <c r="D170" i="7" l="1"/>
  <c r="D163" i="7"/>
  <c r="O161" i="7"/>
  <c r="F152" i="7"/>
  <c r="G152" i="7" s="1"/>
  <c r="F149" i="7"/>
  <c r="G149" i="7" s="1"/>
  <c r="D158" i="7"/>
  <c r="F141" i="7"/>
  <c r="G141" i="7" s="1"/>
  <c r="F140" i="7"/>
  <c r="G140" i="7" s="1"/>
  <c r="F139" i="7"/>
  <c r="G139" i="7" s="1"/>
  <c r="P136" i="7"/>
  <c r="F134" i="7"/>
  <c r="G134" i="7" s="1"/>
  <c r="M134" i="7" s="1"/>
  <c r="M136" i="7" s="1"/>
  <c r="D136" i="7"/>
  <c r="F129" i="7"/>
  <c r="G129" i="7" s="1"/>
  <c r="F128" i="7"/>
  <c r="G128" i="7" s="1"/>
  <c r="F127" i="7"/>
  <c r="G127" i="7" s="1"/>
  <c r="F125" i="7"/>
  <c r="G125" i="7" s="1"/>
  <c r="F124" i="7"/>
  <c r="G124" i="7" s="1"/>
  <c r="F123" i="7"/>
  <c r="G123" i="7" s="1"/>
  <c r="F121" i="7"/>
  <c r="G121" i="7" s="1"/>
  <c r="F119" i="7"/>
  <c r="G119" i="7" s="1"/>
  <c r="F118" i="7"/>
  <c r="G118" i="7" s="1"/>
  <c r="F113" i="7"/>
  <c r="G113" i="7" s="1"/>
  <c r="F111" i="7"/>
  <c r="G111" i="7" s="1"/>
  <c r="F110" i="7"/>
  <c r="G110" i="7" s="1"/>
  <c r="F106" i="7"/>
  <c r="G106" i="7" s="1"/>
  <c r="F105" i="7"/>
  <c r="G105" i="7" s="1"/>
  <c r="D65" i="3" s="1"/>
  <c r="F104" i="7"/>
  <c r="G104" i="7" s="1"/>
  <c r="D74" i="3" s="1"/>
  <c r="F74" i="3" s="1"/>
  <c r="F102" i="7"/>
  <c r="G102" i="7" s="1"/>
  <c r="D72" i="3" s="1"/>
  <c r="F100" i="7"/>
  <c r="G100" i="7" s="1"/>
  <c r="D70" i="3" s="1"/>
  <c r="F96" i="7"/>
  <c r="G96" i="7" s="1"/>
  <c r="D67" i="3" s="1"/>
  <c r="F92" i="7"/>
  <c r="G92" i="7" s="1"/>
  <c r="D77" i="3" s="1"/>
  <c r="F87" i="7"/>
  <c r="G87" i="7" s="1"/>
  <c r="D62" i="3" s="1"/>
  <c r="G85" i="7"/>
  <c r="D60" i="3" s="1"/>
  <c r="F85" i="7"/>
  <c r="F79" i="7"/>
  <c r="G79" i="7" s="1"/>
  <c r="D55" i="3" s="1"/>
  <c r="F77" i="7"/>
  <c r="G77" i="7" s="1"/>
  <c r="D53" i="3" s="1"/>
  <c r="F76" i="7"/>
  <c r="G76" i="7" s="1"/>
  <c r="D52" i="3" s="1"/>
  <c r="F75" i="7"/>
  <c r="G75" i="7" s="1"/>
  <c r="D51" i="3" s="1"/>
  <c r="F74" i="7"/>
  <c r="G74" i="7" s="1"/>
  <c r="D50" i="3" s="1"/>
  <c r="F71" i="7"/>
  <c r="G71" i="7" s="1"/>
  <c r="D47" i="3" s="1"/>
  <c r="F67" i="7"/>
  <c r="G67" i="7" s="1"/>
  <c r="D43" i="3" s="1"/>
  <c r="F63" i="7"/>
  <c r="G63" i="7" s="1"/>
  <c r="D39" i="3" s="1"/>
  <c r="F61" i="7"/>
  <c r="G61" i="7" s="1"/>
  <c r="D37" i="3" s="1"/>
  <c r="F59" i="7"/>
  <c r="G59" i="7" s="1"/>
  <c r="D35" i="3" s="1"/>
  <c r="F57" i="7"/>
  <c r="G57" i="7" s="1"/>
  <c r="D33" i="3" s="1"/>
  <c r="F56" i="7"/>
  <c r="G56" i="7" s="1"/>
  <c r="D32" i="3" s="1"/>
  <c r="F55" i="7"/>
  <c r="G55" i="7" s="1"/>
  <c r="D31" i="3" s="1"/>
  <c r="F54" i="7"/>
  <c r="G54" i="7" s="1"/>
  <c r="D30" i="3" s="1"/>
  <c r="F53" i="7"/>
  <c r="G53" i="7" s="1"/>
  <c r="D29" i="3" s="1"/>
  <c r="F52" i="7"/>
  <c r="G52" i="7" s="1"/>
  <c r="D28" i="3" s="1"/>
  <c r="F51" i="7"/>
  <c r="G51" i="7" s="1"/>
  <c r="D26" i="3" s="1"/>
  <c r="F50" i="7"/>
  <c r="G50" i="7" s="1"/>
  <c r="D27" i="3" s="1"/>
  <c r="F49" i="7"/>
  <c r="G49" i="7" s="1"/>
  <c r="D25" i="3" s="1"/>
  <c r="D43" i="7"/>
  <c r="D38" i="7"/>
  <c r="I36" i="7"/>
  <c r="I35" i="7"/>
  <c r="I34" i="7"/>
  <c r="I33" i="7"/>
  <c r="I31" i="7"/>
  <c r="I30" i="7"/>
  <c r="I27" i="7"/>
  <c r="I26" i="7"/>
  <c r="I24" i="7"/>
  <c r="I22" i="7"/>
  <c r="I20" i="7"/>
  <c r="I18" i="7"/>
  <c r="I17" i="7"/>
  <c r="I14" i="7"/>
  <c r="I13" i="7"/>
  <c r="H74" i="3" l="1"/>
  <c r="P74" i="3"/>
  <c r="F19" i="7"/>
  <c r="G19" i="7" s="1"/>
  <c r="D13" i="3" s="1"/>
  <c r="F23" i="7"/>
  <c r="G23" i="7" s="1"/>
  <c r="D17" i="3" s="1"/>
  <c r="F27" i="7"/>
  <c r="G27" i="7" s="1"/>
  <c r="F29" i="7"/>
  <c r="G29" i="7" s="1"/>
  <c r="D23" i="3" s="1"/>
  <c r="J41" i="7"/>
  <c r="I62" i="7"/>
  <c r="F12" i="7"/>
  <c r="G12" i="7" s="1"/>
  <c r="D6" i="3" s="1"/>
  <c r="F20" i="7"/>
  <c r="G20" i="7" s="1"/>
  <c r="F22" i="7"/>
  <c r="G22" i="7" s="1"/>
  <c r="F24" i="7"/>
  <c r="G24" i="7" s="1"/>
  <c r="F26" i="7"/>
  <c r="G26" i="7" s="1"/>
  <c r="F28" i="7"/>
  <c r="G28" i="7" s="1"/>
  <c r="D22" i="3" s="1"/>
  <c r="F30" i="7"/>
  <c r="G30" i="7" s="1"/>
  <c r="M30" i="7" s="1"/>
  <c r="P30" i="7" s="1"/>
  <c r="F32" i="7"/>
  <c r="G32" i="7" s="1"/>
  <c r="F34" i="7"/>
  <c r="G34" i="7" s="1"/>
  <c r="M34" i="7" s="1"/>
  <c r="P34" i="7" s="1"/>
  <c r="F36" i="7"/>
  <c r="G36" i="7" s="1"/>
  <c r="M36" i="7" s="1"/>
  <c r="P36" i="7" s="1"/>
  <c r="F70" i="7"/>
  <c r="G70" i="7" s="1"/>
  <c r="D46" i="3" s="1"/>
  <c r="F83" i="7"/>
  <c r="G83" i="7" s="1"/>
  <c r="D58" i="3" s="1"/>
  <c r="F103" i="7"/>
  <c r="G103" i="7" s="1"/>
  <c r="D73" i="3" s="1"/>
  <c r="F107" i="7"/>
  <c r="G107" i="7" s="1"/>
  <c r="D80" i="3" s="1"/>
  <c r="F109" i="7"/>
  <c r="G109" i="7" s="1"/>
  <c r="F114" i="7"/>
  <c r="G114" i="7" s="1"/>
  <c r="F117" i="7"/>
  <c r="G117" i="7" s="1"/>
  <c r="F120" i="7"/>
  <c r="G120" i="7" s="1"/>
  <c r="F153" i="7"/>
  <c r="G153" i="7" s="1"/>
  <c r="F21" i="7"/>
  <c r="G21" i="7" s="1"/>
  <c r="D15" i="3" s="1"/>
  <c r="F25" i="7"/>
  <c r="G25" i="7" s="1"/>
  <c r="D19" i="3" s="1"/>
  <c r="F31" i="7"/>
  <c r="G31" i="7" s="1"/>
  <c r="F148" i="7"/>
  <c r="G148" i="7" s="1"/>
  <c r="F33" i="7"/>
  <c r="G33" i="7" s="1"/>
  <c r="M33" i="7" s="1"/>
  <c r="P33" i="7" s="1"/>
  <c r="F35" i="7"/>
  <c r="G35" i="7" s="1"/>
  <c r="F66" i="7"/>
  <c r="G66" i="7" s="1"/>
  <c r="D42" i="3" s="1"/>
  <c r="F81" i="7"/>
  <c r="G81" i="7" s="1"/>
  <c r="D57" i="3" s="1"/>
  <c r="F89" i="7"/>
  <c r="G89" i="7" s="1"/>
  <c r="D64" i="3" s="1"/>
  <c r="F115" i="7"/>
  <c r="G115" i="7" s="1"/>
  <c r="O62" i="7"/>
  <c r="M31" i="7"/>
  <c r="P31" i="7" s="1"/>
  <c r="M35" i="7"/>
  <c r="P35" i="7" s="1"/>
  <c r="I12" i="7"/>
  <c r="O12" i="7" s="1"/>
  <c r="I15" i="7"/>
  <c r="O15" i="7" s="1"/>
  <c r="I16" i="7"/>
  <c r="O16" i="7" s="1"/>
  <c r="I19" i="7"/>
  <c r="O19" i="7" s="1"/>
  <c r="I21" i="7"/>
  <c r="O21" i="7" s="1"/>
  <c r="I23" i="7"/>
  <c r="O23" i="7" s="1"/>
  <c r="I25" i="7"/>
  <c r="O25" i="7" s="1"/>
  <c r="I28" i="7"/>
  <c r="M28" i="7" s="1"/>
  <c r="P28" i="7" s="1"/>
  <c r="I29" i="7"/>
  <c r="O29" i="7" s="1"/>
  <c r="I32" i="7"/>
  <c r="M32" i="7" s="1"/>
  <c r="P32" i="7" s="1"/>
  <c r="F13" i="7"/>
  <c r="G13" i="7" s="1"/>
  <c r="O13" i="7"/>
  <c r="F14" i="7"/>
  <c r="G14" i="7" s="1"/>
  <c r="O14" i="7"/>
  <c r="F15" i="7"/>
  <c r="G15" i="7" s="1"/>
  <c r="F16" i="7"/>
  <c r="G16" i="7" s="1"/>
  <c r="F17" i="7"/>
  <c r="G17" i="7" s="1"/>
  <c r="O17" i="7"/>
  <c r="F18" i="7"/>
  <c r="G18" i="7" s="1"/>
  <c r="O18" i="7"/>
  <c r="O20" i="7"/>
  <c r="O22" i="7"/>
  <c r="O24" i="7"/>
  <c r="O26" i="7"/>
  <c r="O27" i="7"/>
  <c r="O30" i="7"/>
  <c r="O31" i="7"/>
  <c r="O33" i="7"/>
  <c r="O34" i="7"/>
  <c r="O35" i="7"/>
  <c r="O36" i="7"/>
  <c r="F41" i="7"/>
  <c r="G41" i="7" s="1"/>
  <c r="D131" i="7"/>
  <c r="I58" i="7"/>
  <c r="O58" i="7" s="1"/>
  <c r="I60" i="7"/>
  <c r="O60" i="7" s="1"/>
  <c r="I105" i="7"/>
  <c r="O105" i="7" s="1"/>
  <c r="I104" i="7"/>
  <c r="I103" i="7"/>
  <c r="M103" i="7" s="1"/>
  <c r="P103" i="7" s="1"/>
  <c r="I102" i="7"/>
  <c r="I120" i="7"/>
  <c r="I119" i="7"/>
  <c r="I118" i="7"/>
  <c r="M118" i="7" s="1"/>
  <c r="P118" i="7" s="1"/>
  <c r="I117" i="7"/>
  <c r="I116" i="7"/>
  <c r="I115" i="7"/>
  <c r="I114" i="7"/>
  <c r="M114" i="7" s="1"/>
  <c r="P114" i="7" s="1"/>
  <c r="I113" i="7"/>
  <c r="I112" i="7"/>
  <c r="I111" i="7"/>
  <c r="I110" i="7"/>
  <c r="M110" i="7" s="1"/>
  <c r="P110" i="7" s="1"/>
  <c r="I109" i="7"/>
  <c r="I108" i="7"/>
  <c r="O108" i="7" s="1"/>
  <c r="I152" i="7"/>
  <c r="I148" i="7"/>
  <c r="O148" i="7" s="1"/>
  <c r="I128" i="7"/>
  <c r="I124" i="7"/>
  <c r="I106" i="7"/>
  <c r="O106" i="7" s="1"/>
  <c r="I155" i="7"/>
  <c r="I151" i="7"/>
  <c r="I127" i="7"/>
  <c r="I123" i="7"/>
  <c r="I154" i="7"/>
  <c r="O154" i="7" s="1"/>
  <c r="I150" i="7"/>
  <c r="I126" i="7"/>
  <c r="I122" i="7"/>
  <c r="I153" i="7"/>
  <c r="I149" i="7"/>
  <c r="I129" i="7"/>
  <c r="I125" i="7"/>
  <c r="I121" i="7"/>
  <c r="O121" i="7" s="1"/>
  <c r="I107" i="7"/>
  <c r="M107" i="7" s="1"/>
  <c r="P107" i="7" s="1"/>
  <c r="I100" i="7"/>
  <c r="I98" i="7"/>
  <c r="I96" i="7"/>
  <c r="M96" i="7" s="1"/>
  <c r="P96" i="7" s="1"/>
  <c r="I94" i="7"/>
  <c r="I92" i="7"/>
  <c r="I99" i="7"/>
  <c r="I95" i="7"/>
  <c r="O95" i="7" s="1"/>
  <c r="I91" i="7"/>
  <c r="O91" i="7" s="1"/>
  <c r="I89" i="7"/>
  <c r="M89" i="7" s="1"/>
  <c r="P89" i="7" s="1"/>
  <c r="I87" i="7"/>
  <c r="I85" i="7"/>
  <c r="O85" i="7" s="1"/>
  <c r="I83" i="7"/>
  <c r="M83" i="7" s="1"/>
  <c r="P83" i="7" s="1"/>
  <c r="I81" i="7"/>
  <c r="I79" i="7"/>
  <c r="M79" i="7" s="1"/>
  <c r="P79" i="7" s="1"/>
  <c r="I77" i="7"/>
  <c r="M77" i="7" s="1"/>
  <c r="P77" i="7" s="1"/>
  <c r="I101" i="7"/>
  <c r="I97" i="7"/>
  <c r="I93" i="7"/>
  <c r="I90" i="7"/>
  <c r="O90" i="7" s="1"/>
  <c r="I88" i="7"/>
  <c r="O88" i="7" s="1"/>
  <c r="I86" i="7"/>
  <c r="I84" i="7"/>
  <c r="I82" i="7"/>
  <c r="O82" i="7" s="1"/>
  <c r="I80" i="7"/>
  <c r="I78" i="7"/>
  <c r="I76" i="7"/>
  <c r="O76" i="7" s="1"/>
  <c r="I75" i="7"/>
  <c r="O75" i="7" s="1"/>
  <c r="I74" i="7"/>
  <c r="O74" i="7" s="1"/>
  <c r="I73" i="7"/>
  <c r="O73" i="7" s="1"/>
  <c r="I72" i="7"/>
  <c r="O72" i="7" s="1"/>
  <c r="I71" i="7"/>
  <c r="O71" i="7" s="1"/>
  <c r="I70" i="7"/>
  <c r="O70" i="7" s="1"/>
  <c r="I69" i="7"/>
  <c r="O69" i="7" s="1"/>
  <c r="I68" i="7"/>
  <c r="O68" i="7" s="1"/>
  <c r="I67" i="7"/>
  <c r="O67" i="7" s="1"/>
  <c r="I66" i="7"/>
  <c r="O66" i="7" s="1"/>
  <c r="I65" i="7"/>
  <c r="O65" i="7" s="1"/>
  <c r="I64" i="7"/>
  <c r="O64" i="7" s="1"/>
  <c r="I63" i="7"/>
  <c r="O63" i="7" s="1"/>
  <c r="O140" i="7"/>
  <c r="K141" i="7"/>
  <c r="O141" i="7" s="1"/>
  <c r="O139" i="7"/>
  <c r="O41" i="7"/>
  <c r="O80" i="7"/>
  <c r="O84" i="7"/>
  <c r="M105" i="7"/>
  <c r="I57" i="7"/>
  <c r="M57" i="7" s="1"/>
  <c r="P57" i="7" s="1"/>
  <c r="I59" i="7"/>
  <c r="M59" i="7" s="1"/>
  <c r="P59" i="7" s="1"/>
  <c r="I61" i="7"/>
  <c r="M61" i="7" s="1"/>
  <c r="P61" i="7" s="1"/>
  <c r="F64" i="7"/>
  <c r="G64" i="7" s="1"/>
  <c r="F68" i="7"/>
  <c r="G68" i="7" s="1"/>
  <c r="F72" i="7"/>
  <c r="G72" i="7" s="1"/>
  <c r="M76" i="7"/>
  <c r="P76" i="7" s="1"/>
  <c r="M81" i="7"/>
  <c r="M85" i="7"/>
  <c r="P85" i="7" s="1"/>
  <c r="M92" i="7"/>
  <c r="M100" i="7"/>
  <c r="P100" i="7" s="1"/>
  <c r="K41" i="7"/>
  <c r="I49" i="7"/>
  <c r="O49" i="7" s="1"/>
  <c r="I50" i="7"/>
  <c r="O50" i="7" s="1"/>
  <c r="I51" i="7"/>
  <c r="O51" i="7" s="1"/>
  <c r="I52" i="7"/>
  <c r="O52" i="7" s="1"/>
  <c r="I53" i="7"/>
  <c r="O53" i="7" s="1"/>
  <c r="I54" i="7"/>
  <c r="O54" i="7" s="1"/>
  <c r="I55" i="7"/>
  <c r="O55" i="7" s="1"/>
  <c r="I56" i="7"/>
  <c r="O56" i="7" s="1"/>
  <c r="F58" i="7"/>
  <c r="G58" i="7" s="1"/>
  <c r="F60" i="7"/>
  <c r="G60" i="7" s="1"/>
  <c r="F62" i="7"/>
  <c r="G62" i="7" s="1"/>
  <c r="F65" i="7"/>
  <c r="G65" i="7" s="1"/>
  <c r="F69" i="7"/>
  <c r="G69" i="7" s="1"/>
  <c r="F73" i="7"/>
  <c r="G73" i="7" s="1"/>
  <c r="O78" i="7"/>
  <c r="O86" i="7"/>
  <c r="M87" i="7"/>
  <c r="P87" i="7" s="1"/>
  <c r="O79" i="7"/>
  <c r="O81" i="7"/>
  <c r="O87" i="7"/>
  <c r="O89" i="7"/>
  <c r="F94" i="7"/>
  <c r="G94" i="7" s="1"/>
  <c r="F98" i="7"/>
  <c r="G98" i="7" s="1"/>
  <c r="O99" i="7"/>
  <c r="F108" i="7"/>
  <c r="G108" i="7" s="1"/>
  <c r="M108" i="7" s="1"/>
  <c r="P108" i="7" s="1"/>
  <c r="F112" i="7"/>
  <c r="G112" i="7" s="1"/>
  <c r="M112" i="7" s="1"/>
  <c r="P112" i="7" s="1"/>
  <c r="F116" i="7"/>
  <c r="G116" i="7" s="1"/>
  <c r="M116" i="7" s="1"/>
  <c r="P116" i="7" s="1"/>
  <c r="M120" i="7"/>
  <c r="P120" i="7" s="1"/>
  <c r="O124" i="7"/>
  <c r="M153" i="7"/>
  <c r="O155" i="7"/>
  <c r="P81" i="7"/>
  <c r="F91" i="7"/>
  <c r="G91" i="7" s="1"/>
  <c r="O92" i="7"/>
  <c r="P92" i="7"/>
  <c r="O100" i="7"/>
  <c r="O103" i="7"/>
  <c r="M106" i="7"/>
  <c r="P106" i="7" s="1"/>
  <c r="O109" i="7"/>
  <c r="O113" i="7"/>
  <c r="O117" i="7"/>
  <c r="O123" i="7"/>
  <c r="O126" i="7"/>
  <c r="M129" i="7"/>
  <c r="P129" i="7" s="1"/>
  <c r="M140" i="7"/>
  <c r="O150" i="7"/>
  <c r="O152" i="7"/>
  <c r="O93" i="7"/>
  <c r="O97" i="7"/>
  <c r="O101" i="7"/>
  <c r="O102" i="7"/>
  <c r="M109" i="7"/>
  <c r="P109" i="7" s="1"/>
  <c r="M111" i="7"/>
  <c r="P111" i="7" s="1"/>
  <c r="M113" i="7"/>
  <c r="P113" i="7" s="1"/>
  <c r="M115" i="7"/>
  <c r="P115" i="7" s="1"/>
  <c r="M117" i="7"/>
  <c r="P117" i="7" s="1"/>
  <c r="M119" i="7"/>
  <c r="P119" i="7" s="1"/>
  <c r="O128" i="7"/>
  <c r="F78" i="7"/>
  <c r="G78" i="7" s="1"/>
  <c r="F80" i="7"/>
  <c r="G80" i="7" s="1"/>
  <c r="F82" i="7"/>
  <c r="G82" i="7" s="1"/>
  <c r="F84" i="7"/>
  <c r="G84" i="7" s="1"/>
  <c r="F86" i="7"/>
  <c r="G86" i="7" s="1"/>
  <c r="F88" i="7"/>
  <c r="G88" i="7" s="1"/>
  <c r="F90" i="7"/>
  <c r="G90" i="7" s="1"/>
  <c r="O94" i="7"/>
  <c r="O98" i="7"/>
  <c r="M102" i="7"/>
  <c r="P102" i="7" s="1"/>
  <c r="O122" i="7"/>
  <c r="M125" i="7"/>
  <c r="P125" i="7" s="1"/>
  <c r="O127" i="7"/>
  <c r="M149" i="7"/>
  <c r="P149" i="7" s="1"/>
  <c r="O151" i="7"/>
  <c r="F93" i="7"/>
  <c r="G93" i="7" s="1"/>
  <c r="F95" i="7"/>
  <c r="G95" i="7" s="1"/>
  <c r="F97" i="7"/>
  <c r="G97" i="7" s="1"/>
  <c r="M97" i="7" s="1"/>
  <c r="P97" i="7" s="1"/>
  <c r="F99" i="7"/>
  <c r="G99" i="7" s="1"/>
  <c r="F101" i="7"/>
  <c r="G101" i="7" s="1"/>
  <c r="P105" i="7"/>
  <c r="O111" i="7"/>
  <c r="O115" i="7"/>
  <c r="O119" i="7"/>
  <c r="F122" i="7"/>
  <c r="G122" i="7" s="1"/>
  <c r="M122" i="7" s="1"/>
  <c r="P122" i="7" s="1"/>
  <c r="F126" i="7"/>
  <c r="G126" i="7" s="1"/>
  <c r="M126" i="7" s="1"/>
  <c r="P126" i="7" s="1"/>
  <c r="G136" i="7"/>
  <c r="F150" i="7"/>
  <c r="G150" i="7" s="1"/>
  <c r="M150" i="7" s="1"/>
  <c r="P150" i="7" s="1"/>
  <c r="F154" i="7"/>
  <c r="G154" i="7" s="1"/>
  <c r="M154" i="7" s="1"/>
  <c r="F161" i="7"/>
  <c r="G161" i="7" s="1"/>
  <c r="M161" i="7" s="1"/>
  <c r="O107" i="7"/>
  <c r="O112" i="7"/>
  <c r="O116" i="7"/>
  <c r="O120" i="7"/>
  <c r="M123" i="7"/>
  <c r="P123" i="7" s="1"/>
  <c r="O125" i="7"/>
  <c r="M127" i="7"/>
  <c r="P127" i="7" s="1"/>
  <c r="O129" i="7"/>
  <c r="P140" i="7"/>
  <c r="O149" i="7"/>
  <c r="F151" i="7"/>
  <c r="G151" i="7" s="1"/>
  <c r="M151" i="7" s="1"/>
  <c r="P151" i="7" s="1"/>
  <c r="O153" i="7"/>
  <c r="F155" i="7"/>
  <c r="G155" i="7" s="1"/>
  <c r="M155" i="7" s="1"/>
  <c r="P155" i="7" s="1"/>
  <c r="M124" i="7"/>
  <c r="P124" i="7" s="1"/>
  <c r="M128" i="7"/>
  <c r="P128" i="7" s="1"/>
  <c r="D143" i="7"/>
  <c r="M148" i="7"/>
  <c r="P148" i="7" s="1"/>
  <c r="M152" i="7"/>
  <c r="P152" i="7" s="1"/>
  <c r="P153" i="7"/>
  <c r="O110" i="7"/>
  <c r="O114" i="7"/>
  <c r="O118" i="7"/>
  <c r="M121" i="7"/>
  <c r="P121" i="7" s="1"/>
  <c r="G143" i="7"/>
  <c r="M139" i="7"/>
  <c r="M141" i="7"/>
  <c r="P141" i="7" s="1"/>
  <c r="P154" i="7"/>
  <c r="M82" i="7" l="1"/>
  <c r="P82" i="7" s="1"/>
  <c r="O83" i="7"/>
  <c r="O32" i="7"/>
  <c r="O96" i="7"/>
  <c r="O77" i="7"/>
  <c r="M86" i="7"/>
  <c r="P86" i="7" s="1"/>
  <c r="D61" i="3"/>
  <c r="G158" i="7"/>
  <c r="M88" i="7"/>
  <c r="P88" i="7" s="1"/>
  <c r="D63" i="3"/>
  <c r="M78" i="7"/>
  <c r="P78" i="7" s="1"/>
  <c r="D54" i="3"/>
  <c r="M91" i="7"/>
  <c r="P91" i="7" s="1"/>
  <c r="D75" i="3"/>
  <c r="M62" i="7"/>
  <c r="P62" i="7" s="1"/>
  <c r="D38" i="3"/>
  <c r="M16" i="7"/>
  <c r="P16" i="7" s="1"/>
  <c r="D10" i="3"/>
  <c r="M24" i="7"/>
  <c r="P24" i="7" s="1"/>
  <c r="D18" i="3"/>
  <c r="M101" i="7"/>
  <c r="P101" i="7" s="1"/>
  <c r="D71" i="3"/>
  <c r="M95" i="7"/>
  <c r="P95" i="7" s="1"/>
  <c r="D66" i="3"/>
  <c r="M94" i="7"/>
  <c r="P94" i="7" s="1"/>
  <c r="D79" i="3"/>
  <c r="M73" i="7"/>
  <c r="P73" i="7" s="1"/>
  <c r="D49" i="3"/>
  <c r="M60" i="7"/>
  <c r="P60" i="7" s="1"/>
  <c r="D36" i="3"/>
  <c r="M72" i="7"/>
  <c r="P72" i="7" s="1"/>
  <c r="D48" i="3"/>
  <c r="M18" i="7"/>
  <c r="P18" i="7" s="1"/>
  <c r="D12" i="3"/>
  <c r="M15" i="7"/>
  <c r="P15" i="7" s="1"/>
  <c r="D9" i="3"/>
  <c r="M13" i="7"/>
  <c r="P13" i="7" s="1"/>
  <c r="D7" i="3"/>
  <c r="M25" i="7"/>
  <c r="P25" i="7" s="1"/>
  <c r="M23" i="7"/>
  <c r="P23" i="7" s="1"/>
  <c r="M22" i="7"/>
  <c r="P22" i="7" s="1"/>
  <c r="D16" i="3"/>
  <c r="M80" i="7"/>
  <c r="P80" i="7" s="1"/>
  <c r="D56" i="3"/>
  <c r="M69" i="7"/>
  <c r="P69" i="7" s="1"/>
  <c r="D45" i="3"/>
  <c r="M58" i="7"/>
  <c r="P58" i="7" s="1"/>
  <c r="D34" i="3"/>
  <c r="M68" i="7"/>
  <c r="P68" i="7" s="1"/>
  <c r="D44" i="3"/>
  <c r="M20" i="7"/>
  <c r="P20" i="7" s="1"/>
  <c r="D14" i="3"/>
  <c r="M99" i="7"/>
  <c r="P99" i="7" s="1"/>
  <c r="D69" i="3"/>
  <c r="M93" i="7"/>
  <c r="P93" i="7" s="1"/>
  <c r="D78" i="3"/>
  <c r="M90" i="7"/>
  <c r="P90" i="7" s="1"/>
  <c r="D76" i="3"/>
  <c r="M84" i="7"/>
  <c r="P84" i="7" s="1"/>
  <c r="D59" i="3"/>
  <c r="M98" i="7"/>
  <c r="P98" i="7" s="1"/>
  <c r="D68" i="3"/>
  <c r="M65" i="7"/>
  <c r="P65" i="7" s="1"/>
  <c r="D41" i="3"/>
  <c r="M64" i="7"/>
  <c r="P64" i="7" s="1"/>
  <c r="D40" i="3"/>
  <c r="D172" i="7"/>
  <c r="M17" i="7"/>
  <c r="P17" i="7" s="1"/>
  <c r="D11" i="3"/>
  <c r="M14" i="7"/>
  <c r="P14" i="7" s="1"/>
  <c r="D8" i="3"/>
  <c r="M26" i="7"/>
  <c r="P26" i="7" s="1"/>
  <c r="D20" i="3"/>
  <c r="M27" i="7"/>
  <c r="P27" i="7" s="1"/>
  <c r="D21" i="3"/>
  <c r="M163" i="7"/>
  <c r="P161" i="7"/>
  <c r="P163" i="7" s="1"/>
  <c r="M53" i="7"/>
  <c r="P53" i="7" s="1"/>
  <c r="M49" i="7"/>
  <c r="M63" i="7"/>
  <c r="P63" i="7" s="1"/>
  <c r="M158" i="7"/>
  <c r="G38" i="7"/>
  <c r="M12" i="7"/>
  <c r="M71" i="7"/>
  <c r="P71" i="7" s="1"/>
  <c r="M56" i="7"/>
  <c r="P56" i="7" s="1"/>
  <c r="M52" i="7"/>
  <c r="P52" i="7" s="1"/>
  <c r="M67" i="7"/>
  <c r="P67" i="7" s="1"/>
  <c r="M19" i="7"/>
  <c r="P19" i="7" s="1"/>
  <c r="M75" i="7"/>
  <c r="P75" i="7" s="1"/>
  <c r="O57" i="7"/>
  <c r="P158" i="7"/>
  <c r="G131" i="7"/>
  <c r="M66" i="7"/>
  <c r="P66" i="7" s="1"/>
  <c r="M55" i="7"/>
  <c r="P55" i="7" s="1"/>
  <c r="M51" i="7"/>
  <c r="P51" i="7" s="1"/>
  <c r="O28" i="7"/>
  <c r="M21" i="7"/>
  <c r="P21" i="7" s="1"/>
  <c r="O61" i="7"/>
  <c r="O59" i="7"/>
  <c r="M70" i="7"/>
  <c r="P70" i="7" s="1"/>
  <c r="P139" i="7"/>
  <c r="P143" i="7" s="1"/>
  <c r="M143" i="7"/>
  <c r="O104" i="7"/>
  <c r="M104" i="7"/>
  <c r="P104" i="7" s="1"/>
  <c r="G43" i="7"/>
  <c r="M41" i="7"/>
  <c r="M54" i="7"/>
  <c r="P54" i="7" s="1"/>
  <c r="M50" i="7"/>
  <c r="P50" i="7" s="1"/>
  <c r="M29" i="7"/>
  <c r="P29" i="7" s="1"/>
  <c r="M74" i="7"/>
  <c r="P74" i="7" s="1"/>
  <c r="M38" i="7" l="1"/>
  <c r="P12" i="7"/>
  <c r="P38" i="7" s="1"/>
  <c r="M131" i="7"/>
  <c r="P49" i="7"/>
  <c r="P131" i="7" s="1"/>
  <c r="P41" i="7"/>
  <c r="P43" i="7" s="1"/>
  <c r="M43" i="7"/>
  <c r="M167" i="7" l="1"/>
  <c r="M168" i="7" s="1"/>
  <c r="M170" i="7" s="1"/>
  <c r="O2" i="7" s="1"/>
  <c r="P169" i="7"/>
  <c r="G40" i="3" l="1"/>
  <c r="G13" i="3"/>
  <c r="G64" i="3" l="1"/>
  <c r="G62" i="3"/>
  <c r="G60" i="3"/>
  <c r="G59" i="3"/>
  <c r="G57" i="3"/>
  <c r="G50" i="3"/>
  <c r="G45" i="3"/>
  <c r="G32" i="3"/>
  <c r="G31" i="3"/>
  <c r="G16" i="3"/>
  <c r="G14" i="3"/>
  <c r="M18" i="3" l="1"/>
  <c r="M64" i="3" l="1"/>
  <c r="M63" i="3"/>
  <c r="M62" i="3"/>
  <c r="M60" i="3"/>
  <c r="M59" i="3"/>
  <c r="M57" i="3"/>
  <c r="M55" i="3"/>
  <c r="M53" i="3"/>
  <c r="M52" i="3"/>
  <c r="M51" i="3"/>
  <c r="M50" i="3"/>
  <c r="M48" i="3"/>
  <c r="M47" i="3"/>
  <c r="M45" i="3"/>
  <c r="M42" i="3"/>
  <c r="M41" i="3"/>
  <c r="M40" i="3"/>
  <c r="M38" i="3"/>
  <c r="M37" i="3"/>
  <c r="M34" i="3"/>
  <c r="M33" i="3"/>
  <c r="M32" i="3"/>
  <c r="M28" i="3"/>
  <c r="G91" i="3"/>
  <c r="G90" i="3"/>
  <c r="G89" i="3"/>
  <c r="G88" i="3"/>
  <c r="G87" i="3"/>
  <c r="G86" i="3"/>
  <c r="M7" i="3"/>
  <c r="M11" i="3"/>
  <c r="M10" i="3"/>
  <c r="M9" i="3"/>
  <c r="M8" i="3"/>
  <c r="M23" i="3"/>
  <c r="M20" i="3"/>
  <c r="M80" i="3"/>
  <c r="M78" i="3"/>
  <c r="M79" i="3"/>
  <c r="M77" i="3"/>
  <c r="M76" i="3"/>
  <c r="M75" i="3"/>
  <c r="M27" i="3"/>
  <c r="M25" i="3"/>
  <c r="M73" i="3"/>
  <c r="M69" i="3"/>
  <c r="M70" i="3"/>
  <c r="M71" i="3"/>
  <c r="M72" i="3"/>
  <c r="M68" i="3"/>
  <c r="M67" i="3"/>
  <c r="M66" i="3"/>
  <c r="M65" i="3"/>
  <c r="M61" i="3"/>
  <c r="M58" i="3"/>
  <c r="M56" i="3"/>
  <c r="M54" i="3"/>
  <c r="M49" i="3"/>
  <c r="M44" i="3"/>
  <c r="M39" i="3"/>
  <c r="M36" i="3"/>
  <c r="M35" i="3"/>
  <c r="M16" i="3"/>
  <c r="M14" i="3"/>
  <c r="M13" i="3"/>
  <c r="M30" i="3"/>
  <c r="M29" i="3"/>
  <c r="M22" i="3"/>
  <c r="M21" i="3"/>
  <c r="M19" i="3"/>
  <c r="M17" i="3"/>
  <c r="M15" i="3"/>
  <c r="M12" i="3"/>
  <c r="G80" i="3"/>
  <c r="G79" i="3"/>
  <c r="G78" i="3"/>
  <c r="G77" i="3"/>
  <c r="G76" i="3"/>
  <c r="G75" i="3"/>
  <c r="G73" i="3"/>
  <c r="G72" i="3"/>
  <c r="G71" i="3"/>
  <c r="G70" i="3"/>
  <c r="G69" i="3"/>
  <c r="G68" i="3"/>
  <c r="G66" i="3"/>
  <c r="G65" i="3"/>
  <c r="G63" i="3"/>
  <c r="G61" i="3"/>
  <c r="G58" i="3"/>
  <c r="G56" i="3"/>
  <c r="G55" i="3"/>
  <c r="G54" i="3"/>
  <c r="G53" i="3"/>
  <c r="G52" i="3"/>
  <c r="G51" i="3"/>
  <c r="G49" i="3"/>
  <c r="G48" i="3"/>
  <c r="G47" i="3"/>
  <c r="G44" i="3"/>
  <c r="G42" i="3"/>
  <c r="G41" i="3"/>
  <c r="G39" i="3"/>
  <c r="G38" i="3"/>
  <c r="G37" i="3"/>
  <c r="G36" i="3"/>
  <c r="G35" i="3"/>
  <c r="G34" i="3"/>
  <c r="G33" i="3"/>
  <c r="G30" i="3"/>
  <c r="G29" i="3"/>
  <c r="G28" i="3"/>
  <c r="G27" i="3"/>
  <c r="G25" i="3"/>
  <c r="G23" i="3" l="1"/>
  <c r="G20" i="3"/>
  <c r="G19" i="3"/>
  <c r="G18" i="3"/>
  <c r="G17" i="3"/>
  <c r="G15" i="3"/>
  <c r="G12" i="3"/>
  <c r="G11" i="3"/>
  <c r="G10" i="3"/>
  <c r="G9" i="3"/>
  <c r="G8" i="3"/>
  <c r="G7" i="3"/>
  <c r="G6" i="3"/>
  <c r="E22" i="6" l="1"/>
  <c r="D22" i="6"/>
  <c r="C22" i="6"/>
  <c r="B22" i="6"/>
  <c r="P11" i="3"/>
  <c r="P8" i="3"/>
  <c r="P7" i="3"/>
  <c r="P10" i="3" l="1"/>
  <c r="P12" i="3"/>
  <c r="P56" i="3"/>
  <c r="G22" i="6"/>
  <c r="H22" i="6"/>
  <c r="B60" i="2"/>
  <c r="P15" i="3" l="1"/>
  <c r="P60" i="3"/>
  <c r="P62" i="3"/>
  <c r="P14" i="3"/>
  <c r="P9" i="3"/>
  <c r="P57" i="3"/>
  <c r="P13" i="3"/>
  <c r="P61" i="3"/>
  <c r="P63" i="3"/>
  <c r="P64" i="3"/>
  <c r="P16" i="3" l="1"/>
  <c r="P59" i="3"/>
  <c r="D24" i="3"/>
  <c r="P58" i="3"/>
  <c r="M91" i="3"/>
  <c r="M90" i="3"/>
  <c r="M89" i="3"/>
  <c r="M88" i="3"/>
  <c r="M87" i="3"/>
  <c r="M86" i="3"/>
  <c r="F91" i="3"/>
  <c r="F90" i="3"/>
  <c r="F89" i="3"/>
  <c r="F88" i="3"/>
  <c r="H89" i="3" l="1"/>
  <c r="H91" i="3"/>
  <c r="H88" i="3"/>
  <c r="H90" i="3"/>
  <c r="D98" i="3" l="1"/>
  <c r="D99" i="3" s="1"/>
  <c r="B55" i="2" l="1"/>
  <c r="C54" i="2"/>
  <c r="G56" i="2"/>
  <c r="G58" i="2" s="1"/>
  <c r="C53" i="2"/>
  <c r="B12" i="2"/>
  <c r="B11" i="2"/>
  <c r="H11" i="2" s="1"/>
  <c r="B10" i="2"/>
  <c r="B9" i="2"/>
  <c r="B8" i="2"/>
  <c r="B7" i="2"/>
  <c r="B6" i="2"/>
  <c r="E46" i="3" l="1"/>
  <c r="F46" i="3" s="1"/>
  <c r="E41" i="3"/>
  <c r="F41" i="3" s="1"/>
  <c r="P41" i="3" s="1"/>
  <c r="E64" i="3"/>
  <c r="F64" i="3" s="1"/>
  <c r="E63" i="3"/>
  <c r="F63" i="3" s="1"/>
  <c r="E55" i="3"/>
  <c r="F55" i="3" s="1"/>
  <c r="P55" i="3" s="1"/>
  <c r="E33" i="3"/>
  <c r="F33" i="3" s="1"/>
  <c r="P33" i="3" s="1"/>
  <c r="E51" i="3"/>
  <c r="F51" i="3" s="1"/>
  <c r="P51" i="3" s="1"/>
  <c r="E37" i="3"/>
  <c r="F37" i="3" s="1"/>
  <c r="P37" i="3" s="1"/>
  <c r="E26" i="3"/>
  <c r="F26" i="3" s="1"/>
  <c r="E40" i="3"/>
  <c r="F40" i="3" s="1"/>
  <c r="P40" i="3" s="1"/>
  <c r="E13" i="3"/>
  <c r="E59" i="3"/>
  <c r="F59" i="3" s="1"/>
  <c r="H59" i="3" s="1"/>
  <c r="E30" i="3"/>
  <c r="F30" i="3" s="1"/>
  <c r="P30" i="3" s="1"/>
  <c r="E14" i="3"/>
  <c r="E50" i="3"/>
  <c r="F50" i="3" s="1"/>
  <c r="P50" i="3" s="1"/>
  <c r="E12" i="3"/>
  <c r="E62" i="3"/>
  <c r="F62" i="3" s="1"/>
  <c r="E57" i="3"/>
  <c r="F57" i="3" s="1"/>
  <c r="E32" i="3"/>
  <c r="F32" i="3" s="1"/>
  <c r="P32" i="3" s="1"/>
  <c r="E60" i="3"/>
  <c r="F60" i="3" s="1"/>
  <c r="E56" i="3"/>
  <c r="F56" i="3" s="1"/>
  <c r="E45" i="3"/>
  <c r="F45" i="3" s="1"/>
  <c r="P45" i="3" s="1"/>
  <c r="E31" i="3"/>
  <c r="F31" i="3" s="1"/>
  <c r="P31" i="3" s="1"/>
  <c r="E16" i="3"/>
  <c r="E61" i="3"/>
  <c r="F61" i="3" s="1"/>
  <c r="E44" i="3"/>
  <c r="F44" i="3" s="1"/>
  <c r="P44" i="3" s="1"/>
  <c r="E25" i="3"/>
  <c r="F25" i="3" s="1"/>
  <c r="P25" i="3" s="1"/>
  <c r="E87" i="3"/>
  <c r="F87" i="3" s="1"/>
  <c r="E58" i="3"/>
  <c r="F58" i="3" s="1"/>
  <c r="E39" i="3"/>
  <c r="F39" i="3" s="1"/>
  <c r="P39" i="3" s="1"/>
  <c r="E49" i="3"/>
  <c r="F49" i="3" s="1"/>
  <c r="P49" i="3" s="1"/>
  <c r="E86" i="3"/>
  <c r="F86" i="3" s="1"/>
  <c r="E54" i="3"/>
  <c r="F54" i="3" s="1"/>
  <c r="P54" i="3" s="1"/>
  <c r="E36" i="3"/>
  <c r="F36" i="3" s="1"/>
  <c r="P36" i="3" s="1"/>
  <c r="H10" i="2"/>
  <c r="C6" i="2"/>
  <c r="E53" i="3"/>
  <c r="F53" i="3" s="1"/>
  <c r="E67" i="3"/>
  <c r="F67" i="3" s="1"/>
  <c r="P67" i="3" s="1"/>
  <c r="E72" i="3"/>
  <c r="F72" i="3" s="1"/>
  <c r="P72" i="3" s="1"/>
  <c r="E68" i="3"/>
  <c r="F68" i="3" s="1"/>
  <c r="P68" i="3" s="1"/>
  <c r="E77" i="3"/>
  <c r="F77" i="3" s="1"/>
  <c r="P77" i="3" s="1"/>
  <c r="E29" i="3"/>
  <c r="F29" i="3" s="1"/>
  <c r="P29" i="3" s="1"/>
  <c r="E69" i="3"/>
  <c r="F69" i="3" s="1"/>
  <c r="P69" i="3" s="1"/>
  <c r="E66" i="3"/>
  <c r="F66" i="3" s="1"/>
  <c r="P66" i="3" s="1"/>
  <c r="E71" i="3"/>
  <c r="F71" i="3" s="1"/>
  <c r="P71" i="3" s="1"/>
  <c r="E80" i="3"/>
  <c r="F80" i="3" s="1"/>
  <c r="P80" i="3" s="1"/>
  <c r="E76" i="3"/>
  <c r="F76" i="3" s="1"/>
  <c r="P76" i="3" s="1"/>
  <c r="E27" i="3"/>
  <c r="F27" i="3" s="1"/>
  <c r="E78" i="3"/>
  <c r="F78" i="3" s="1"/>
  <c r="P78" i="3" s="1"/>
  <c r="E65" i="3"/>
  <c r="F65" i="3" s="1"/>
  <c r="P65" i="3" s="1"/>
  <c r="E70" i="3"/>
  <c r="F70" i="3" s="1"/>
  <c r="P70" i="3" s="1"/>
  <c r="E79" i="3"/>
  <c r="F79" i="3" s="1"/>
  <c r="P79" i="3" s="1"/>
  <c r="E75" i="3"/>
  <c r="F75" i="3" s="1"/>
  <c r="P75" i="3" s="1"/>
  <c r="E73" i="3"/>
  <c r="F73" i="3" s="1"/>
  <c r="E35" i="3"/>
  <c r="F35" i="3" s="1"/>
  <c r="P35" i="3" s="1"/>
  <c r="H7" i="2"/>
  <c r="E52" i="3"/>
  <c r="F52" i="3" s="1"/>
  <c r="P52" i="3" s="1"/>
  <c r="E48" i="3"/>
  <c r="F48" i="3" s="1"/>
  <c r="P48" i="3" s="1"/>
  <c r="E7" i="2"/>
  <c r="E8" i="2"/>
  <c r="E43" i="3"/>
  <c r="F43" i="3" s="1"/>
  <c r="E42" i="3"/>
  <c r="F42" i="3" s="1"/>
  <c r="P42" i="3" s="1"/>
  <c r="E47" i="3"/>
  <c r="F47" i="3" s="1"/>
  <c r="P47" i="3" s="1"/>
  <c r="E38" i="3"/>
  <c r="F38" i="3" s="1"/>
  <c r="P38" i="3" s="1"/>
  <c r="E28" i="3"/>
  <c r="F28" i="3" s="1"/>
  <c r="P28" i="3" s="1"/>
  <c r="E34" i="3"/>
  <c r="F34" i="3" s="1"/>
  <c r="P34" i="3" s="1"/>
  <c r="D55" i="2"/>
  <c r="S89" i="3" s="1"/>
  <c r="R89" i="3"/>
  <c r="F6" i="2"/>
  <c r="E23" i="3"/>
  <c r="E19" i="3"/>
  <c r="E22" i="3"/>
  <c r="E18" i="3"/>
  <c r="E21" i="3"/>
  <c r="E17" i="3"/>
  <c r="E20" i="3"/>
  <c r="E7" i="3"/>
  <c r="E10" i="3"/>
  <c r="E6" i="3"/>
  <c r="E15" i="3"/>
  <c r="E9" i="3"/>
  <c r="E8" i="3"/>
  <c r="E11" i="3"/>
  <c r="E6" i="2"/>
  <c r="H6" i="2"/>
  <c r="D6" i="2"/>
  <c r="F9" i="2"/>
  <c r="F7" i="2"/>
  <c r="G9" i="2"/>
  <c r="G8" i="2"/>
  <c r="H9" i="2"/>
  <c r="D12" i="2"/>
  <c r="F8" i="2"/>
  <c r="C7" i="2"/>
  <c r="G7" i="2"/>
  <c r="G6" i="2"/>
  <c r="D7" i="2"/>
  <c r="H8" i="2"/>
  <c r="G10" i="2"/>
  <c r="C32" i="4"/>
  <c r="D32" i="4" s="1"/>
  <c r="B58" i="2"/>
  <c r="B59" i="2" s="1"/>
  <c r="B61" i="2" s="1"/>
  <c r="C55" i="2"/>
  <c r="C11" i="2"/>
  <c r="C10" i="2"/>
  <c r="E12" i="2"/>
  <c r="C8" i="2"/>
  <c r="D9" i="2"/>
  <c r="E10" i="2"/>
  <c r="F11" i="2"/>
  <c r="G12" i="2"/>
  <c r="C12" i="2"/>
  <c r="D11" i="2"/>
  <c r="C9" i="2"/>
  <c r="E11" i="2"/>
  <c r="F12" i="2"/>
  <c r="D8" i="2"/>
  <c r="E9" i="2"/>
  <c r="F10" i="2"/>
  <c r="G11" i="2"/>
  <c r="H12" i="2"/>
  <c r="D10" i="2"/>
  <c r="P73" i="3" l="1"/>
  <c r="H73" i="3"/>
  <c r="P43" i="3"/>
  <c r="H43" i="3"/>
  <c r="P27" i="3"/>
  <c r="H27" i="3"/>
  <c r="P53" i="3"/>
  <c r="H53" i="3"/>
  <c r="H26" i="3"/>
  <c r="P26" i="3"/>
  <c r="P46" i="3"/>
  <c r="H46" i="3"/>
  <c r="F13" i="3"/>
  <c r="H13" i="3" s="1"/>
  <c r="H86" i="3"/>
  <c r="H87" i="3"/>
  <c r="F19" i="3" l="1"/>
  <c r="H35" i="3"/>
  <c r="H49" i="3"/>
  <c r="H34" i="3"/>
  <c r="D81" i="3"/>
  <c r="D82" i="3" s="1"/>
  <c r="H19" i="3" l="1"/>
  <c r="P19" i="3"/>
  <c r="F10" i="3"/>
  <c r="H10" i="3" s="1"/>
  <c r="H57" i="3"/>
  <c r="H63" i="3"/>
  <c r="H60" i="3"/>
  <c r="H62" i="3"/>
  <c r="H64" i="3"/>
  <c r="H61" i="3"/>
  <c r="H58" i="3"/>
  <c r="H56" i="3"/>
  <c r="H28" i="3"/>
  <c r="H50" i="3"/>
  <c r="H48" i="3"/>
  <c r="H31" i="3"/>
  <c r="F7" i="3"/>
  <c r="H7" i="3" s="1"/>
  <c r="F22" i="3"/>
  <c r="F9" i="3"/>
  <c r="H9" i="3" s="1"/>
  <c r="H79" i="3"/>
  <c r="H76" i="3"/>
  <c r="F18" i="3"/>
  <c r="H54" i="3"/>
  <c r="F20" i="3"/>
  <c r="H33" i="3"/>
  <c r="H72" i="3"/>
  <c r="H75" i="3"/>
  <c r="H65" i="3"/>
  <c r="H41" i="3"/>
  <c r="H66" i="3"/>
  <c r="H32" i="3"/>
  <c r="H47" i="3"/>
  <c r="H29" i="3"/>
  <c r="H30" i="3"/>
  <c r="F21" i="3"/>
  <c r="H42" i="3"/>
  <c r="H36" i="3"/>
  <c r="H45" i="3"/>
  <c r="H44" i="3"/>
  <c r="H38" i="3"/>
  <c r="H70" i="3"/>
  <c r="H40" i="3"/>
  <c r="H39" i="3"/>
  <c r="H25" i="3"/>
  <c r="F16" i="3"/>
  <c r="H16" i="3" s="1"/>
  <c r="H51" i="3"/>
  <c r="F6" i="3"/>
  <c r="F12" i="3"/>
  <c r="H12" i="3" s="1"/>
  <c r="H71" i="3"/>
  <c r="F17" i="3"/>
  <c r="H37" i="3"/>
  <c r="H80" i="3"/>
  <c r="F14" i="3"/>
  <c r="H14" i="3" s="1"/>
  <c r="H55" i="3"/>
  <c r="H78" i="3"/>
  <c r="F23" i="3"/>
  <c r="H77" i="3"/>
  <c r="H68" i="3"/>
  <c r="F15" i="3"/>
  <c r="H15" i="3" s="1"/>
  <c r="H67" i="3"/>
  <c r="F11" i="3"/>
  <c r="H11" i="3" s="1"/>
  <c r="F8" i="3"/>
  <c r="H8" i="3" s="1"/>
  <c r="H69" i="3"/>
  <c r="H18" i="3" l="1"/>
  <c r="P18" i="3"/>
  <c r="H21" i="3"/>
  <c r="P21" i="3"/>
  <c r="H20" i="3"/>
  <c r="P20" i="3"/>
  <c r="H23" i="3"/>
  <c r="P23" i="3"/>
  <c r="H17" i="3"/>
  <c r="P17" i="3"/>
  <c r="H22" i="3"/>
  <c r="P22" i="3"/>
  <c r="F24" i="3"/>
  <c r="F81" i="3"/>
  <c r="H6" i="3"/>
  <c r="H52" i="3"/>
  <c r="H81" i="3" s="1"/>
  <c r="P81" i="3"/>
  <c r="H24" i="3" l="1"/>
  <c r="H82" i="3" s="1"/>
  <c r="D101" i="3" s="1"/>
  <c r="P24" i="3"/>
  <c r="P82" i="3" s="1"/>
  <c r="F82" i="3"/>
  <c r="D100" i="3" s="1"/>
  <c r="AA26" i="3" l="1"/>
  <c r="AA43" i="3"/>
  <c r="AA46" i="3"/>
  <c r="AA74" i="3"/>
  <c r="AA40" i="3"/>
  <c r="AA13" i="3"/>
  <c r="AA67" i="3"/>
  <c r="AA60" i="3"/>
  <c r="AA64" i="3"/>
  <c r="AA57" i="3"/>
  <c r="AA16" i="3"/>
  <c r="AA14" i="3"/>
  <c r="AA32" i="3"/>
  <c r="AA50" i="3"/>
  <c r="AA45" i="3"/>
  <c r="AA59" i="3"/>
  <c r="AA62" i="3"/>
  <c r="AA31" i="3"/>
  <c r="AA30" i="3"/>
  <c r="AA35" i="3"/>
  <c r="AA56" i="3"/>
  <c r="AA79" i="3"/>
  <c r="AA80" i="3"/>
  <c r="AA49" i="3"/>
  <c r="AA72" i="3"/>
  <c r="AA66" i="3"/>
  <c r="AA34" i="3"/>
  <c r="AA55" i="3"/>
  <c r="AA78" i="3"/>
  <c r="AA48" i="3"/>
  <c r="AA39" i="3"/>
  <c r="AA65" i="3"/>
  <c r="AA53" i="3"/>
  <c r="AA33" i="3"/>
  <c r="AA54" i="3"/>
  <c r="AA77" i="3"/>
  <c r="AA76" i="3"/>
  <c r="AA38" i="3"/>
  <c r="AA63" i="3"/>
  <c r="AA52" i="3"/>
  <c r="AA75" i="3"/>
  <c r="AA58" i="3"/>
  <c r="AA68" i="3"/>
  <c r="AA28" i="3"/>
  <c r="AA73" i="3"/>
  <c r="AA71" i="3"/>
  <c r="AA47" i="3"/>
  <c r="AA70" i="3"/>
  <c r="AA36" i="3"/>
  <c r="AA37" i="3"/>
  <c r="AA61" i="3"/>
  <c r="AA25" i="3"/>
  <c r="AA27" i="3"/>
  <c r="AA44" i="3"/>
  <c r="AA69" i="3"/>
  <c r="AA41" i="3"/>
  <c r="AA29" i="3"/>
  <c r="AA42" i="3"/>
  <c r="AA51" i="3"/>
  <c r="AA10" i="3"/>
  <c r="AA17" i="3"/>
  <c r="AA8" i="3"/>
  <c r="AA9" i="3"/>
  <c r="AA19" i="3"/>
  <c r="AA18" i="3"/>
  <c r="AA21" i="3"/>
  <c r="AA7" i="3"/>
  <c r="AA12" i="3"/>
  <c r="AA15" i="3"/>
  <c r="AA22" i="3"/>
  <c r="AA11" i="3"/>
  <c r="AA20" i="3"/>
  <c r="AA6" i="3"/>
  <c r="AA23" i="3"/>
  <c r="I46" i="3"/>
  <c r="J46" i="3" s="1"/>
  <c r="K46" i="3" s="1"/>
  <c r="I74" i="3"/>
  <c r="I26" i="3"/>
  <c r="J26" i="3" s="1"/>
  <c r="K26" i="3" s="1"/>
  <c r="I43" i="3"/>
  <c r="X43" i="3" s="1"/>
  <c r="I73" i="3"/>
  <c r="I59" i="3"/>
  <c r="X59" i="3" s="1"/>
  <c r="I27" i="3"/>
  <c r="X27" i="3" s="1"/>
  <c r="I53" i="3"/>
  <c r="X53" i="3" s="1"/>
  <c r="I86" i="3"/>
  <c r="I13" i="3"/>
  <c r="X13" i="3" s="1"/>
  <c r="I14" i="3"/>
  <c r="X14" i="3" s="1"/>
  <c r="I68" i="3"/>
  <c r="X68" i="3" s="1"/>
  <c r="I28" i="3"/>
  <c r="X28" i="3" s="1"/>
  <c r="I38" i="3"/>
  <c r="X38" i="3" s="1"/>
  <c r="I12" i="3"/>
  <c r="X12" i="3" s="1"/>
  <c r="I62" i="3"/>
  <c r="I34" i="3"/>
  <c r="X34" i="3" s="1"/>
  <c r="I80" i="3"/>
  <c r="X80" i="3" s="1"/>
  <c r="I31" i="3"/>
  <c r="X31" i="3" s="1"/>
  <c r="I44" i="3"/>
  <c r="X44" i="3" s="1"/>
  <c r="I54" i="3"/>
  <c r="X54" i="3" s="1"/>
  <c r="I55" i="3"/>
  <c r="X55" i="3" s="1"/>
  <c r="I41" i="3"/>
  <c r="X41" i="3" s="1"/>
  <c r="I10" i="3"/>
  <c r="X10" i="3" s="1"/>
  <c r="I71" i="3"/>
  <c r="X71" i="3" s="1"/>
  <c r="I66" i="3"/>
  <c r="X66" i="3" s="1"/>
  <c r="I37" i="3"/>
  <c r="X37" i="3" s="1"/>
  <c r="I42" i="3"/>
  <c r="X42" i="3" s="1"/>
  <c r="I60" i="3"/>
  <c r="X60" i="3" s="1"/>
  <c r="I21" i="3"/>
  <c r="X21" i="3" s="1"/>
  <c r="I47" i="3"/>
  <c r="X47" i="3" s="1"/>
  <c r="I17" i="3"/>
  <c r="X17" i="3" s="1"/>
  <c r="I58" i="3"/>
  <c r="X58" i="3" s="1"/>
  <c r="I61" i="3"/>
  <c r="X61" i="3" s="1"/>
  <c r="I75" i="3"/>
  <c r="X75" i="3" s="1"/>
  <c r="I15" i="3"/>
  <c r="X15" i="3" s="1"/>
  <c r="I77" i="3"/>
  <c r="X77" i="3" s="1"/>
  <c r="I63" i="3"/>
  <c r="X63" i="3" s="1"/>
  <c r="I48" i="3"/>
  <c r="X48" i="3" s="1"/>
  <c r="I35" i="3"/>
  <c r="X35" i="3" s="1"/>
  <c r="I18" i="3"/>
  <c r="X18" i="3" s="1"/>
  <c r="I11" i="3"/>
  <c r="X11" i="3" s="1"/>
  <c r="I72" i="3"/>
  <c r="X72" i="3" s="1"/>
  <c r="I7" i="3"/>
  <c r="X7" i="3" s="1"/>
  <c r="I67" i="3"/>
  <c r="X67" i="3" s="1"/>
  <c r="I45" i="3"/>
  <c r="X45" i="3" s="1"/>
  <c r="I32" i="3"/>
  <c r="X32" i="3" s="1"/>
  <c r="I16" i="3"/>
  <c r="X16" i="3" s="1"/>
  <c r="I78" i="3"/>
  <c r="X78" i="3" s="1"/>
  <c r="I64" i="3"/>
  <c r="X64" i="3" s="1"/>
  <c r="I49" i="3"/>
  <c r="X49" i="3" s="1"/>
  <c r="I36" i="3"/>
  <c r="X36" i="3" s="1"/>
  <c r="I29" i="3"/>
  <c r="X29" i="3" s="1"/>
  <c r="I87" i="3"/>
  <c r="I6" i="3"/>
  <c r="I76" i="3"/>
  <c r="X76" i="3" s="1"/>
  <c r="I39" i="3"/>
  <c r="X39" i="3" s="1"/>
  <c r="I23" i="3"/>
  <c r="X23" i="3" s="1"/>
  <c r="I8" i="3"/>
  <c r="X8" i="3" s="1"/>
  <c r="I69" i="3"/>
  <c r="X69" i="3" s="1"/>
  <c r="I56" i="3"/>
  <c r="X56" i="3" s="1"/>
  <c r="I22" i="3"/>
  <c r="X22" i="3" s="1"/>
  <c r="I19" i="3"/>
  <c r="X19" i="3" s="1"/>
  <c r="I20" i="3"/>
  <c r="X20" i="3" s="1"/>
  <c r="I33" i="3"/>
  <c r="X33" i="3" s="1"/>
  <c r="I79" i="3"/>
  <c r="X79" i="3" s="1"/>
  <c r="I65" i="3"/>
  <c r="X65" i="3" s="1"/>
  <c r="I50" i="3"/>
  <c r="X50" i="3" s="1"/>
  <c r="I30" i="3"/>
  <c r="X30" i="3" s="1"/>
  <c r="I52" i="3"/>
  <c r="X52" i="3" s="1"/>
  <c r="I40" i="3"/>
  <c r="X40" i="3" s="1"/>
  <c r="I25" i="3"/>
  <c r="I9" i="3"/>
  <c r="X9" i="3" s="1"/>
  <c r="I70" i="3"/>
  <c r="X70" i="3" s="1"/>
  <c r="I57" i="3"/>
  <c r="X57" i="3" s="1"/>
  <c r="I51" i="3"/>
  <c r="X51" i="3" s="1"/>
  <c r="I89" i="3"/>
  <c r="J89" i="3" s="1"/>
  <c r="K89" i="3" s="1"/>
  <c r="I91" i="3"/>
  <c r="J91" i="3" s="1"/>
  <c r="K91" i="3" s="1"/>
  <c r="I88" i="3"/>
  <c r="J88" i="3" s="1"/>
  <c r="K88" i="3" s="1"/>
  <c r="I90" i="3"/>
  <c r="J90" i="3" s="1"/>
  <c r="K90" i="3" s="1"/>
  <c r="L46" i="3" l="1"/>
  <c r="L26" i="3"/>
  <c r="X46" i="3"/>
  <c r="J74" i="3"/>
  <c r="K74" i="3" s="1"/>
  <c r="L74" i="3" s="1"/>
  <c r="N74" i="3" s="1"/>
  <c r="X74" i="3"/>
  <c r="X26" i="3"/>
  <c r="J43" i="3"/>
  <c r="K43" i="3" s="1"/>
  <c r="J25" i="3"/>
  <c r="K25" i="3" s="1"/>
  <c r="L25" i="3" s="1"/>
  <c r="AB25" i="3" s="1"/>
  <c r="X25" i="3"/>
  <c r="J6" i="3"/>
  <c r="K6" i="3" s="1"/>
  <c r="X6" i="3"/>
  <c r="J62" i="3"/>
  <c r="K62" i="3" s="1"/>
  <c r="L62" i="3" s="1"/>
  <c r="AB62" i="3" s="1"/>
  <c r="X62" i="3"/>
  <c r="J73" i="3"/>
  <c r="K73" i="3" s="1"/>
  <c r="L73" i="3" s="1"/>
  <c r="X73" i="3"/>
  <c r="J86" i="3"/>
  <c r="K86" i="3" s="1"/>
  <c r="J87" i="3"/>
  <c r="K87" i="3" s="1"/>
  <c r="J49" i="3"/>
  <c r="K49" i="3" s="1"/>
  <c r="L49" i="3" s="1"/>
  <c r="AB49" i="3" s="1"/>
  <c r="J72" i="3"/>
  <c r="K72" i="3" s="1"/>
  <c r="J47" i="3"/>
  <c r="K47" i="3" s="1"/>
  <c r="J37" i="3"/>
  <c r="K37" i="3" s="1"/>
  <c r="J54" i="3"/>
  <c r="K54" i="3" s="1"/>
  <c r="L54" i="3" s="1"/>
  <c r="AB54" i="3" s="1"/>
  <c r="J80" i="3"/>
  <c r="K80" i="3" s="1"/>
  <c r="J38" i="3"/>
  <c r="K38" i="3" s="1"/>
  <c r="J13" i="3"/>
  <c r="K13" i="3" s="1"/>
  <c r="L13" i="3" s="1"/>
  <c r="J59" i="3"/>
  <c r="K59" i="3" s="1"/>
  <c r="J52" i="3"/>
  <c r="K52" i="3" s="1"/>
  <c r="J48" i="3"/>
  <c r="K48" i="3" s="1"/>
  <c r="J65" i="3"/>
  <c r="K65" i="3" s="1"/>
  <c r="J22" i="3"/>
  <c r="K22" i="3" s="1"/>
  <c r="J23" i="3"/>
  <c r="K23" i="3" s="1"/>
  <c r="L23" i="3" s="1"/>
  <c r="AB23" i="3" s="1"/>
  <c r="J64" i="3"/>
  <c r="K64" i="3" s="1"/>
  <c r="J63" i="3"/>
  <c r="K63" i="3" s="1"/>
  <c r="J21" i="3"/>
  <c r="K21" i="3" s="1"/>
  <c r="L21" i="3" s="1"/>
  <c r="AB21" i="3" s="1"/>
  <c r="J66" i="3"/>
  <c r="K66" i="3" s="1"/>
  <c r="J41" i="3"/>
  <c r="K41" i="3" s="1"/>
  <c r="J44" i="3"/>
  <c r="K44" i="3" s="1"/>
  <c r="J34" i="3"/>
  <c r="K34" i="3" s="1"/>
  <c r="J28" i="3"/>
  <c r="K28" i="3" s="1"/>
  <c r="J9" i="3"/>
  <c r="K9" i="3" s="1"/>
  <c r="L9" i="3" s="1"/>
  <c r="AB9" i="3" s="1"/>
  <c r="J33" i="3"/>
  <c r="K33" i="3" s="1"/>
  <c r="J45" i="3"/>
  <c r="K45" i="3" s="1"/>
  <c r="L45" i="3" s="1"/>
  <c r="AB45" i="3" s="1"/>
  <c r="J61" i="3"/>
  <c r="K61" i="3" s="1"/>
  <c r="L61" i="3" s="1"/>
  <c r="AB61" i="3" s="1"/>
  <c r="J40" i="3"/>
  <c r="K40" i="3" s="1"/>
  <c r="L40" i="3" s="1"/>
  <c r="AB40" i="3" s="1"/>
  <c r="J79" i="3"/>
  <c r="K79" i="3" s="1"/>
  <c r="J56" i="3"/>
  <c r="K56" i="3" s="1"/>
  <c r="L56" i="3" s="1"/>
  <c r="AB56" i="3" s="1"/>
  <c r="J39" i="3"/>
  <c r="K39" i="3" s="1"/>
  <c r="L39" i="3" s="1"/>
  <c r="AB39" i="3" s="1"/>
  <c r="J29" i="3"/>
  <c r="K29" i="3" s="1"/>
  <c r="J78" i="3"/>
  <c r="K78" i="3" s="1"/>
  <c r="J67" i="3"/>
  <c r="K67" i="3" s="1"/>
  <c r="J18" i="3"/>
  <c r="K18" i="3" s="1"/>
  <c r="J77" i="3"/>
  <c r="K77" i="3" s="1"/>
  <c r="J58" i="3"/>
  <c r="K58" i="3" s="1"/>
  <c r="L58" i="3" s="1"/>
  <c r="AB58" i="3" s="1"/>
  <c r="J60" i="3"/>
  <c r="K60" i="3" s="1"/>
  <c r="J71" i="3"/>
  <c r="K71" i="3" s="1"/>
  <c r="L71" i="3" s="1"/>
  <c r="AB71" i="3" s="1"/>
  <c r="J55" i="3"/>
  <c r="K55" i="3" s="1"/>
  <c r="J31" i="3"/>
  <c r="K31" i="3" s="1"/>
  <c r="J68" i="3"/>
  <c r="K68" i="3" s="1"/>
  <c r="J53" i="3"/>
  <c r="K53" i="3" s="1"/>
  <c r="J50" i="3"/>
  <c r="K50" i="3" s="1"/>
  <c r="L50" i="3" s="1"/>
  <c r="AB50" i="3" s="1"/>
  <c r="J8" i="3"/>
  <c r="K8" i="3" s="1"/>
  <c r="L8" i="3" s="1"/>
  <c r="AB8" i="3" s="1"/>
  <c r="J32" i="3"/>
  <c r="K32" i="3" s="1"/>
  <c r="L32" i="3" s="1"/>
  <c r="AB32" i="3" s="1"/>
  <c r="J75" i="3"/>
  <c r="K75" i="3" s="1"/>
  <c r="J51" i="3"/>
  <c r="K51" i="3" s="1"/>
  <c r="J11" i="3"/>
  <c r="K11" i="3" s="1"/>
  <c r="L11" i="3" s="1"/>
  <c r="AB11" i="3" s="1"/>
  <c r="J57" i="3"/>
  <c r="K57" i="3" s="1"/>
  <c r="J30" i="3"/>
  <c r="K30" i="3" s="1"/>
  <c r="J20" i="3"/>
  <c r="K20" i="3" s="1"/>
  <c r="J70" i="3"/>
  <c r="K70" i="3" s="1"/>
  <c r="L70" i="3" s="1"/>
  <c r="AB70" i="3" s="1"/>
  <c r="J19" i="3"/>
  <c r="K19" i="3" s="1"/>
  <c r="L19" i="3" s="1"/>
  <c r="AB19" i="3" s="1"/>
  <c r="J69" i="3"/>
  <c r="K69" i="3" s="1"/>
  <c r="L69" i="3" s="1"/>
  <c r="AB69" i="3" s="1"/>
  <c r="J76" i="3"/>
  <c r="K76" i="3" s="1"/>
  <c r="J36" i="3"/>
  <c r="K36" i="3" s="1"/>
  <c r="J16" i="3"/>
  <c r="K16" i="3" s="1"/>
  <c r="J7" i="3"/>
  <c r="K7" i="3" s="1"/>
  <c r="L7" i="3" s="1"/>
  <c r="AB7" i="3" s="1"/>
  <c r="J35" i="3"/>
  <c r="K35" i="3" s="1"/>
  <c r="L35" i="3" s="1"/>
  <c r="AB35" i="3" s="1"/>
  <c r="J15" i="3"/>
  <c r="K15" i="3" s="1"/>
  <c r="L15" i="3" s="1"/>
  <c r="AB15" i="3" s="1"/>
  <c r="J17" i="3"/>
  <c r="K17" i="3" s="1"/>
  <c r="L17" i="3" s="1"/>
  <c r="AB17" i="3" s="1"/>
  <c r="J42" i="3"/>
  <c r="K42" i="3" s="1"/>
  <c r="J10" i="3"/>
  <c r="K10" i="3" s="1"/>
  <c r="L10" i="3" s="1"/>
  <c r="AB10" i="3" s="1"/>
  <c r="J12" i="3"/>
  <c r="K12" i="3" s="1"/>
  <c r="L12" i="3" s="1"/>
  <c r="AB12" i="3" s="1"/>
  <c r="J14" i="3"/>
  <c r="K14" i="3" s="1"/>
  <c r="J27" i="3"/>
  <c r="K27" i="3" s="1"/>
  <c r="I24" i="3"/>
  <c r="I81" i="3"/>
  <c r="N90" i="3"/>
  <c r="C68" i="4"/>
  <c r="L90" i="3"/>
  <c r="N88" i="3"/>
  <c r="C64" i="4"/>
  <c r="L88" i="3"/>
  <c r="N91" i="3"/>
  <c r="C69" i="4"/>
  <c r="L91" i="3"/>
  <c r="N89" i="3"/>
  <c r="C65" i="4"/>
  <c r="L89" i="3"/>
  <c r="L6" i="3" l="1"/>
  <c r="AB6" i="3" s="1"/>
  <c r="N73" i="3"/>
  <c r="U73" i="3" s="1"/>
  <c r="V73" i="3" s="1"/>
  <c r="W73" i="3" s="1"/>
  <c r="Y73" i="3" s="1"/>
  <c r="AB73" i="3"/>
  <c r="N26" i="3"/>
  <c r="S26" i="3" s="1"/>
  <c r="AB26" i="3"/>
  <c r="AB74" i="3"/>
  <c r="N13" i="3"/>
  <c r="U13" i="3" s="1"/>
  <c r="V13" i="3" s="1"/>
  <c r="W13" i="3" s="1"/>
  <c r="Y13" i="3" s="1"/>
  <c r="AB13" i="3"/>
  <c r="N46" i="3"/>
  <c r="U46" i="3" s="1"/>
  <c r="V46" i="3" s="1"/>
  <c r="W46" i="3" s="1"/>
  <c r="Y46" i="3" s="1"/>
  <c r="AB46" i="3"/>
  <c r="L31" i="3"/>
  <c r="L43" i="3"/>
  <c r="U74" i="3"/>
  <c r="V74" i="3" s="1"/>
  <c r="W74" i="3" s="1"/>
  <c r="Y74" i="3" s="1"/>
  <c r="S74" i="3"/>
  <c r="L86" i="3"/>
  <c r="C15" i="4" s="1"/>
  <c r="D15" i="4" s="1"/>
  <c r="O86" i="3" s="1"/>
  <c r="N86" i="3"/>
  <c r="L87" i="3"/>
  <c r="C16" i="4" s="1"/>
  <c r="D16" i="4" s="1"/>
  <c r="O87" i="3" s="1"/>
  <c r="N87" i="3"/>
  <c r="L20" i="3"/>
  <c r="N50" i="3"/>
  <c r="S50" i="3" s="1"/>
  <c r="L77" i="3"/>
  <c r="N40" i="3"/>
  <c r="S40" i="3" s="1"/>
  <c r="L28" i="3"/>
  <c r="C29" i="4"/>
  <c r="D29" i="4" s="1"/>
  <c r="C28" i="4"/>
  <c r="C27" i="4"/>
  <c r="L52" i="3"/>
  <c r="L80" i="3"/>
  <c r="L47" i="3"/>
  <c r="L16" i="3"/>
  <c r="L27" i="3"/>
  <c r="L36" i="3"/>
  <c r="L30" i="3"/>
  <c r="L53" i="3"/>
  <c r="L29" i="3"/>
  <c r="AB29" i="3" s="1"/>
  <c r="L66" i="3"/>
  <c r="L14" i="3"/>
  <c r="C45" i="4"/>
  <c r="C53" i="4"/>
  <c r="C83" i="4"/>
  <c r="C75" i="4"/>
  <c r="C37" i="4"/>
  <c r="L76" i="3"/>
  <c r="L57" i="3"/>
  <c r="L68" i="3"/>
  <c r="L18" i="3"/>
  <c r="C84" i="4"/>
  <c r="D84" i="4" s="1"/>
  <c r="C54" i="4"/>
  <c r="C46" i="4"/>
  <c r="C38" i="4"/>
  <c r="D38" i="4" s="1"/>
  <c r="O43" i="3" s="1"/>
  <c r="Q43" i="3" s="1"/>
  <c r="R43" i="3" s="1"/>
  <c r="C76" i="4"/>
  <c r="D76" i="4" s="1"/>
  <c r="L34" i="3"/>
  <c r="L22" i="3"/>
  <c r="L59" i="3"/>
  <c r="C79" i="4"/>
  <c r="C87" i="4"/>
  <c r="C41" i="4"/>
  <c r="D41" i="4" s="1"/>
  <c r="C49" i="4"/>
  <c r="C57" i="4"/>
  <c r="L72" i="3"/>
  <c r="L75" i="3"/>
  <c r="N32" i="3"/>
  <c r="S32" i="3" s="1"/>
  <c r="L55" i="3"/>
  <c r="L33" i="3"/>
  <c r="C73" i="4"/>
  <c r="C35" i="4"/>
  <c r="D35" i="4" s="1"/>
  <c r="O26" i="3" s="1"/>
  <c r="Q26" i="3" s="1"/>
  <c r="R26" i="3" s="1"/>
  <c r="C43" i="4"/>
  <c r="C51" i="4"/>
  <c r="C81" i="4"/>
  <c r="L42" i="3"/>
  <c r="L51" i="3"/>
  <c r="N62" i="3"/>
  <c r="L60" i="3"/>
  <c r="L67" i="3"/>
  <c r="N45" i="3"/>
  <c r="S45" i="3" s="1"/>
  <c r="L44" i="3"/>
  <c r="L63" i="3"/>
  <c r="L65" i="3"/>
  <c r="C78" i="4"/>
  <c r="C40" i="4"/>
  <c r="C48" i="4"/>
  <c r="C56" i="4"/>
  <c r="C86" i="4"/>
  <c r="L78" i="3"/>
  <c r="L79" i="3"/>
  <c r="L41" i="3"/>
  <c r="L64" i="3"/>
  <c r="L48" i="3"/>
  <c r="L38" i="3"/>
  <c r="L37" i="3"/>
  <c r="C23" i="4"/>
  <c r="C22" i="4"/>
  <c r="N19" i="3"/>
  <c r="C14" i="4"/>
  <c r="D14" i="4" s="1"/>
  <c r="N11" i="3"/>
  <c r="N56" i="3"/>
  <c r="C62" i="4"/>
  <c r="D62" i="4" s="1"/>
  <c r="N49" i="3"/>
  <c r="C24" i="4"/>
  <c r="D24" i="4" s="1"/>
  <c r="N17" i="3"/>
  <c r="N70" i="3"/>
  <c r="N58" i="3"/>
  <c r="C66" i="4"/>
  <c r="D66" i="4" s="1"/>
  <c r="C18" i="4"/>
  <c r="D18" i="4" s="1"/>
  <c r="N15" i="3"/>
  <c r="N35" i="3"/>
  <c r="N23" i="3"/>
  <c r="N10" i="3"/>
  <c r="C13" i="4"/>
  <c r="D13" i="4" s="1"/>
  <c r="N12" i="3"/>
  <c r="C17" i="4"/>
  <c r="D17" i="4" s="1"/>
  <c r="C19" i="4"/>
  <c r="D19" i="4" s="1"/>
  <c r="O7" i="3" s="1"/>
  <c r="N7" i="3"/>
  <c r="N69" i="3"/>
  <c r="N8" i="3"/>
  <c r="C11" i="4"/>
  <c r="D11" i="4" s="1"/>
  <c r="N71" i="3"/>
  <c r="N39" i="3"/>
  <c r="N61" i="3"/>
  <c r="C70" i="4"/>
  <c r="D70" i="4" s="1"/>
  <c r="O62" i="3" s="1"/>
  <c r="N9" i="3"/>
  <c r="C12" i="4"/>
  <c r="D12" i="4" s="1"/>
  <c r="C7" i="4"/>
  <c r="D7" i="4" s="1"/>
  <c r="N21" i="3"/>
  <c r="N54" i="3"/>
  <c r="D68" i="4"/>
  <c r="O90" i="3" s="1"/>
  <c r="D64" i="4"/>
  <c r="O88" i="3" s="1"/>
  <c r="D69" i="4"/>
  <c r="D65" i="4"/>
  <c r="O89" i="3" s="1"/>
  <c r="I82" i="3"/>
  <c r="N25" i="3"/>
  <c r="C10" i="4"/>
  <c r="D10" i="4" s="1"/>
  <c r="O6" i="3" s="1"/>
  <c r="N6" i="3"/>
  <c r="S13" i="3" l="1"/>
  <c r="S73" i="3"/>
  <c r="Q6" i="3"/>
  <c r="R6" i="3" s="1"/>
  <c r="U26" i="3"/>
  <c r="V26" i="3" s="1"/>
  <c r="W26" i="3" s="1"/>
  <c r="Y26" i="3" s="1"/>
  <c r="S46" i="3"/>
  <c r="N64" i="3"/>
  <c r="U64" i="3" s="1"/>
  <c r="V64" i="3" s="1"/>
  <c r="W64" i="3" s="1"/>
  <c r="Y64" i="3" s="1"/>
  <c r="AB64" i="3"/>
  <c r="N51" i="3"/>
  <c r="U51" i="3" s="1"/>
  <c r="V51" i="3" s="1"/>
  <c r="W51" i="3" s="1"/>
  <c r="Y51" i="3" s="1"/>
  <c r="AB51" i="3"/>
  <c r="N55" i="3"/>
  <c r="U55" i="3" s="1"/>
  <c r="V55" i="3" s="1"/>
  <c r="W55" i="3" s="1"/>
  <c r="Y55" i="3" s="1"/>
  <c r="AB55" i="3"/>
  <c r="N76" i="3"/>
  <c r="S76" i="3" s="1"/>
  <c r="AB76" i="3"/>
  <c r="N27" i="3"/>
  <c r="AB27" i="3"/>
  <c r="N52" i="3"/>
  <c r="U52" i="3" s="1"/>
  <c r="V52" i="3" s="1"/>
  <c r="W52" i="3" s="1"/>
  <c r="Y52" i="3" s="1"/>
  <c r="AB52" i="3"/>
  <c r="N28" i="3"/>
  <c r="AB28" i="3"/>
  <c r="N20" i="3"/>
  <c r="AB20" i="3"/>
  <c r="N37" i="3"/>
  <c r="U37" i="3" s="1"/>
  <c r="V37" i="3" s="1"/>
  <c r="W37" i="3" s="1"/>
  <c r="Y37" i="3" s="1"/>
  <c r="AB37" i="3"/>
  <c r="N65" i="3"/>
  <c r="S65" i="3" s="1"/>
  <c r="AB65" i="3"/>
  <c r="N67" i="3"/>
  <c r="AB67" i="3"/>
  <c r="N59" i="3"/>
  <c r="S59" i="3" s="1"/>
  <c r="AB59" i="3"/>
  <c r="N18" i="3"/>
  <c r="U18" i="3" s="1"/>
  <c r="V18" i="3" s="1"/>
  <c r="W18" i="3" s="1"/>
  <c r="Y18" i="3" s="1"/>
  <c r="AB18" i="3"/>
  <c r="N53" i="3"/>
  <c r="U53" i="3" s="1"/>
  <c r="V53" i="3" s="1"/>
  <c r="W53" i="3" s="1"/>
  <c r="Y53" i="3" s="1"/>
  <c r="AB53" i="3"/>
  <c r="N16" i="3"/>
  <c r="S16" i="3" s="1"/>
  <c r="AB16" i="3"/>
  <c r="N43" i="3"/>
  <c r="S43" i="3" s="1"/>
  <c r="T43" i="3" s="1"/>
  <c r="AB43" i="3"/>
  <c r="N41" i="3"/>
  <c r="S41" i="3" s="1"/>
  <c r="AB41" i="3"/>
  <c r="N42" i="3"/>
  <c r="U42" i="3" s="1"/>
  <c r="V42" i="3" s="1"/>
  <c r="W42" i="3" s="1"/>
  <c r="Y42" i="3" s="1"/>
  <c r="AB42" i="3"/>
  <c r="N79" i="3"/>
  <c r="S79" i="3" s="1"/>
  <c r="AB79" i="3"/>
  <c r="N63" i="3"/>
  <c r="AB63" i="3"/>
  <c r="N60" i="3"/>
  <c r="U60" i="3" s="1"/>
  <c r="V60" i="3" s="1"/>
  <c r="W60" i="3" s="1"/>
  <c r="Y60" i="3" s="1"/>
  <c r="AB60" i="3"/>
  <c r="N75" i="3"/>
  <c r="U75" i="3" s="1"/>
  <c r="V75" i="3" s="1"/>
  <c r="W75" i="3" s="1"/>
  <c r="Y75" i="3" s="1"/>
  <c r="AB75" i="3"/>
  <c r="N22" i="3"/>
  <c r="U22" i="3" s="1"/>
  <c r="V22" i="3" s="1"/>
  <c r="W22" i="3" s="1"/>
  <c r="Y22" i="3" s="1"/>
  <c r="AB22" i="3"/>
  <c r="N68" i="3"/>
  <c r="S68" i="3" s="1"/>
  <c r="AB68" i="3"/>
  <c r="N14" i="3"/>
  <c r="U14" i="3" s="1"/>
  <c r="V14" i="3" s="1"/>
  <c r="W14" i="3" s="1"/>
  <c r="Y14" i="3" s="1"/>
  <c r="AB14" i="3"/>
  <c r="N30" i="3"/>
  <c r="S30" i="3" s="1"/>
  <c r="AB30" i="3"/>
  <c r="N47" i="3"/>
  <c r="AB47" i="3"/>
  <c r="N77" i="3"/>
  <c r="S77" i="3" s="1"/>
  <c r="AB77" i="3"/>
  <c r="N31" i="3"/>
  <c r="S31" i="3" s="1"/>
  <c r="AB31" i="3"/>
  <c r="N38" i="3"/>
  <c r="U38" i="3" s="1"/>
  <c r="V38" i="3" s="1"/>
  <c r="W38" i="3" s="1"/>
  <c r="Y38" i="3" s="1"/>
  <c r="AB38" i="3"/>
  <c r="N48" i="3"/>
  <c r="S48" i="3" s="1"/>
  <c r="AB48" i="3"/>
  <c r="N78" i="3"/>
  <c r="U78" i="3" s="1"/>
  <c r="V78" i="3" s="1"/>
  <c r="W78" i="3" s="1"/>
  <c r="Y78" i="3" s="1"/>
  <c r="AB78" i="3"/>
  <c r="N44" i="3"/>
  <c r="S44" i="3" s="1"/>
  <c r="AB44" i="3"/>
  <c r="N33" i="3"/>
  <c r="S33" i="3" s="1"/>
  <c r="AB33" i="3"/>
  <c r="N72" i="3"/>
  <c r="U72" i="3" s="1"/>
  <c r="V72" i="3" s="1"/>
  <c r="W72" i="3" s="1"/>
  <c r="Y72" i="3" s="1"/>
  <c r="AB72" i="3"/>
  <c r="N34" i="3"/>
  <c r="U34" i="3" s="1"/>
  <c r="V34" i="3" s="1"/>
  <c r="W34" i="3" s="1"/>
  <c r="Y34" i="3" s="1"/>
  <c r="AB34" i="3"/>
  <c r="N57" i="3"/>
  <c r="S57" i="3" s="1"/>
  <c r="AB57" i="3"/>
  <c r="N66" i="3"/>
  <c r="U66" i="3" s="1"/>
  <c r="V66" i="3" s="1"/>
  <c r="W66" i="3" s="1"/>
  <c r="Y66" i="3" s="1"/>
  <c r="AB66" i="3"/>
  <c r="N36" i="3"/>
  <c r="U36" i="3" s="1"/>
  <c r="V36" i="3" s="1"/>
  <c r="W36" i="3" s="1"/>
  <c r="Y36" i="3" s="1"/>
  <c r="AB36" i="3"/>
  <c r="N80" i="3"/>
  <c r="S80" i="3" s="1"/>
  <c r="AB80" i="3"/>
  <c r="T26" i="3"/>
  <c r="O57" i="3"/>
  <c r="Q57" i="3" s="1"/>
  <c r="R57" i="3" s="1"/>
  <c r="O54" i="3"/>
  <c r="Q54" i="3" s="1"/>
  <c r="R54" i="3" s="1"/>
  <c r="O55" i="3"/>
  <c r="Q55" i="3" s="1"/>
  <c r="R55" i="3" s="1"/>
  <c r="O28" i="3"/>
  <c r="Q28" i="3" s="1"/>
  <c r="R28" i="3" s="1"/>
  <c r="O27" i="3"/>
  <c r="Q27" i="3" s="1"/>
  <c r="R27" i="3" s="1"/>
  <c r="O25" i="3"/>
  <c r="Q25" i="3" s="1"/>
  <c r="R25" i="3" s="1"/>
  <c r="O91" i="3"/>
  <c r="O63" i="3"/>
  <c r="Q63" i="3" s="1"/>
  <c r="R63" i="3" s="1"/>
  <c r="Q62" i="3"/>
  <c r="R62" i="3" s="1"/>
  <c r="O64" i="3"/>
  <c r="Q64" i="3" s="1"/>
  <c r="R64" i="3" s="1"/>
  <c r="O61" i="3"/>
  <c r="Q61" i="3" s="1"/>
  <c r="R61" i="3" s="1"/>
  <c r="O21" i="3"/>
  <c r="Q21" i="3" s="1"/>
  <c r="O67" i="3"/>
  <c r="Q67" i="3" s="1"/>
  <c r="O40" i="3"/>
  <c r="O39" i="3"/>
  <c r="Q39" i="3" s="1"/>
  <c r="R39" i="3" s="1"/>
  <c r="O41" i="3"/>
  <c r="Q41" i="3" s="1"/>
  <c r="R41" i="3" s="1"/>
  <c r="O42" i="3"/>
  <c r="Q42" i="3" s="1"/>
  <c r="R42" i="3" s="1"/>
  <c r="O59" i="3"/>
  <c r="Q59" i="3" s="1"/>
  <c r="R59" i="3" s="1"/>
  <c r="O58" i="3"/>
  <c r="Q58" i="3" s="1"/>
  <c r="R58" i="3" s="1"/>
  <c r="O60" i="3"/>
  <c r="Q60" i="3" s="1"/>
  <c r="O56" i="3"/>
  <c r="Q56" i="3" s="1"/>
  <c r="R56" i="3" s="1"/>
  <c r="C61" i="4"/>
  <c r="D61" i="4" s="1"/>
  <c r="C60" i="4"/>
  <c r="D60" i="4" s="1"/>
  <c r="U45" i="3"/>
  <c r="S27" i="3"/>
  <c r="U27" i="3"/>
  <c r="V27" i="3" s="1"/>
  <c r="W27" i="3" s="1"/>
  <c r="Y27" i="3" s="1"/>
  <c r="S22" i="3"/>
  <c r="S36" i="3"/>
  <c r="U28" i="3"/>
  <c r="V28" i="3" s="1"/>
  <c r="W28" i="3" s="1"/>
  <c r="Y28" i="3" s="1"/>
  <c r="S28" i="3"/>
  <c r="U50" i="3"/>
  <c r="U63" i="3"/>
  <c r="V63" i="3" s="1"/>
  <c r="W63" i="3" s="1"/>
  <c r="Y63" i="3" s="1"/>
  <c r="S63" i="3"/>
  <c r="S72" i="3"/>
  <c r="U68" i="3"/>
  <c r="V68" i="3" s="1"/>
  <c r="W68" i="3" s="1"/>
  <c r="Y68" i="3" s="1"/>
  <c r="U76" i="3"/>
  <c r="V76" i="3" s="1"/>
  <c r="W76" i="3" s="1"/>
  <c r="Y76" i="3" s="1"/>
  <c r="U47" i="3"/>
  <c r="V47" i="3" s="1"/>
  <c r="W47" i="3" s="1"/>
  <c r="Y47" i="3" s="1"/>
  <c r="S47" i="3"/>
  <c r="U40" i="3"/>
  <c r="V40" i="3" s="1"/>
  <c r="U20" i="3"/>
  <c r="V20" i="3" s="1"/>
  <c r="W20" i="3" s="1"/>
  <c r="Y20" i="3" s="1"/>
  <c r="S20" i="3"/>
  <c r="S78" i="3"/>
  <c r="U16" i="3"/>
  <c r="V16" i="3" s="1"/>
  <c r="W16" i="3" s="1"/>
  <c r="Y16" i="3" s="1"/>
  <c r="U77" i="3"/>
  <c r="V77" i="3" s="1"/>
  <c r="W77" i="3" s="1"/>
  <c r="Y77" i="3" s="1"/>
  <c r="U48" i="3"/>
  <c r="V48" i="3" s="1"/>
  <c r="W48" i="3" s="1"/>
  <c r="Y48" i="3" s="1"/>
  <c r="U62" i="3"/>
  <c r="V62" i="3" s="1"/>
  <c r="W62" i="3" s="1"/>
  <c r="Y62" i="3" s="1"/>
  <c r="S62" i="3"/>
  <c r="S55" i="3"/>
  <c r="U79" i="3"/>
  <c r="V79" i="3" s="1"/>
  <c r="W79" i="3" s="1"/>
  <c r="Y79" i="3" s="1"/>
  <c r="U67" i="3"/>
  <c r="V67" i="3" s="1"/>
  <c r="W67" i="3" s="1"/>
  <c r="Y67" i="3" s="1"/>
  <c r="S67" i="3"/>
  <c r="U32" i="3"/>
  <c r="U59" i="3"/>
  <c r="C44" i="4"/>
  <c r="D44" i="4" s="1"/>
  <c r="C82" i="4"/>
  <c r="D82" i="4" s="1"/>
  <c r="C74" i="4"/>
  <c r="D74" i="4" s="1"/>
  <c r="C36" i="4"/>
  <c r="D36" i="4" s="1"/>
  <c r="O31" i="3" s="1"/>
  <c r="C52" i="4"/>
  <c r="N29" i="3"/>
  <c r="C47" i="4"/>
  <c r="C39" i="4"/>
  <c r="D39" i="4" s="1"/>
  <c r="O46" i="3" s="1"/>
  <c r="Q46" i="3" s="1"/>
  <c r="R46" i="3" s="1"/>
  <c r="C85" i="4"/>
  <c r="D85" i="4" s="1"/>
  <c r="C77" i="4"/>
  <c r="D77" i="4" s="1"/>
  <c r="C55" i="4"/>
  <c r="O10" i="3"/>
  <c r="Q10" i="3" s="1"/>
  <c r="R10" i="3" s="1"/>
  <c r="O11" i="3"/>
  <c r="Q11" i="3" s="1"/>
  <c r="R11" i="3" s="1"/>
  <c r="O9" i="3"/>
  <c r="Q9" i="3" s="1"/>
  <c r="R9" i="3" s="1"/>
  <c r="Q7" i="3"/>
  <c r="R7" i="3" s="1"/>
  <c r="O8" i="3"/>
  <c r="Q8" i="3" s="1"/>
  <c r="R8" i="3" s="1"/>
  <c r="O18" i="3"/>
  <c r="O17" i="3"/>
  <c r="Q17" i="3" s="1"/>
  <c r="R17" i="3" s="1"/>
  <c r="O16" i="3"/>
  <c r="O15" i="3"/>
  <c r="Q15" i="3" s="1"/>
  <c r="R15" i="3" s="1"/>
  <c r="O12" i="3"/>
  <c r="Q12" i="3" s="1"/>
  <c r="R12" i="3" s="1"/>
  <c r="O14" i="3"/>
  <c r="Q14" i="3" s="1"/>
  <c r="R14" i="3" s="1"/>
  <c r="O13" i="3"/>
  <c r="Q13" i="3" s="1"/>
  <c r="R13" i="3" s="1"/>
  <c r="O22" i="3"/>
  <c r="Q22" i="3" s="1"/>
  <c r="R22" i="3" s="1"/>
  <c r="D57" i="4"/>
  <c r="U25" i="3"/>
  <c r="V25" i="3" s="1"/>
  <c r="S25" i="3"/>
  <c r="U6" i="3"/>
  <c r="V6" i="3" s="1"/>
  <c r="S6" i="3"/>
  <c r="T6" i="3" s="1"/>
  <c r="U7" i="3"/>
  <c r="V7" i="3" s="1"/>
  <c r="W7" i="3" s="1"/>
  <c r="Y7" i="3" s="1"/>
  <c r="S7" i="3"/>
  <c r="D37" i="4"/>
  <c r="U15" i="3"/>
  <c r="V15" i="3" s="1"/>
  <c r="W15" i="3" s="1"/>
  <c r="Y15" i="3" s="1"/>
  <c r="S15" i="3"/>
  <c r="D83" i="4"/>
  <c r="D75" i="4"/>
  <c r="D40" i="4"/>
  <c r="O52" i="3" s="1"/>
  <c r="U11" i="3"/>
  <c r="V11" i="3" s="1"/>
  <c r="W11" i="3" s="1"/>
  <c r="Y11" i="3" s="1"/>
  <c r="S11" i="3"/>
  <c r="U54" i="3"/>
  <c r="V54" i="3" s="1"/>
  <c r="W54" i="3" s="1"/>
  <c r="Y54" i="3" s="1"/>
  <c r="S54" i="3"/>
  <c r="U35" i="3"/>
  <c r="V35" i="3" s="1"/>
  <c r="W35" i="3" s="1"/>
  <c r="Y35" i="3" s="1"/>
  <c r="S35" i="3"/>
  <c r="S70" i="3"/>
  <c r="U70" i="3"/>
  <c r="V70" i="3" s="1"/>
  <c r="W70" i="3" s="1"/>
  <c r="Y70" i="3" s="1"/>
  <c r="U49" i="3"/>
  <c r="V49" i="3" s="1"/>
  <c r="W49" i="3" s="1"/>
  <c r="Y49" i="3" s="1"/>
  <c r="S49" i="3"/>
  <c r="U56" i="3"/>
  <c r="V56" i="3" s="1"/>
  <c r="W56" i="3" s="1"/>
  <c r="Y56" i="3" s="1"/>
  <c r="S56" i="3"/>
  <c r="S12" i="3"/>
  <c r="U12" i="3"/>
  <c r="V12" i="3" s="1"/>
  <c r="W12" i="3" s="1"/>
  <c r="Y12" i="3" s="1"/>
  <c r="U10" i="3"/>
  <c r="V10" i="3" s="1"/>
  <c r="W10" i="3" s="1"/>
  <c r="Y10" i="3" s="1"/>
  <c r="S10" i="3"/>
  <c r="D54" i="4"/>
  <c r="D46" i="4"/>
  <c r="U21" i="3"/>
  <c r="V21" i="3" s="1"/>
  <c r="W21" i="3" s="1"/>
  <c r="Y21" i="3" s="1"/>
  <c r="S21" i="3"/>
  <c r="D28" i="4"/>
  <c r="D27" i="4"/>
  <c r="O80" i="3" s="1"/>
  <c r="U17" i="3"/>
  <c r="V17" i="3" s="1"/>
  <c r="W17" i="3" s="1"/>
  <c r="Y17" i="3" s="1"/>
  <c r="S17" i="3"/>
  <c r="U19" i="3"/>
  <c r="V19" i="3" s="1"/>
  <c r="W19" i="3" s="1"/>
  <c r="Y19" i="3" s="1"/>
  <c r="S19" i="3"/>
  <c r="D81" i="4"/>
  <c r="D73" i="4"/>
  <c r="U61" i="3"/>
  <c r="V61" i="3" s="1"/>
  <c r="W61" i="3" s="1"/>
  <c r="Y61" i="3" s="1"/>
  <c r="S61" i="3"/>
  <c r="U9" i="3"/>
  <c r="V9" i="3" s="1"/>
  <c r="W9" i="3" s="1"/>
  <c r="Y9" i="3" s="1"/>
  <c r="S9" i="3"/>
  <c r="U39" i="3"/>
  <c r="V39" i="3" s="1"/>
  <c r="W39" i="3" s="1"/>
  <c r="Y39" i="3" s="1"/>
  <c r="S39" i="3"/>
  <c r="U71" i="3"/>
  <c r="V71" i="3" s="1"/>
  <c r="W71" i="3" s="1"/>
  <c r="Y71" i="3" s="1"/>
  <c r="S71" i="3"/>
  <c r="S8" i="3"/>
  <c r="U8" i="3"/>
  <c r="V8" i="3" s="1"/>
  <c r="W8" i="3" s="1"/>
  <c r="Y8" i="3" s="1"/>
  <c r="U69" i="3"/>
  <c r="V69" i="3" s="1"/>
  <c r="W69" i="3" s="1"/>
  <c r="Y69" i="3" s="1"/>
  <c r="S69" i="3"/>
  <c r="S23" i="3"/>
  <c r="U23" i="3"/>
  <c r="V23" i="3" s="1"/>
  <c r="W23" i="3" s="1"/>
  <c r="Y23" i="3" s="1"/>
  <c r="U58" i="3"/>
  <c r="V58" i="3" s="1"/>
  <c r="W58" i="3" s="1"/>
  <c r="Y58" i="3" s="1"/>
  <c r="S58" i="3"/>
  <c r="D22" i="4"/>
  <c r="O19" i="3" s="1"/>
  <c r="Q19" i="3" s="1"/>
  <c r="R19" i="3" s="1"/>
  <c r="D23" i="4"/>
  <c r="D43" i="4"/>
  <c r="U57" i="3" l="1"/>
  <c r="V57" i="3" s="1"/>
  <c r="W57" i="3" s="1"/>
  <c r="Y57" i="3" s="1"/>
  <c r="S34" i="3"/>
  <c r="U44" i="3"/>
  <c r="V44" i="3" s="1"/>
  <c r="W44" i="3" s="1"/>
  <c r="Y44" i="3" s="1"/>
  <c r="R67" i="3"/>
  <c r="T67" i="3"/>
  <c r="S37" i="3"/>
  <c r="U31" i="3"/>
  <c r="V31" i="3" s="1"/>
  <c r="W31" i="3" s="1"/>
  <c r="Y31" i="3" s="1"/>
  <c r="U41" i="3"/>
  <c r="V41" i="3" s="1"/>
  <c r="W41" i="3" s="1"/>
  <c r="Y41" i="3" s="1"/>
  <c r="S14" i="3"/>
  <c r="T14" i="3" s="1"/>
  <c r="S64" i="3"/>
  <c r="T64" i="3" s="1"/>
  <c r="S60" i="3"/>
  <c r="T60" i="3" s="1"/>
  <c r="U30" i="3"/>
  <c r="V30" i="3" s="1"/>
  <c r="W30" i="3" s="1"/>
  <c r="Y30" i="3" s="1"/>
  <c r="U65" i="3"/>
  <c r="V65" i="3" s="1"/>
  <c r="W65" i="3" s="1"/>
  <c r="Y65" i="3" s="1"/>
  <c r="S51" i="3"/>
  <c r="S52" i="3"/>
  <c r="S53" i="3"/>
  <c r="S38" i="3"/>
  <c r="S75" i="3"/>
  <c r="S66" i="3"/>
  <c r="S42" i="3"/>
  <c r="T42" i="3" s="1"/>
  <c r="R60" i="3"/>
  <c r="U33" i="3"/>
  <c r="V33" i="3" s="1"/>
  <c r="W33" i="3" s="1"/>
  <c r="Y33" i="3" s="1"/>
  <c r="U80" i="3"/>
  <c r="V80" i="3" s="1"/>
  <c r="W80" i="3" s="1"/>
  <c r="Y80" i="3" s="1"/>
  <c r="U43" i="3"/>
  <c r="V43" i="3" s="1"/>
  <c r="W43" i="3" s="1"/>
  <c r="Y43" i="3" s="1"/>
  <c r="T46" i="3"/>
  <c r="Q40" i="3"/>
  <c r="R40" i="3" s="1"/>
  <c r="V45" i="3"/>
  <c r="W45" i="3" s="1"/>
  <c r="Y45" i="3" s="1"/>
  <c r="V32" i="3"/>
  <c r="W32" i="3" s="1"/>
  <c r="Y32" i="3" s="1"/>
  <c r="V50" i="3"/>
  <c r="W50" i="3" s="1"/>
  <c r="Y50" i="3" s="1"/>
  <c r="W40" i="3"/>
  <c r="Y40" i="3" s="1"/>
  <c r="Q18" i="3"/>
  <c r="R18" i="3" s="1"/>
  <c r="S18" i="3"/>
  <c r="T58" i="3"/>
  <c r="T21" i="3"/>
  <c r="O71" i="3"/>
  <c r="Q71" i="3" s="1"/>
  <c r="O78" i="3"/>
  <c r="Q78" i="3" s="1"/>
  <c r="O32" i="3"/>
  <c r="O29" i="3"/>
  <c r="Q29" i="3" s="1"/>
  <c r="R29" i="3" s="1"/>
  <c r="O34" i="3"/>
  <c r="Q34" i="3" s="1"/>
  <c r="O30" i="3"/>
  <c r="Q30" i="3" s="1"/>
  <c r="R30" i="3" s="1"/>
  <c r="O33" i="3"/>
  <c r="Q33" i="3" s="1"/>
  <c r="O68" i="3"/>
  <c r="Q68" i="3" s="1"/>
  <c r="O50" i="3"/>
  <c r="Q50" i="3" s="1"/>
  <c r="O53" i="3"/>
  <c r="Q53" i="3" s="1"/>
  <c r="O49" i="3"/>
  <c r="Q49" i="3" s="1"/>
  <c r="R49" i="3" s="1"/>
  <c r="O51" i="3"/>
  <c r="Q51" i="3" s="1"/>
  <c r="Q52" i="3"/>
  <c r="O69" i="3"/>
  <c r="Q69" i="3" s="1"/>
  <c r="O36" i="3"/>
  <c r="Q36" i="3" s="1"/>
  <c r="O35" i="3"/>
  <c r="Q35" i="3" s="1"/>
  <c r="R35" i="3" s="1"/>
  <c r="O37" i="3"/>
  <c r="Q37" i="3" s="1"/>
  <c r="O38" i="3"/>
  <c r="Q38" i="3" s="1"/>
  <c r="Q16" i="3"/>
  <c r="T16" i="3" s="1"/>
  <c r="V59" i="3"/>
  <c r="W59" i="3" s="1"/>
  <c r="Y59" i="3" s="1"/>
  <c r="O66" i="3"/>
  <c r="Q66" i="3" s="1"/>
  <c r="O45" i="3"/>
  <c r="Q45" i="3" s="1"/>
  <c r="O44" i="3"/>
  <c r="Q44" i="3" s="1"/>
  <c r="O48" i="3"/>
  <c r="Q48" i="3" s="1"/>
  <c r="O47" i="3"/>
  <c r="Q47" i="3" s="1"/>
  <c r="O65" i="3"/>
  <c r="Q65" i="3" s="1"/>
  <c r="T54" i="3"/>
  <c r="T17" i="3"/>
  <c r="T61" i="3"/>
  <c r="T59" i="3"/>
  <c r="S29" i="3"/>
  <c r="U29" i="3"/>
  <c r="V29" i="3" s="1"/>
  <c r="W29" i="3" s="1"/>
  <c r="Y29" i="3" s="1"/>
  <c r="T62" i="3"/>
  <c r="D49" i="4"/>
  <c r="O74" i="3" s="1"/>
  <c r="Q74" i="3" s="1"/>
  <c r="T10" i="3"/>
  <c r="T9" i="3"/>
  <c r="T39" i="3"/>
  <c r="Q80" i="3"/>
  <c r="R80" i="3" s="1"/>
  <c r="O23" i="3"/>
  <c r="Q23" i="3" s="1"/>
  <c r="R23" i="3" s="1"/>
  <c r="O20" i="3"/>
  <c r="Q20" i="3" s="1"/>
  <c r="T11" i="3"/>
  <c r="T7" i="3"/>
  <c r="T8" i="3"/>
  <c r="T19" i="3"/>
  <c r="T63" i="3"/>
  <c r="T56" i="3"/>
  <c r="T57" i="3"/>
  <c r="T55" i="3"/>
  <c r="T41" i="3"/>
  <c r="T28" i="3"/>
  <c r="T27" i="3"/>
  <c r="T15" i="3"/>
  <c r="T12" i="3"/>
  <c r="T13" i="3"/>
  <c r="T22" i="3"/>
  <c r="R21" i="3"/>
  <c r="D45" i="4"/>
  <c r="D53" i="4"/>
  <c r="D48" i="4"/>
  <c r="D56" i="4"/>
  <c r="T25" i="3"/>
  <c r="D47" i="4"/>
  <c r="D55" i="4"/>
  <c r="W25" i="3"/>
  <c r="Y25" i="3" s="1"/>
  <c r="V24" i="3"/>
  <c r="W6" i="3"/>
  <c r="D52" i="4"/>
  <c r="D51" i="4"/>
  <c r="R68" i="3" l="1"/>
  <c r="T68" i="3"/>
  <c r="S24" i="3"/>
  <c r="S81" i="3"/>
  <c r="T40" i="3"/>
  <c r="R74" i="3"/>
  <c r="T74" i="3"/>
  <c r="Q31" i="3"/>
  <c r="R31" i="3" s="1"/>
  <c r="Q32" i="3"/>
  <c r="T32" i="3" s="1"/>
  <c r="T18" i="3"/>
  <c r="W24" i="3"/>
  <c r="Y6" i="3"/>
  <c r="R34" i="3"/>
  <c r="T34" i="3"/>
  <c r="R65" i="3"/>
  <c r="T65" i="3"/>
  <c r="R69" i="3"/>
  <c r="T69" i="3"/>
  <c r="R33" i="3"/>
  <c r="T33" i="3"/>
  <c r="R66" i="3"/>
  <c r="T66" i="3"/>
  <c r="R78" i="3"/>
  <c r="T78" i="3"/>
  <c r="R71" i="3"/>
  <c r="T71" i="3"/>
  <c r="O72" i="3"/>
  <c r="Q72" i="3" s="1"/>
  <c r="O73" i="3"/>
  <c r="Q73" i="3" s="1"/>
  <c r="O75" i="3"/>
  <c r="Q75" i="3" s="1"/>
  <c r="O76" i="3"/>
  <c r="Q76" i="3" s="1"/>
  <c r="O77" i="3"/>
  <c r="Q77" i="3" s="1"/>
  <c r="W81" i="3"/>
  <c r="O70" i="3"/>
  <c r="Q70" i="3" s="1"/>
  <c r="R70" i="3" s="1"/>
  <c r="O79" i="3"/>
  <c r="Q79" i="3" s="1"/>
  <c r="R16" i="3"/>
  <c r="T30" i="3"/>
  <c r="V81" i="3"/>
  <c r="V82" i="3" s="1"/>
  <c r="T29" i="3"/>
  <c r="T23" i="3"/>
  <c r="D79" i="4"/>
  <c r="D87" i="4"/>
  <c r="T80" i="3"/>
  <c r="Q24" i="3"/>
  <c r="T24" i="3" s="1"/>
  <c r="R20" i="3"/>
  <c r="T20" i="3"/>
  <c r="R52" i="3"/>
  <c r="T52" i="3"/>
  <c r="R53" i="3"/>
  <c r="T53" i="3"/>
  <c r="R50" i="3"/>
  <c r="T50" i="3"/>
  <c r="R51" i="3"/>
  <c r="T51" i="3"/>
  <c r="T49" i="3"/>
  <c r="R48" i="3"/>
  <c r="T48" i="3"/>
  <c r="R47" i="3"/>
  <c r="T47" i="3"/>
  <c r="R44" i="3"/>
  <c r="T44" i="3"/>
  <c r="R45" i="3"/>
  <c r="T45" i="3"/>
  <c r="R38" i="3"/>
  <c r="T38" i="3"/>
  <c r="R37" i="3"/>
  <c r="T37" i="3"/>
  <c r="R36" i="3"/>
  <c r="T36" i="3"/>
  <c r="T35" i="3"/>
  <c r="S82" i="3"/>
  <c r="D78" i="4"/>
  <c r="D86" i="4"/>
  <c r="T31" i="3" l="1"/>
  <c r="W82" i="3"/>
  <c r="R32" i="3"/>
  <c r="R24" i="3"/>
  <c r="R76" i="3"/>
  <c r="T76" i="3"/>
  <c r="R75" i="3"/>
  <c r="T75" i="3"/>
  <c r="R73" i="3"/>
  <c r="T73" i="3"/>
  <c r="R79" i="3"/>
  <c r="T79" i="3"/>
  <c r="R77" i="3"/>
  <c r="T77" i="3"/>
  <c r="Q81" i="3"/>
  <c r="Q82" i="3" s="1"/>
  <c r="T72" i="3"/>
  <c r="R72" i="3"/>
  <c r="T70" i="3"/>
  <c r="T81" i="3" l="1"/>
  <c r="T82" i="3" s="1"/>
  <c r="S85" i="3"/>
  <c r="R85" i="3"/>
  <c r="R81" i="3"/>
  <c r="R82" i="3" l="1"/>
  <c r="B66" i="2" s="1"/>
  <c r="B67" i="2" s="1"/>
  <c r="R86" i="3"/>
  <c r="R87" i="3" s="1"/>
  <c r="R91" i="3" s="1"/>
  <c r="S8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Thompson</author>
  </authors>
  <commentList>
    <comment ref="B2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Unadjusted Meeks weights.</t>
        </r>
      </text>
    </comment>
    <comment ref="B2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Unadjusted Meeks weights.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K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Medical Waste rate increase will be filed at a later date, pending the results of the garbage increase audit.</t>
        </r>
      </text>
    </comment>
  </commentList>
</comments>
</file>

<file path=xl/sharedStrings.xml><?xml version="1.0" encoding="utf-8"?>
<sst xmlns="http://schemas.openxmlformats.org/spreadsheetml/2006/main" count="616" uniqueCount="492">
  <si>
    <t>Total</t>
  </si>
  <si>
    <t>Service Code</t>
  </si>
  <si>
    <t>Service Code Description</t>
  </si>
  <si>
    <t>Rate</t>
  </si>
  <si>
    <t>Revenue</t>
  </si>
  <si>
    <t>Customers</t>
  </si>
  <si>
    <t>RESIDENTIAL SERVICES</t>
  </si>
  <si>
    <t>RESIDENTIAL GARBAGE</t>
  </si>
  <si>
    <t>RL020.0G1W001</t>
  </si>
  <si>
    <t>RL 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</si>
  <si>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</si>
  <si>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</si>
  <si>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</si>
  <si>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</si>
  <si>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</si>
  <si>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</si>
  <si>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</si>
  <si>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</si>
  <si>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RL032.0G1W004</t>
  </si>
  <si>
    <t>RL 32 GL 1X WK 4</t>
  </si>
  <si>
    <t>RL065.0G1W001</t>
  </si>
  <si>
    <t>RL 65 GL 1X WK 1</t>
  </si>
  <si>
    <t>RL065.0G1W003</t>
  </si>
  <si>
    <t>RL 65 GL 1X WK 3</t>
  </si>
  <si>
    <t>RL090.0G1W001</t>
  </si>
  <si>
    <t>RL 90 GL 1X WK 1</t>
  </si>
  <si>
    <t>RL090.0G1W002</t>
  </si>
  <si>
    <t>RL 90 GL 1X WK 2</t>
  </si>
  <si>
    <t>RL32R-OC</t>
  </si>
  <si>
    <t>1 RL 32 GL ON CALL-RES</t>
  </si>
  <si>
    <t>RL90R-OC</t>
  </si>
  <si>
    <t>RL 90 GL ON CALL - RES</t>
  </si>
  <si>
    <t>EXTRA-RES</t>
  </si>
  <si>
    <t>EXTRA CAN, BAG, BOX-RES</t>
  </si>
  <si>
    <t>EXTRYDG-RES</t>
  </si>
  <si>
    <t>EXTRA YARDAGE - RES</t>
  </si>
  <si>
    <t>OS-RES</t>
  </si>
  <si>
    <t>OVERSIZE CAN - RES</t>
  </si>
  <si>
    <t>OW-RES</t>
  </si>
  <si>
    <t>OVERFILL/WEIGHT CAN-RES</t>
  </si>
  <si>
    <t>BULKY-RES</t>
  </si>
  <si>
    <t>BULKY ITEM PICK UP-RES</t>
  </si>
  <si>
    <t>DIST-RES</t>
  </si>
  <si>
    <t>DISTANCE FEE - RES</t>
  </si>
  <si>
    <t>REDEL-RES</t>
  </si>
  <si>
    <t>REDELIVERY FEE - RES</t>
  </si>
  <si>
    <t>REINSTATE-RES</t>
  </si>
  <si>
    <t>REINSTATE FEE - RES</t>
  </si>
  <si>
    <t>TOTAL RESIDENTIAL GARBAGE</t>
  </si>
  <si>
    <t>COMMERCIAL SERVICES</t>
  </si>
  <si>
    <t>COMMERCIAL GARBAGE</t>
  </si>
  <si>
    <t>RL001.0Y1W001</t>
  </si>
  <si>
    <t>RL 1 YD 1X WK 1</t>
  </si>
  <si>
    <t>RL001.0Y3W001</t>
  </si>
  <si>
    <t>RL 1 YD 3X WK 1</t>
  </si>
  <si>
    <t>RL001.5Y1M001</t>
  </si>
  <si>
    <t>RL 1.5 YD 1X MO 1</t>
  </si>
  <si>
    <t>RL001.5Y1W001</t>
  </si>
  <si>
    <t>RL 1.5 YD 1X WK 1</t>
  </si>
  <si>
    <t>RL001.5Y1W002</t>
  </si>
  <si>
    <t>RL 1.5 YD 1X WK 2</t>
  </si>
  <si>
    <t>RL001.5Y1W003</t>
  </si>
  <si>
    <t>RL 1.5 YD 1X WK 3</t>
  </si>
  <si>
    <t>RL001.5Y2W001</t>
  </si>
  <si>
    <t>RL 1.5 YD 2X WK 1</t>
  </si>
  <si>
    <t>RL001.5Y3W001</t>
  </si>
  <si>
    <t>RL 1.5 YD 3X WK 1</t>
  </si>
  <si>
    <t>RL002.0Y1M001</t>
  </si>
  <si>
    <t>RL 2 YD 1X MO 1</t>
  </si>
  <si>
    <t>RL002.0Y1W001</t>
  </si>
  <si>
    <t>RL 2 YD 1X WK 1</t>
  </si>
  <si>
    <t>RL002.0Y2W001</t>
  </si>
  <si>
    <t>RL 2 YD 2X WK 1</t>
  </si>
  <si>
    <t>RL002.0Y3W001</t>
  </si>
  <si>
    <t>RL 2 YD 3X WK 1</t>
  </si>
  <si>
    <t>RL003.0Y1W001</t>
  </si>
  <si>
    <t>RL 3 YD 1X WK 1</t>
  </si>
  <si>
    <t>RL003.0Y1W002</t>
  </si>
  <si>
    <t>RL 3 YD 1X WK 2</t>
  </si>
  <si>
    <t>RL003.0Y2W001</t>
  </si>
  <si>
    <t>RL 3 YD 2X WK 1</t>
  </si>
  <si>
    <t>RL003.0Y3W001</t>
  </si>
  <si>
    <t>RL 3 YD 3X WK 1</t>
  </si>
  <si>
    <t>RL004.0Y1W001</t>
  </si>
  <si>
    <t>RL 4 YD 1X WK 1</t>
  </si>
  <si>
    <t>RL004.0Y1W002</t>
  </si>
  <si>
    <t>RL 4 YD 1X WK 2</t>
  </si>
  <si>
    <t>RL004.0Y3W001</t>
  </si>
  <si>
    <t>RL 4 YD 3X WK 1</t>
  </si>
  <si>
    <t>RL004.0Y4W001</t>
  </si>
  <si>
    <t>RL 4 YD 4X WK 1</t>
  </si>
  <si>
    <t>RL006.0Y1W001</t>
  </si>
  <si>
    <t>RL 6 YD 1X WK 1</t>
  </si>
  <si>
    <t>RL006.0Y1W002</t>
  </si>
  <si>
    <t>RL 6 YD 1X WK 2</t>
  </si>
  <si>
    <t>RL006.0Y2W001</t>
  </si>
  <si>
    <t>RL 6 YD 2X WK 1</t>
  </si>
  <si>
    <t>RL006.0Y4W001</t>
  </si>
  <si>
    <t>RL 6 YD 4X WK 1</t>
  </si>
  <si>
    <t>RL008.0Y1W001</t>
  </si>
  <si>
    <t>RL 8 YD 1X WK 1</t>
  </si>
  <si>
    <t>RL008.0Y2W001</t>
  </si>
  <si>
    <t>RL 8 YD 2X WK 1</t>
  </si>
  <si>
    <t>RL032.0G1W001COMM</t>
  </si>
  <si>
    <t>RL 32 GL 1X WK COMM 1</t>
  </si>
  <si>
    <t>RL032.0G1W002COMM</t>
  </si>
  <si>
    <t>RL 32 GL 1X WK COMM 2</t>
  </si>
  <si>
    <t>RL065.0G1W001COMM</t>
  </si>
  <si>
    <t>RL 65 GL 1X WK COMM 1</t>
  </si>
  <si>
    <t>RL065.0G1W005COMM</t>
  </si>
  <si>
    <t>RL 65 GL 1X WK COMM 5</t>
  </si>
  <si>
    <t>RL090.0G1W001COMM</t>
  </si>
  <si>
    <t>RL 90 GL 1X WK COMM 1</t>
  </si>
  <si>
    <t>RL090.0G1W002COMM</t>
  </si>
  <si>
    <t>RL 90 GL 1X WK COMM 2</t>
  </si>
  <si>
    <t>RL090.0G2W001COMM</t>
  </si>
  <si>
    <t>RL 90 GL 2X WK COMM 1</t>
  </si>
  <si>
    <t>RL090.0G2W004COMM</t>
  </si>
  <si>
    <t>RL 90 GL 2X WK COMM 4</t>
  </si>
  <si>
    <t>RL32C-OC</t>
  </si>
  <si>
    <t>1 RL 32 GL ON CALL - COMM</t>
  </si>
  <si>
    <t>EXTRA-COMM</t>
  </si>
  <si>
    <t>EXTRA CAN, BAG, BOX-COMM</t>
  </si>
  <si>
    <t>OS-COMM</t>
  </si>
  <si>
    <t>OVERSIZE CAN - COMM</t>
  </si>
  <si>
    <t>OW-COMM</t>
  </si>
  <si>
    <t>OVERFILL/WEIGHT CAN-COMM</t>
  </si>
  <si>
    <t>RL1C-OC</t>
  </si>
  <si>
    <t>1 RL 1 YD ON CALL-COMM</t>
  </si>
  <si>
    <t>RL1.5C-OC</t>
  </si>
  <si>
    <t>1 RL 1.5 YD ON CALL-COMM</t>
  </si>
  <si>
    <t>RL2C-OC</t>
  </si>
  <si>
    <t>1 RL 2 YD ON CALL-COMM</t>
  </si>
  <si>
    <t>RL3C-OC</t>
  </si>
  <si>
    <t>1 RL 3 YD ON CALL-COMM</t>
  </si>
  <si>
    <t>RL4C-OC</t>
  </si>
  <si>
    <t>1 RL 4 YD ON CALL-COMM</t>
  </si>
  <si>
    <t>RL1.5TC-COMM</t>
  </si>
  <si>
    <t>RL TEMPORARY 1.5 YD-COMM</t>
  </si>
  <si>
    <t>RL1TC-COMM</t>
  </si>
  <si>
    <t>RL TEMPORARY 1 YD-COMM</t>
  </si>
  <si>
    <t>RL2TC-COMM</t>
  </si>
  <si>
    <t>RL TEMPORARY 2 YD-COMM</t>
  </si>
  <si>
    <t>RL3TC-COMM</t>
  </si>
  <si>
    <t>RL TEMPORARY 3 YD - COMM</t>
  </si>
  <si>
    <t>RL4TC-COMM</t>
  </si>
  <si>
    <t>RL TEMPORARY 4 YD-COMM</t>
  </si>
  <si>
    <t>EXTRAYDG-COMM</t>
  </si>
  <si>
    <t>EXTRA YARDAGE - COMM</t>
  </si>
  <si>
    <t>RENT1.5-COMM</t>
  </si>
  <si>
    <t>RENTAL FEE 1.5 YD COMM</t>
  </si>
  <si>
    <t>RENT1.5TEMP-COMM</t>
  </si>
  <si>
    <t xml:space="preserve">RENTAL FEE 1.5 YD TEMP - </t>
  </si>
  <si>
    <t>RENT1-COMM</t>
  </si>
  <si>
    <t>RENTAL FEE 1 YD COMM MA</t>
  </si>
  <si>
    <t>RENT1TEMP-COMM</t>
  </si>
  <si>
    <t>RENTAL FEE 1 YD TEMP - COMM</t>
  </si>
  <si>
    <t>RENT2-COMM</t>
  </si>
  <si>
    <t>RENTAL FEE 2 YD COMM</t>
  </si>
  <si>
    <t>RENT2TEMP-COMM</t>
  </si>
  <si>
    <t>RENTAL FEE 2 YD TEMP - COMM</t>
  </si>
  <si>
    <t>RENT3-COMM</t>
  </si>
  <si>
    <t>RENTAL FEE 3 YD COMM</t>
  </si>
  <si>
    <t>RENT3TEMP-COMM</t>
  </si>
  <si>
    <t>RENTAL FEE 3 YD TEMP - CO</t>
  </si>
  <si>
    <t>RENT4-COMM</t>
  </si>
  <si>
    <t>RENTAL FEE 4 YD COMM</t>
  </si>
  <si>
    <t>RENT4TEMP-COMM</t>
  </si>
  <si>
    <t>RENTAL FEE 4YD TEMP - COM</t>
  </si>
  <si>
    <t>RENT6-COMM</t>
  </si>
  <si>
    <t>RENTAL FEE 6 YD COMM</t>
  </si>
  <si>
    <t>RENT8-COMM</t>
  </si>
  <si>
    <t>RENTAL FEE 8 YD COMM</t>
  </si>
  <si>
    <t>DELTEMP-COMM</t>
  </si>
  <si>
    <t>DELIVERY FEE TEMP-COMM</t>
  </si>
  <si>
    <t>REDEL-COMM</t>
  </si>
  <si>
    <t>REDELIVERY FEE - COMM</t>
  </si>
  <si>
    <t>REINSTATE-COMM</t>
  </si>
  <si>
    <t>REINSTATE FEE - COMM</t>
  </si>
  <si>
    <t>ROLL-COMM</t>
  </si>
  <si>
    <t>ROLL OUT CHARGE - COMM</t>
  </si>
  <si>
    <t>TRIP1-COMM</t>
  </si>
  <si>
    <t>TRIP FEE - COMM</t>
  </si>
  <si>
    <t>UNLCKC</t>
  </si>
  <si>
    <t>UNLOCKING FEE - COMM</t>
  </si>
  <si>
    <t>TOTAL COMMERCIAL GARBAGE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</si>
  <si>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</si>
  <si>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</si>
  <si>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</si>
  <si>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</si>
  <si>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</si>
  <si>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</si>
  <si>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</si>
  <si>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</si>
  <si>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</si>
  <si>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</si>
  <si>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</si>
  <si>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</si>
  <si>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</si>
  <si>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</si>
  <si>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</si>
  <si>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</si>
  <si>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</si>
  <si>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</si>
  <si>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</si>
  <si>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</si>
  <si>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</si>
  <si>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</si>
  <si>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</si>
  <si>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</si>
  <si>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</si>
  <si>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</si>
  <si>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</si>
  <si>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</si>
  <si>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</si>
  <si>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</si>
  <si>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</si>
  <si>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</si>
  <si>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</si>
  <si>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</si>
  <si>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</si>
  <si>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</si>
  <si>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</si>
  <si>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1.5 yd container (2)</t>
  </si>
  <si>
    <t>*</t>
  </si>
  <si>
    <t>2 yd container</t>
  </si>
  <si>
    <t>3 yd container</t>
  </si>
  <si>
    <t>3 yd container (2)</t>
  </si>
  <si>
    <t>4 yd container</t>
  </si>
  <si>
    <t>4 yd container (2)</t>
  </si>
  <si>
    <t>6 yd container</t>
  </si>
  <si>
    <t>6 yd container (2)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</si>
  <si>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</si>
  <si>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</si>
  <si>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</si>
  <si>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</si>
  <si>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</si>
  <si>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</si>
  <si>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</si>
  <si>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</si>
  <si>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</si>
  <si>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</si>
  <si>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</si>
  <si>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</si>
  <si>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</si>
  <si>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</si>
  <si>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</si>
  <si>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</si>
  <si>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</si>
  <si>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</si>
  <si>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</si>
  <si>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</si>
  <si>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Factor</t>
  </si>
  <si>
    <t>Residential</t>
  </si>
  <si>
    <t>Commercial</t>
  </si>
  <si>
    <t>Monthly Customers</t>
  </si>
  <si>
    <t>Monthly Frequency</t>
  </si>
  <si>
    <t>Annual Pickups</t>
  </si>
  <si>
    <t>Calculated Annual Pounds</t>
  </si>
  <si>
    <t>Adjusted Annual Pounds</t>
  </si>
  <si>
    <t>Gross Up</t>
  </si>
  <si>
    <t>Company Current Tariff</t>
  </si>
  <si>
    <t>Company Proposed Tariff</t>
  </si>
  <si>
    <t>Company Current Revenue</t>
  </si>
  <si>
    <t xml:space="preserve">  Average Monthly Cust divide by </t>
  </si>
  <si>
    <t>Whitman County</t>
  </si>
  <si>
    <t>Increase per Ton</t>
  </si>
  <si>
    <t>Tons</t>
  </si>
  <si>
    <t>Adjustment Factor Calculation</t>
  </si>
  <si>
    <t>Total Tonnage</t>
  </si>
  <si>
    <t>Total Pounds</t>
  </si>
  <si>
    <t>Total Pick Ups</t>
  </si>
  <si>
    <t>Adjustment factor</t>
  </si>
  <si>
    <t>Oversized Unit</t>
  </si>
  <si>
    <t>Mini Can</t>
  </si>
  <si>
    <t>1 Can Weekly</t>
  </si>
  <si>
    <t>2 Can Weekly</t>
  </si>
  <si>
    <t>3 Can Weekly</t>
  </si>
  <si>
    <t>4 Can Weekly</t>
  </si>
  <si>
    <t>5 Can Weekly</t>
  </si>
  <si>
    <t>6 Can Weekly</t>
  </si>
  <si>
    <t>65 Gal Weekly</t>
  </si>
  <si>
    <t>90 Gal Weekly</t>
  </si>
  <si>
    <t xml:space="preserve">1 Can </t>
  </si>
  <si>
    <t>32 Gal Extra</t>
  </si>
  <si>
    <t>Bag</t>
  </si>
  <si>
    <t>On-Call</t>
  </si>
  <si>
    <t>Loose Material 1-4yd</t>
  </si>
  <si>
    <t>Loose Material per Yard</t>
  </si>
  <si>
    <t>Loose Material Min Charge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</si>
  <si>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</si>
  <si>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</si>
  <si>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</si>
  <si>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</si>
  <si>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</si>
  <si>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</si>
  <si>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</si>
  <si>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</si>
  <si>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</si>
  <si>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</si>
  <si>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</si>
  <si>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</si>
  <si>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</si>
  <si>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</si>
  <si>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</si>
  <si>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</si>
  <si>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</si>
  <si>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</si>
  <si>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</si>
  <si>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</si>
  <si>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</si>
  <si>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</t>
  </si>
  <si>
    <t>Monthly Minumum</t>
  </si>
  <si>
    <t>65 Gal</t>
  </si>
  <si>
    <t>90 Gal</t>
  </si>
  <si>
    <t>1 yard</t>
  </si>
  <si>
    <t>1.5 yard</t>
  </si>
  <si>
    <t>6  Yard</t>
  </si>
  <si>
    <t>8 yard</t>
  </si>
  <si>
    <t>1 yard - Special</t>
  </si>
  <si>
    <t>1.5 yard - Special</t>
  </si>
  <si>
    <t>6  Yard - Special</t>
  </si>
  <si>
    <t>8 yard - Special</t>
  </si>
  <si>
    <t>Whitman County TFS</t>
  </si>
  <si>
    <t>Add'l Cont</t>
  </si>
  <si>
    <t>Add'l PU's</t>
  </si>
  <si>
    <t>Company Proposed Revenue</t>
  </si>
  <si>
    <t>No Current Customers</t>
  </si>
  <si>
    <t>5 Can</t>
  </si>
  <si>
    <t>6 Can</t>
  </si>
  <si>
    <t>65 Gal Special</t>
  </si>
  <si>
    <t>90 Gal Special</t>
  </si>
  <si>
    <t>RL065.0G1W002</t>
  </si>
  <si>
    <t>RL 65 GL 1X WK 2</t>
  </si>
  <si>
    <t>DRIVEIN1-RES</t>
  </si>
  <si>
    <t xml:space="preserve">DRIVE IN 125-250' - RES </t>
  </si>
  <si>
    <t>WI1-RES</t>
  </si>
  <si>
    <t>WALK IN 5-25 FT - RES</t>
  </si>
  <si>
    <t>TIME-RES</t>
  </si>
  <si>
    <t>TIME FEE 1 - RES</t>
  </si>
  <si>
    <t>RESIDENTIAL RECYCLING</t>
  </si>
  <si>
    <t>RRECWGBG</t>
  </si>
  <si>
    <t>RESI RECYCLE WITH GARBAGE</t>
  </si>
  <si>
    <t>TOTAL RESIDENTIAL RECYCLING</t>
  </si>
  <si>
    <t>RL001.0Y1M001</t>
  </si>
  <si>
    <t>RL 1 YD 1X MO 1</t>
  </si>
  <si>
    <t>RL006.0Y5W001</t>
  </si>
  <si>
    <t>RL 6 YD 5X WEEK</t>
  </si>
  <si>
    <t>RL032.0G1W003COMM</t>
  </si>
  <si>
    <t>RL 32 GL 1X WK COMM 3</t>
  </si>
  <si>
    <t>RL065.0G1W002COMM</t>
  </si>
  <si>
    <t>RL 65 GL 1X WK COMM 2</t>
  </si>
  <si>
    <t>RL6C-OC</t>
  </si>
  <si>
    <t>1 RL 6 YD ON CALL - COMM</t>
  </si>
  <si>
    <t xml:space="preserve">DRIVEIN1-COMM </t>
  </si>
  <si>
    <t>DRIVE IN 125-250' - COMM</t>
  </si>
  <si>
    <t>COMMERCIAL RECYCLING</t>
  </si>
  <si>
    <t>RECCOMSVC1W001</t>
  </si>
  <si>
    <t>COMMERCIAL RECYCLE WEEKLY</t>
  </si>
  <si>
    <t>TOTAL COMMERCIAL RECYCLING</t>
  </si>
  <si>
    <t>MEDICAL WASTE</t>
  </si>
  <si>
    <t>HAULMED-COMM</t>
  </si>
  <si>
    <t>MEDICAL WASTE SERVICE - COMM</t>
  </si>
  <si>
    <t>TOTAL MEDICAL WASTE</t>
  </si>
  <si>
    <t>DROP BOX SERVICES</t>
  </si>
  <si>
    <t>DROP BOX HAULS/RENTAL</t>
  </si>
  <si>
    <t>HAUL25-RO</t>
  </si>
  <si>
    <t>HAUL 25 YD - RO</t>
  </si>
  <si>
    <t>HAUL25TEMP-RO</t>
  </si>
  <si>
    <t>HAUL 25 YD TEMP - RO</t>
  </si>
  <si>
    <t>HAUL40-RO</t>
  </si>
  <si>
    <t>HAUL 40 YD - RO</t>
  </si>
  <si>
    <t>HAUL40TEMP-RO</t>
  </si>
  <si>
    <t>HAUL 40 YD TEMP - RO</t>
  </si>
  <si>
    <t>RENT25MO-RO</t>
  </si>
  <si>
    <t>RENTAL FEE 25YD MONTHLY</t>
  </si>
  <si>
    <t>RENT40MO-RO</t>
  </si>
  <si>
    <t>RENTAL FEE 40 YD MONTHLY</t>
  </si>
  <si>
    <t>DEL-RO</t>
  </si>
  <si>
    <t>DELIVERY FEE - RO</t>
  </si>
  <si>
    <t>MILE-RO</t>
  </si>
  <si>
    <t>MILEAGE FEE - RO</t>
  </si>
  <si>
    <t xml:space="preserve">TOTAL DROP BOX </t>
  </si>
  <si>
    <t>PASSTHROUGH DISPOSAL</t>
  </si>
  <si>
    <t>DISP-RO</t>
  </si>
  <si>
    <t>DISPOSAL CHARGE - RO</t>
  </si>
  <si>
    <t>TOTAL PASSTHROUGH DISPOSAL</t>
  </si>
  <si>
    <t>Service Charges</t>
  </si>
  <si>
    <t>FINCHG</t>
  </si>
  <si>
    <t>FINANCE CHARGE</t>
  </si>
  <si>
    <t>RETCKC</t>
  </si>
  <si>
    <t>RETURN CHECK CHARGE</t>
  </si>
  <si>
    <t>ADJ-FIN</t>
  </si>
  <si>
    <t>ADJUSTMENT FINANCE CHARGE</t>
  </si>
  <si>
    <t>TOTAL SERVICE CHARGES</t>
  </si>
  <si>
    <t>TOTAL REVENUE</t>
  </si>
  <si>
    <t>Transfer Station</t>
  </si>
  <si>
    <t>Roll Off</t>
  </si>
  <si>
    <t>MSW</t>
  </si>
  <si>
    <t>$</t>
  </si>
  <si>
    <t>Lbs</t>
  </si>
  <si>
    <t>%</t>
  </si>
  <si>
    <t>Regulated</t>
  </si>
  <si>
    <t>Non-Regulated</t>
  </si>
  <si>
    <t>Empire Disposal, Inc. G-75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</si>
  <si>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</si>
  <si>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</si>
  <si>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</si>
  <si>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</si>
  <si>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</si>
  <si>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</si>
  <si>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</si>
  <si>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Whitman Dump Fee Calculation</t>
  </si>
  <si>
    <t>Tariff Page</t>
  </si>
  <si>
    <t>Scheduled Service</t>
  </si>
  <si>
    <t>Tariff Rate Increase</t>
  </si>
  <si>
    <t>Company Calculated Rate</t>
  </si>
  <si>
    <t>Company Increased Revenue</t>
  </si>
  <si>
    <t>Check</t>
  </si>
  <si>
    <t>Revised Tariff Rate</t>
  </si>
  <si>
    <t>Revised Revenue</t>
  </si>
  <si>
    <t>Revised Revenue Increase</t>
  </si>
  <si>
    <t xml:space="preserve"> Company Over/ (Under)</t>
  </si>
  <si>
    <t>Totals</t>
  </si>
  <si>
    <t>Current Tariff Rate</t>
  </si>
  <si>
    <t>Proposed Increase</t>
  </si>
  <si>
    <t>Whitman Disposal Summary</t>
  </si>
  <si>
    <t>Item 55, Pg. 21</t>
  </si>
  <si>
    <t>Item 100, Pg. 26</t>
  </si>
  <si>
    <t>Item 100, Pg. 27</t>
  </si>
  <si>
    <t>Item 150, Pg. 30</t>
  </si>
  <si>
    <t>Item 230, Pg. 36</t>
  </si>
  <si>
    <t>Item 240, Pg. 37</t>
  </si>
  <si>
    <t>Item 245, Pg 38</t>
  </si>
  <si>
    <t>Item 255, Pg 39</t>
  </si>
  <si>
    <t>90 Gal Special PU</t>
  </si>
  <si>
    <t>65 Gal Special PU</t>
  </si>
  <si>
    <t>32 Gal Special PU</t>
  </si>
  <si>
    <t>Resi.</t>
  </si>
  <si>
    <t>Roll-Off</t>
  </si>
  <si>
    <t>Empire Dump Fee Calc References</t>
  </si>
  <si>
    <t>Comm.</t>
  </si>
  <si>
    <t>Empire Disposal Inc.</t>
  </si>
  <si>
    <t>BILL AREAS: ALBION, COLFAX, MALDEN, OAKESDALE, PALOUSE, UNIONTOWN, WHITMAN COUNTY</t>
  </si>
  <si>
    <t>Whitman Co. Regulated - Price Out</t>
  </si>
  <si>
    <t>LG Check</t>
  </si>
  <si>
    <t>Avg Cust</t>
  </si>
  <si>
    <t>Packer &amp; Roll-off</t>
  </si>
  <si>
    <t>Recycling</t>
  </si>
  <si>
    <t>Medical Waste</t>
  </si>
  <si>
    <t>Annual Increase</t>
  </si>
  <si>
    <t>Proposed</t>
  </si>
  <si>
    <t>per Month</t>
  </si>
  <si>
    <t>Tariff Rate</t>
  </si>
  <si>
    <t>Annual Revenue</t>
  </si>
  <si>
    <t>Plug to Match LG</t>
  </si>
  <si>
    <t>TRIP-RES</t>
  </si>
  <si>
    <t>TRIP FEE - RES</t>
  </si>
  <si>
    <t>RL001.0Y1W002</t>
  </si>
  <si>
    <t>RL 1 YD 1X WK 2</t>
  </si>
  <si>
    <t>RL003.0Y3W002</t>
  </si>
  <si>
    <t>RL 3 YD 3X WK 2</t>
  </si>
  <si>
    <t>RL004.0Y2W001</t>
  </si>
  <si>
    <t>RL 4 YD 2X WK 1</t>
  </si>
  <si>
    <t>RL8C-OC</t>
  </si>
  <si>
    <t>8 YD ON CALL - COMM</t>
  </si>
  <si>
    <t>RL90C-OC</t>
  </si>
  <si>
    <t>1 RL 90 GL ON CALL-COMM</t>
  </si>
  <si>
    <t>CLEAN1YD-COMM</t>
  </si>
  <si>
    <t>CONT CLEAN 1 YD - COMM</t>
  </si>
  <si>
    <t>PUREDEL1-COMM</t>
  </si>
  <si>
    <t>PU/REDEL UP TO 8 YDS - COMM</t>
  </si>
  <si>
    <t>DIST-COM</t>
  </si>
  <si>
    <t>DISTANCE FEE - COMM</t>
  </si>
  <si>
    <t>COMMERCIAL RECYCLING (NON-REG)</t>
  </si>
  <si>
    <t>HAULMEDADDL6-COMM</t>
  </si>
  <si>
    <t>MED WASTE ADDL CONT 6+</t>
  </si>
  <si>
    <t>HAULMEDADDL-COMM</t>
  </si>
  <si>
    <t>MED WASTE ADDL CONT 2-5</t>
  </si>
  <si>
    <t>Garbage Check</t>
  </si>
  <si>
    <t>Spokane Co</t>
  </si>
  <si>
    <t>Resi</t>
  </si>
  <si>
    <t>Whitman Co</t>
  </si>
  <si>
    <t>Comm</t>
  </si>
  <si>
    <t>RO</t>
  </si>
  <si>
    <t>Per LG</t>
  </si>
  <si>
    <t>Note from Heather Garland: Customer Counts and Disposal Schedule have been copied from TG-180153.</t>
  </si>
  <si>
    <t>Note from Heather Garland: Customer Counts and Disposal Schedule have been copied from TG-180153.  The information shaded gray was taken directly from the audited file.</t>
  </si>
  <si>
    <t>Jan. 1, 2017 - Dec. 31, 2017</t>
  </si>
  <si>
    <t>Effective 1-1-2021</t>
  </si>
  <si>
    <t>New 1/1/2023 Rate</t>
  </si>
  <si>
    <t>Proposed Whitman Rates Effective 1-1-2023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</si>
</sst>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.0%"/>
    <numFmt numFmtId="167" formatCode="_(&quot;$&quot;* #,##0.000_);_(&quot;$&quot;* \(#,##0.000\);_(&quot;$&quot;* &quot;-&quot;??_);_(@_)"/>
    <numFmt numFmtId="168" formatCode="_(* #,##0.000000_);_(* \(#,##0.000000\);_(* &quot;-&quot;??_);_(@_)"/>
    <numFmt numFmtId="169" formatCode="_(&quot;$&quot;* #,##0.000000_);_(&quot;$&quot;* \(#,##0.000000\);_(&quot;$&quot;* &quot;-&quot;??_);_(@_)"/>
    <numFmt numFmtId="170" formatCode="0.0000%"/>
    <numFmt numFmtId="171" formatCode="0.000000"/>
    <numFmt numFmtId="172" formatCode="&quot;$&quot;#,##0\ ;\(&quot;$&quot;#,##0\)"/>
    <numFmt numFmtId="173" formatCode="_([$$-409]* #,##0.00_);_([$$-409]* \(#,##0.00\);_([$$-409]* &quot;-&quot;??_);_(@_)"/>
    <numFmt numFmtId="174" formatCode="_(&quot;$&quot;* #,##0_);_(&quot;$&quot;* \(#,##0\);_(&quot;$&quot;* &quot;-&quot;??_);_(@_)"/>
    <numFmt numFmtId="175" formatCode="mm\-yy;\-0;;@"/>
    <numFmt numFmtId="176" formatCode=".00#####;\-.00####;;@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51"/>
      <name val="Calibri"/>
      <family val="2"/>
    </font>
    <font>
      <sz val="12"/>
      <name val="CG Omega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1"/>
      <color theme="10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singleAccounting"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366FF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b/>
      <sz val="11"/>
      <color indexed="18"/>
      <name val="Britannic Bold"/>
      <family val="2"/>
    </font>
    <font>
      <sz val="12"/>
      <color theme="1"/>
      <name val="Calibri"/>
      <family val="2"/>
      <scheme val="minor"/>
    </font>
    <font>
      <sz val="11"/>
      <name val="Bookman Old Style"/>
      <family val="1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7.5"/>
      <color indexed="12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8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3" fontId="3" fillId="0" borderId="0"/>
    <xf numFmtId="3" fontId="3" fillId="0" borderId="0"/>
    <xf numFmtId="3" fontId="3" fillId="0" borderId="0"/>
    <xf numFmtId="3" fontId="3" fillId="0" borderId="0"/>
    <xf numFmtId="0" fontId="7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3" fillId="27" borderId="0">
      <alignment horizont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1" fillId="0" borderId="0"/>
    <xf numFmtId="0" fontId="12" fillId="0" borderId="0"/>
    <xf numFmtId="0" fontId="12" fillId="0" borderId="0"/>
    <xf numFmtId="0" fontId="13" fillId="28" borderId="6" applyAlignment="0">
      <alignment horizontal="right"/>
      <protection locked="0"/>
    </xf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9" borderId="0">
      <alignment horizontal="right"/>
      <protection locked="0"/>
    </xf>
    <xf numFmtId="14" fontId="3" fillId="0" borderId="0"/>
    <xf numFmtId="0" fontId="16" fillId="0" borderId="0" applyNumberFormat="0" applyFill="0" applyBorder="0" applyAlignment="0" applyProtection="0"/>
    <xf numFmtId="2" fontId="15" fillId="29" borderId="0">
      <alignment horizontal="right"/>
      <protection locked="0"/>
    </xf>
    <xf numFmtId="1" fontId="3" fillId="0" borderId="0">
      <alignment horizontal="center"/>
    </xf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3" fontId="29" fillId="31" borderId="0">
      <protection locked="0"/>
    </xf>
    <xf numFmtId="4" fontId="29" fillId="31" borderId="0">
      <protection locked="0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43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4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166" fontId="36" fillId="0" borderId="0" applyNumberFormat="0"/>
    <xf numFmtId="0" fontId="22" fillId="24" borderId="18" applyNumberFormat="0" applyAlignment="0" applyProtection="0"/>
    <xf numFmtId="0" fontId="37" fillId="24" borderId="1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0" fontId="39" fillId="0" borderId="20">
      <alignment horizont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Border="0" applyAlignment="0"/>
    <xf numFmtId="37" fontId="41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47" fillId="0" borderId="0" applyNumberFormat="0" applyFont="0" applyFill="0" applyBorder="0">
      <alignment horizontal="left" indent="4"/>
      <protection locked="0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34" borderId="0" applyNumberFormat="0" applyFont="0" applyBorder="0" applyAlignment="0" applyProtection="0"/>
    <xf numFmtId="0" fontId="31" fillId="0" borderId="0" applyNumberFormat="0" applyFill="0" applyBorder="0" applyAlignment="0" applyProtection="0"/>
    <xf numFmtId="164" fontId="35" fillId="35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3" applyNumberFormat="0" applyAlignment="0" applyProtection="0"/>
    <xf numFmtId="0" fontId="50" fillId="24" borderId="3" applyNumberFormat="0" applyAlignment="0" applyProtection="0"/>
    <xf numFmtId="0" fontId="7" fillId="2" borderId="3" applyNumberFormat="0" applyAlignment="0" applyProtection="0"/>
    <xf numFmtId="0" fontId="8" fillId="24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" fillId="0" borderId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7" applyNumberFormat="0" applyFill="0" applyAlignment="0" applyProtection="0"/>
    <xf numFmtId="0" fontId="52" fillId="0" borderId="25" applyNumberFormat="0" applyFill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10" applyNumberFormat="0" applyFill="0" applyAlignment="0" applyProtection="0"/>
    <xf numFmtId="0" fontId="20" fillId="0" borderId="11" applyNumberFormat="0" applyFill="0" applyAlignment="0" applyProtection="0"/>
    <xf numFmtId="0" fontId="22" fillId="0" borderId="12" applyNumberFormat="0" applyFill="0" applyAlignment="0" applyProtection="0"/>
    <xf numFmtId="0" fontId="24" fillId="0" borderId="26" applyNumberFormat="0" applyFill="0" applyAlignment="0" applyProtection="0"/>
    <xf numFmtId="0" fontId="23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0" fontId="30" fillId="0" borderId="15" applyNumberFormat="0" applyFill="0" applyAlignment="0" applyProtection="0"/>
    <xf numFmtId="0" fontId="55" fillId="0" borderId="27" applyNumberFormat="0" applyFill="0" applyAlignment="0" applyProtection="0"/>
    <xf numFmtId="0" fontId="31" fillId="0" borderId="16" applyNumberFormat="0" applyFill="0" applyAlignment="0" applyProtection="0"/>
    <xf numFmtId="0" fontId="32" fillId="10" borderId="0" applyNumberFormat="0" applyBorder="0" applyAlignment="0" applyProtection="0"/>
    <xf numFmtId="0" fontId="56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0" borderId="0"/>
    <xf numFmtId="0" fontId="4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3" fillId="0" borderId="0"/>
    <xf numFmtId="0" fontId="1" fillId="0" borderId="0"/>
    <xf numFmtId="0" fontId="57" fillId="0" borderId="0"/>
    <xf numFmtId="0" fontId="4" fillId="0" borderId="0"/>
    <xf numFmtId="0" fontId="51" fillId="0" borderId="0"/>
    <xf numFmtId="0" fontId="3" fillId="0" borderId="0"/>
    <xf numFmtId="0" fontId="1" fillId="0" borderId="0"/>
    <xf numFmtId="0" fontId="5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165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/>
    <xf numFmtId="165" fontId="3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6" borderId="17" applyNumberFormat="0" applyFont="0" applyAlignment="0" applyProtection="0"/>
    <xf numFmtId="0" fontId="11" fillId="6" borderId="17" applyNumberFormat="0" applyFont="0" applyAlignment="0" applyProtection="0"/>
    <xf numFmtId="0" fontId="10" fillId="6" borderId="17" applyNumberFormat="0" applyFont="0" applyAlignment="0" applyProtection="0"/>
    <xf numFmtId="0" fontId="34" fillId="6" borderId="17" applyNumberFormat="0" applyFont="0" applyAlignment="0" applyProtection="0"/>
    <xf numFmtId="0" fontId="37" fillId="24" borderId="19" applyNumberFormat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4" fillId="0" borderId="28" applyNumberFormat="0" applyFill="0" applyAlignment="0" applyProtection="0"/>
    <xf numFmtId="0" fontId="44" fillId="0" borderId="22" applyNumberFormat="0" applyFill="0" applyAlignment="0" applyProtection="0"/>
    <xf numFmtId="0" fontId="44" fillId="0" borderId="23" applyNumberFormat="0" applyFill="0" applyAlignment="0" applyProtection="0"/>
    <xf numFmtId="0" fontId="3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" fillId="9" borderId="0" applyNumberFormat="0" applyBorder="0" applyAlignment="0" applyProtection="0"/>
    <xf numFmtId="0" fontId="80" fillId="4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80" fillId="5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80" fillId="57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80" fillId="61" borderId="0" applyNumberFormat="0" applyBorder="0" applyAlignment="0" applyProtection="0"/>
    <xf numFmtId="0" fontId="5" fillId="9" borderId="0" applyNumberFormat="0" applyBorder="0" applyAlignment="0" applyProtection="0"/>
    <xf numFmtId="0" fontId="80" fillId="65" borderId="0" applyNumberFormat="0" applyBorder="0" applyAlignment="0" applyProtection="0"/>
    <xf numFmtId="0" fontId="80" fillId="69" borderId="0" applyNumberFormat="0" applyBorder="0" applyAlignment="0" applyProtection="0"/>
    <xf numFmtId="0" fontId="5" fillId="19" borderId="0" applyNumberFormat="0" applyBorder="0" applyAlignment="0" applyProtection="0"/>
    <xf numFmtId="0" fontId="80" fillId="46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80" fillId="50" borderId="0" applyNumberFormat="0" applyBorder="0" applyAlignment="0" applyProtection="0"/>
    <xf numFmtId="0" fontId="5" fillId="12" borderId="0" applyNumberFormat="0" applyBorder="0" applyAlignment="0" applyProtection="0"/>
    <xf numFmtId="0" fontId="80" fillId="5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80" fillId="58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80" fillId="62" borderId="0" applyNumberFormat="0" applyBorder="0" applyAlignment="0" applyProtection="0"/>
    <xf numFmtId="0" fontId="5" fillId="20" borderId="0" applyNumberFormat="0" applyBorder="0" applyAlignment="0" applyProtection="0"/>
    <xf numFmtId="0" fontId="80" fillId="66" borderId="0" applyNumberFormat="0" applyBorder="0" applyAlignment="0" applyProtection="0"/>
    <xf numFmtId="49" fontId="99" fillId="0" borderId="0" applyFill="0" applyBorder="0" applyAlignment="0" applyProtection="0"/>
    <xf numFmtId="0" fontId="100" fillId="0" borderId="29" applyBorder="0">
      <alignment horizontal="center" vertical="center" wrapText="1"/>
    </xf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72" fillId="40" borderId="0" applyNumberFormat="0" applyBorder="0" applyAlignment="0" applyProtection="0"/>
    <xf numFmtId="0" fontId="8" fillId="24" borderId="3" applyNumberFormat="0" applyAlignment="0" applyProtection="0"/>
    <xf numFmtId="0" fontId="76" fillId="43" borderId="43" applyNumberFormat="0" applyAlignment="0" applyProtection="0"/>
    <xf numFmtId="0" fontId="9" fillId="25" borderId="4" applyNumberFormat="0" applyAlignment="0" applyProtection="0"/>
    <xf numFmtId="0" fontId="9" fillId="26" borderId="5" applyNumberFormat="0" applyAlignment="0" applyProtection="0"/>
    <xf numFmtId="0" fontId="78" fillId="44" borderId="46" applyNumberFormat="0" applyAlignment="0" applyProtection="0"/>
    <xf numFmtId="0" fontId="101" fillId="70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9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8" fillId="0" borderId="9" applyNumberFormat="0" applyFill="0" applyAlignment="0" applyProtection="0"/>
    <xf numFmtId="0" fontId="69" fillId="0" borderId="40" applyNumberFormat="0" applyFill="0" applyAlignment="0" applyProtection="0"/>
    <xf numFmtId="0" fontId="20" fillId="0" borderId="11" applyNumberFormat="0" applyFill="0" applyAlignment="0" applyProtection="0"/>
    <xf numFmtId="0" fontId="70" fillId="0" borderId="41" applyNumberFormat="0" applyFill="0" applyAlignment="0" applyProtection="0"/>
    <xf numFmtId="0" fontId="22" fillId="0" borderId="14" applyNumberFormat="0" applyFill="0" applyAlignment="0" applyProtection="0"/>
    <xf numFmtId="0" fontId="71" fillId="0" borderId="42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7" fillId="10" borderId="3" applyNumberFormat="0" applyAlignment="0" applyProtection="0"/>
    <xf numFmtId="0" fontId="28" fillId="10" borderId="3" applyNumberFormat="0" applyAlignment="0" applyProtection="0"/>
    <xf numFmtId="0" fontId="28" fillId="10" borderId="3" applyNumberFormat="0" applyAlignment="0" applyProtection="0"/>
    <xf numFmtId="0" fontId="74" fillId="42" borderId="43" applyNumberFormat="0" applyAlignment="0" applyProtection="0"/>
    <xf numFmtId="0" fontId="100" fillId="0" borderId="29" applyBorder="0">
      <alignment horizontal="center" vertical="center" wrapText="1"/>
    </xf>
    <xf numFmtId="0" fontId="31" fillId="0" borderId="16" applyNumberFormat="0" applyFill="0" applyAlignment="0" applyProtection="0"/>
    <xf numFmtId="0" fontId="77" fillId="0" borderId="45" applyNumberFormat="0" applyFill="0" applyAlignment="0" applyProtection="0"/>
    <xf numFmtId="0" fontId="33" fillId="10" borderId="0" applyNumberFormat="0" applyBorder="0" applyAlignment="0" applyProtection="0"/>
    <xf numFmtId="0" fontId="73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57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40" fontId="103" fillId="0" borderId="0"/>
    <xf numFmtId="0" fontId="3" fillId="0" borderId="0"/>
    <xf numFmtId="40" fontId="10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4" fillId="0" borderId="0"/>
    <xf numFmtId="0" fontId="11" fillId="0" borderId="0">
      <alignment vertical="top"/>
    </xf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4" fillId="0" borderId="0"/>
    <xf numFmtId="0" fontId="34" fillId="0" borderId="0"/>
    <xf numFmtId="0" fontId="1" fillId="0" borderId="0"/>
    <xf numFmtId="0" fontId="11" fillId="0" borderId="0">
      <alignment vertical="top"/>
    </xf>
    <xf numFmtId="0" fontId="3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3" fillId="0" borderId="0"/>
    <xf numFmtId="0" fontId="34" fillId="0" borderId="0"/>
    <xf numFmtId="0" fontId="11" fillId="0" borderId="0">
      <alignment vertical="top"/>
    </xf>
    <xf numFmtId="0" fontId="3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" fillId="0" borderId="0"/>
    <xf numFmtId="0" fontId="4" fillId="0" borderId="0"/>
    <xf numFmtId="0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6" borderId="17" applyNumberFormat="0" applyFont="0" applyAlignment="0" applyProtection="0"/>
    <xf numFmtId="0" fontId="4" fillId="6" borderId="17" applyNumberFormat="0" applyFont="0" applyAlignment="0" applyProtection="0"/>
    <xf numFmtId="0" fontId="1" fillId="45" borderId="47" applyNumberFormat="0" applyFont="0" applyAlignment="0" applyProtection="0"/>
    <xf numFmtId="0" fontId="1" fillId="45" borderId="47" applyNumberFormat="0" applyFont="0" applyAlignment="0" applyProtection="0"/>
    <xf numFmtId="0" fontId="22" fillId="24" borderId="18" applyNumberFormat="0" applyAlignment="0" applyProtection="0"/>
    <xf numFmtId="0" fontId="37" fillId="24" borderId="19" applyNumberFormat="0" applyAlignment="0" applyProtection="0"/>
    <xf numFmtId="0" fontId="37" fillId="24" borderId="19" applyNumberFormat="0" applyAlignment="0" applyProtection="0"/>
    <xf numFmtId="0" fontId="75" fillId="43" borderId="4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175" fontId="14" fillId="0" borderId="0">
      <alignment horizontal="center"/>
    </xf>
    <xf numFmtId="0" fontId="11" fillId="0" borderId="0" applyNumberFormat="0" applyBorder="0" applyAlignment="0"/>
    <xf numFmtId="176" fontId="108" fillId="71" borderId="0" applyFill="0" applyBorder="0" applyProtection="0">
      <alignment horizontal="center"/>
      <protection hidden="1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45" fillId="0" borderId="48" applyNumberFormat="0" applyFill="0" applyAlignment="0" applyProtection="0"/>
    <xf numFmtId="0" fontId="109" fillId="0" borderId="0">
      <alignment horizontal="center"/>
    </xf>
    <xf numFmtId="0" fontId="46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6" xfId="0" applyBorder="1" applyAlignment="1">
      <alignment horizontal="center"/>
    </xf>
    <xf numFmtId="43" fontId="0" fillId="0" borderId="0" xfId="80" applyFont="1"/>
    <xf numFmtId="43" fontId="0" fillId="0" borderId="0" xfId="0" applyNumberFormat="1" applyAlignment="1">
      <alignment horizontal="center"/>
    </xf>
    <xf numFmtId="43" fontId="0" fillId="0" borderId="0" xfId="0" applyNumberFormat="1"/>
    <xf numFmtId="0" fontId="45" fillId="0" borderId="0" xfId="0" applyFont="1"/>
    <xf numFmtId="43" fontId="0" fillId="0" borderId="0" xfId="80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80" applyNumberFormat="1" applyFont="1"/>
    <xf numFmtId="0" fontId="0" fillId="33" borderId="0" xfId="0" applyFill="1" applyAlignment="1">
      <alignment horizont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0" fillId="32" borderId="6" xfId="0" applyFill="1" applyBorder="1" applyAlignment="1">
      <alignment horizontal="center"/>
    </xf>
    <xf numFmtId="168" fontId="0" fillId="0" borderId="0" xfId="80" applyNumberFormat="1" applyFont="1"/>
    <xf numFmtId="168" fontId="0" fillId="0" borderId="0" xfId="80" applyNumberFormat="1" applyFont="1" applyBorder="1"/>
    <xf numFmtId="168" fontId="0" fillId="0" borderId="6" xfId="80" applyNumberFormat="1" applyFont="1" applyBorder="1"/>
    <xf numFmtId="170" fontId="0" fillId="0" borderId="0" xfId="0" applyNumberFormat="1"/>
    <xf numFmtId="171" fontId="0" fillId="0" borderId="0" xfId="0" applyNumberFormat="1"/>
    <xf numFmtId="0" fontId="0" fillId="0" borderId="0" xfId="0" applyAlignment="1">
      <alignment horizontal="left"/>
    </xf>
    <xf numFmtId="164" fontId="0" fillId="0" borderId="0" xfId="80" applyNumberFormat="1" applyFont="1" applyFill="1" applyBorder="1"/>
    <xf numFmtId="44" fontId="0" fillId="0" borderId="0" xfId="1" applyFont="1" applyFill="1" applyBorder="1"/>
    <xf numFmtId="167" fontId="0" fillId="0" borderId="0" xfId="1" applyNumberFormat="1" applyFont="1" applyFill="1" applyBorder="1"/>
    <xf numFmtId="169" fontId="0" fillId="0" borderId="0" xfId="1" applyNumberFormat="1" applyFont="1" applyFill="1" applyBorder="1"/>
    <xf numFmtId="44" fontId="0" fillId="0" borderId="0" xfId="0" applyNumberFormat="1"/>
    <xf numFmtId="44" fontId="45" fillId="0" borderId="0" xfId="0" applyNumberFormat="1" applyFont="1"/>
    <xf numFmtId="3" fontId="0" fillId="0" borderId="0" xfId="1" applyNumberFormat="1" applyFont="1" applyFill="1" applyBorder="1"/>
    <xf numFmtId="0" fontId="0" fillId="0" borderId="0" xfId="0" applyAlignment="1">
      <alignment horizontal="center"/>
    </xf>
    <xf numFmtId="164" fontId="45" fillId="0" borderId="6" xfId="332" applyNumberFormat="1" applyFont="1" applyBorder="1" applyAlignment="1">
      <alignment horizontal="center"/>
    </xf>
    <xf numFmtId="164" fontId="0" fillId="0" borderId="0" xfId="332" applyNumberFormat="1" applyFont="1" applyBorder="1"/>
    <xf numFmtId="164" fontId="0" fillId="0" borderId="0" xfId="332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45" fillId="36" borderId="0" xfId="0" applyFont="1" applyFill="1"/>
    <xf numFmtId="164" fontId="0" fillId="36" borderId="0" xfId="332" applyNumberFormat="1" applyFont="1" applyFill="1" applyBorder="1"/>
    <xf numFmtId="0" fontId="48" fillId="0" borderId="0" xfId="314" applyFont="1"/>
    <xf numFmtId="0" fontId="48" fillId="0" borderId="6" xfId="314" applyFont="1" applyBorder="1"/>
    <xf numFmtId="164" fontId="0" fillId="0" borderId="6" xfId="332" applyNumberFormat="1" applyFont="1" applyBorder="1"/>
    <xf numFmtId="0" fontId="48" fillId="0" borderId="24" xfId="316" applyFont="1" applyBorder="1"/>
    <xf numFmtId="164" fontId="0" fillId="0" borderId="24" xfId="332" applyNumberFormat="1" applyFont="1" applyBorder="1"/>
    <xf numFmtId="164" fontId="0" fillId="0" borderId="24" xfId="332" applyNumberFormat="1" applyFont="1" applyFill="1" applyBorder="1"/>
    <xf numFmtId="0" fontId="48" fillId="0" borderId="0" xfId="316" applyFont="1"/>
    <xf numFmtId="164" fontId="0" fillId="0" borderId="0" xfId="332" applyNumberFormat="1" applyFont="1" applyFill="1" applyBorder="1"/>
    <xf numFmtId="0" fontId="48" fillId="0" borderId="0" xfId="317" applyFont="1"/>
    <xf numFmtId="0" fontId="0" fillId="0" borderId="0" xfId="0" applyAlignment="1">
      <alignment horizontal="center" vertical="center" textRotation="90"/>
    </xf>
    <xf numFmtId="43" fontId="48" fillId="0" borderId="0" xfId="462" applyNumberFormat="1" applyFont="1"/>
    <xf numFmtId="10" fontId="0" fillId="0" borderId="0" xfId="2" applyNumberFormat="1" applyFont="1"/>
    <xf numFmtId="0" fontId="61" fillId="32" borderId="6" xfId="0" applyFont="1" applyFill="1" applyBorder="1"/>
    <xf numFmtId="42" fontId="45" fillId="0" borderId="24" xfId="0" applyNumberFormat="1" applyFont="1" applyBorder="1"/>
    <xf numFmtId="3" fontId="0" fillId="32" borderId="6" xfId="0" applyNumberFormat="1" applyFill="1" applyBorder="1" applyAlignment="1">
      <alignment horizontal="center"/>
    </xf>
    <xf numFmtId="0" fontId="64" fillId="0" borderId="0" xfId="0" applyFont="1" applyAlignment="1">
      <alignment horizontal="left"/>
    </xf>
    <xf numFmtId="0" fontId="0" fillId="32" borderId="6" xfId="0" applyFill="1" applyBorder="1"/>
    <xf numFmtId="0" fontId="45" fillId="32" borderId="6" xfId="0" applyFont="1" applyFill="1" applyBorder="1"/>
    <xf numFmtId="42" fontId="45" fillId="0" borderId="0" xfId="0" applyNumberFormat="1" applyFont="1"/>
    <xf numFmtId="0" fontId="45" fillId="32" borderId="6" xfId="0" applyFont="1" applyFill="1" applyBorder="1" applyAlignment="1">
      <alignment horizontal="center" wrapText="1"/>
    </xf>
    <xf numFmtId="43" fontId="45" fillId="0" borderId="0" xfId="332" applyFont="1"/>
    <xf numFmtId="164" fontId="0" fillId="0" borderId="0" xfId="332" applyNumberFormat="1" applyFont="1"/>
    <xf numFmtId="164" fontId="45" fillId="32" borderId="6" xfId="332" applyNumberFormat="1" applyFont="1" applyFill="1" applyBorder="1"/>
    <xf numFmtId="164" fontId="0" fillId="32" borderId="6" xfId="332" applyNumberFormat="1" applyFont="1" applyFill="1" applyBorder="1"/>
    <xf numFmtId="164" fontId="0" fillId="0" borderId="0" xfId="332" applyNumberFormat="1" applyFont="1" applyFill="1"/>
    <xf numFmtId="164" fontId="45" fillId="0" borderId="0" xfId="332" applyNumberFormat="1" applyFont="1"/>
    <xf numFmtId="164" fontId="0" fillId="36" borderId="0" xfId="332" applyNumberFormat="1" applyFont="1" applyFill="1" applyBorder="1" applyAlignment="1">
      <alignment horizontal="right"/>
    </xf>
    <xf numFmtId="164" fontId="0" fillId="0" borderId="6" xfId="332" applyNumberFormat="1" applyFont="1" applyBorder="1" applyAlignment="1">
      <alignment horizontal="right"/>
    </xf>
    <xf numFmtId="164" fontId="0" fillId="0" borderId="24" xfId="332" applyNumberFormat="1" applyFont="1" applyBorder="1" applyAlignment="1">
      <alignment horizontal="right"/>
    </xf>
    <xf numFmtId="164" fontId="0" fillId="0" borderId="0" xfId="332" applyNumberFormat="1" applyFont="1" applyFill="1" applyBorder="1" applyAlignment="1"/>
    <xf numFmtId="43" fontId="0" fillId="0" borderId="0" xfId="332" applyFont="1"/>
    <xf numFmtId="43" fontId="0" fillId="32" borderId="6" xfId="332" applyFont="1" applyFill="1" applyBorder="1"/>
    <xf numFmtId="43" fontId="0" fillId="36" borderId="0" xfId="332" applyFont="1" applyFill="1" applyBorder="1"/>
    <xf numFmtId="43" fontId="0" fillId="0" borderId="0" xfId="332" applyFont="1" applyBorder="1"/>
    <xf numFmtId="43" fontId="0" fillId="0" borderId="6" xfId="332" applyFont="1" applyBorder="1"/>
    <xf numFmtId="43" fontId="0" fillId="0" borderId="24" xfId="332" applyFont="1" applyFill="1" applyBorder="1"/>
    <xf numFmtId="43" fontId="0" fillId="0" borderId="0" xfId="332" applyFont="1" applyFill="1" applyBorder="1"/>
    <xf numFmtId="43" fontId="0" fillId="0" borderId="0" xfId="332" applyFont="1" applyFill="1" applyBorder="1" applyAlignment="1"/>
    <xf numFmtId="173" fontId="0" fillId="0" borderId="0" xfId="0" applyNumberFormat="1"/>
    <xf numFmtId="173" fontId="45" fillId="32" borderId="6" xfId="0" applyNumberFormat="1" applyFont="1" applyFill="1" applyBorder="1"/>
    <xf numFmtId="173" fontId="0" fillId="32" borderId="6" xfId="0" applyNumberFormat="1" applyFill="1" applyBorder="1"/>
    <xf numFmtId="173" fontId="45" fillId="0" borderId="0" xfId="0" applyNumberFormat="1" applyFont="1"/>
    <xf numFmtId="173" fontId="0" fillId="36" borderId="0" xfId="332" applyNumberFormat="1" applyFont="1" applyFill="1" applyBorder="1"/>
    <xf numFmtId="173" fontId="0" fillId="36" borderId="0" xfId="0" applyNumberFormat="1" applyFill="1"/>
    <xf numFmtId="173" fontId="0" fillId="0" borderId="0" xfId="1" applyNumberFormat="1" applyFont="1" applyBorder="1"/>
    <xf numFmtId="173" fontId="0" fillId="0" borderId="6" xfId="0" applyNumberFormat="1" applyBorder="1"/>
    <xf numFmtId="173" fontId="0" fillId="0" borderId="6" xfId="1" applyNumberFormat="1" applyFont="1" applyBorder="1"/>
    <xf numFmtId="173" fontId="0" fillId="0" borderId="24" xfId="0" applyNumberFormat="1" applyBorder="1"/>
    <xf numFmtId="173" fontId="0" fillId="0" borderId="24" xfId="1" applyNumberFormat="1" applyFont="1" applyBorder="1"/>
    <xf numFmtId="173" fontId="0" fillId="0" borderId="0" xfId="1" applyNumberFormat="1" applyFont="1" applyFill="1" applyBorder="1"/>
    <xf numFmtId="173" fontId="0" fillId="39" borderId="0" xfId="0" applyNumberFormat="1" applyFill="1"/>
    <xf numFmtId="0" fontId="60" fillId="39" borderId="37" xfId="0" applyFont="1" applyFill="1" applyBorder="1"/>
    <xf numFmtId="0" fontId="0" fillId="39" borderId="34" xfId="0" applyFill="1" applyBorder="1"/>
    <xf numFmtId="0" fontId="0" fillId="39" borderId="33" xfId="0" applyFill="1" applyBorder="1"/>
    <xf numFmtId="0" fontId="0" fillId="39" borderId="20" xfId="0" applyFill="1" applyBorder="1"/>
    <xf numFmtId="43" fontId="48" fillId="39" borderId="0" xfId="4" quotePrefix="1" applyFont="1" applyFill="1" applyAlignment="1">
      <alignment horizontal="right"/>
    </xf>
    <xf numFmtId="43" fontId="61" fillId="39" borderId="0" xfId="4" applyFont="1" applyFill="1" applyBorder="1"/>
    <xf numFmtId="44" fontId="48" fillId="39" borderId="0" xfId="333" quotePrefix="1" applyFont="1" applyFill="1" applyAlignment="1">
      <alignment horizontal="right"/>
    </xf>
    <xf numFmtId="44" fontId="63" fillId="39" borderId="0" xfId="333" quotePrefix="1" applyFont="1" applyFill="1" applyBorder="1" applyAlignment="1">
      <alignment horizontal="right"/>
    </xf>
    <xf numFmtId="17" fontId="48" fillId="39" borderId="0" xfId="152" applyNumberFormat="1" applyFont="1" applyFill="1" applyAlignment="1">
      <alignment horizontal="left"/>
    </xf>
    <xf numFmtId="44" fontId="0" fillId="39" borderId="0" xfId="0" applyNumberFormat="1" applyFill="1"/>
    <xf numFmtId="44" fontId="61" fillId="39" borderId="6" xfId="333" applyFont="1" applyFill="1" applyBorder="1" applyAlignment="1">
      <alignment horizontal="center"/>
    </xf>
    <xf numFmtId="43" fontId="0" fillId="39" borderId="0" xfId="0" applyNumberFormat="1" applyFill="1"/>
    <xf numFmtId="43" fontId="61" fillId="39" borderId="31" xfId="4" applyFont="1" applyFill="1" applyBorder="1"/>
    <xf numFmtId="0" fontId="58" fillId="39" borderId="0" xfId="0" applyFont="1" applyFill="1"/>
    <xf numFmtId="0" fontId="59" fillId="39" borderId="32" xfId="0" applyFont="1" applyFill="1" applyBorder="1"/>
    <xf numFmtId="0" fontId="0" fillId="39" borderId="35" xfId="0" applyFill="1" applyBorder="1"/>
    <xf numFmtId="0" fontId="0" fillId="39" borderId="36" xfId="0" applyFill="1" applyBorder="1"/>
    <xf numFmtId="43" fontId="62" fillId="39" borderId="0" xfId="4" applyFont="1" applyFill="1" applyBorder="1"/>
    <xf numFmtId="44" fontId="62" fillId="39" borderId="0" xfId="333" applyFont="1" applyFill="1" applyBorder="1"/>
    <xf numFmtId="0" fontId="61" fillId="39" borderId="0" xfId="152" applyFont="1" applyFill="1"/>
    <xf numFmtId="44" fontId="48" fillId="39" borderId="0" xfId="333" applyFont="1" applyFill="1"/>
    <xf numFmtId="0" fontId="48" fillId="39" borderId="0" xfId="152" applyFont="1" applyFill="1"/>
    <xf numFmtId="43" fontId="48" fillId="39" borderId="0" xfId="4" applyFont="1" applyFill="1"/>
    <xf numFmtId="0" fontId="0" fillId="39" borderId="38" xfId="0" applyFill="1" applyBorder="1"/>
    <xf numFmtId="43" fontId="61" fillId="39" borderId="6" xfId="4" applyFont="1" applyFill="1" applyBorder="1" applyAlignment="1">
      <alignment horizontal="center"/>
    </xf>
    <xf numFmtId="44" fontId="0" fillId="0" borderId="36" xfId="1" applyFont="1" applyFill="1" applyBorder="1"/>
    <xf numFmtId="43" fontId="63" fillId="39" borderId="0" xfId="4" quotePrefix="1" applyFont="1" applyFill="1" applyBorder="1" applyAlignment="1">
      <alignment horizontal="right"/>
    </xf>
    <xf numFmtId="43" fontId="0" fillId="39" borderId="6" xfId="0" applyNumberFormat="1" applyFill="1" applyBorder="1"/>
    <xf numFmtId="10" fontId="0" fillId="39" borderId="0" xfId="2" applyNumberFormat="1" applyFont="1" applyFill="1" applyBorder="1"/>
    <xf numFmtId="0" fontId="0" fillId="0" borderId="24" xfId="0" applyBorder="1" applyAlignment="1">
      <alignment horizontal="center"/>
    </xf>
    <xf numFmtId="0" fontId="58" fillId="0" borderId="0" xfId="0" applyFont="1"/>
    <xf numFmtId="10" fontId="0" fillId="0" borderId="0" xfId="2" applyNumberFormat="1" applyFont="1" applyBorder="1" applyAlignment="1">
      <alignment horizontal="right"/>
    </xf>
    <xf numFmtId="0" fontId="45" fillId="0" borderId="32" xfId="0" applyFont="1" applyBorder="1"/>
    <xf numFmtId="0" fontId="0" fillId="0" borderId="35" xfId="0" applyBorder="1"/>
    <xf numFmtId="164" fontId="0" fillId="0" borderId="0" xfId="332" applyNumberFormat="1" applyFont="1" applyFill="1" applyBorder="1" applyAlignment="1">
      <alignment horizontal="right"/>
    </xf>
    <xf numFmtId="0" fontId="0" fillId="0" borderId="37" xfId="0" applyBorder="1"/>
    <xf numFmtId="0" fontId="0" fillId="0" borderId="38" xfId="0" applyBorder="1"/>
    <xf numFmtId="3" fontId="0" fillId="32" borderId="39" xfId="0" applyNumberFormat="1" applyFill="1" applyBorder="1" applyAlignment="1">
      <alignment horizontal="center"/>
    </xf>
    <xf numFmtId="43" fontId="45" fillId="32" borderId="0" xfId="332" applyFont="1" applyFill="1" applyBorder="1" applyAlignment="1">
      <alignment horizontal="center" wrapText="1"/>
    </xf>
    <xf numFmtId="0" fontId="45" fillId="39" borderId="6" xfId="0" applyFont="1" applyFill="1" applyBorder="1" applyAlignment="1">
      <alignment horizontal="center"/>
    </xf>
    <xf numFmtId="0" fontId="45" fillId="39" borderId="0" xfId="0" applyFont="1" applyFill="1"/>
    <xf numFmtId="0" fontId="0" fillId="39" borderId="0" xfId="0" applyFill="1"/>
    <xf numFmtId="44" fontId="0" fillId="0" borderId="0" xfId="1" applyFont="1" applyFill="1"/>
    <xf numFmtId="167" fontId="0" fillId="0" borderId="0" xfId="1" applyNumberFormat="1" applyFont="1" applyFill="1"/>
    <xf numFmtId="44" fontId="0" fillId="0" borderId="6" xfId="1" applyFont="1" applyFill="1" applyBorder="1"/>
    <xf numFmtId="167" fontId="0" fillId="0" borderId="6" xfId="1" applyNumberFormat="1" applyFont="1" applyFill="1" applyBorder="1"/>
    <xf numFmtId="169" fontId="0" fillId="0" borderId="0" xfId="1" applyNumberFormat="1" applyFont="1" applyFill="1"/>
    <xf numFmtId="43" fontId="0" fillId="0" borderId="0" xfId="332" applyFont="1" applyFill="1"/>
    <xf numFmtId="10" fontId="0" fillId="0" borderId="0" xfId="2" applyNumberFormat="1" applyFont="1" applyFill="1" applyBorder="1"/>
    <xf numFmtId="0" fontId="84" fillId="0" borderId="0" xfId="0" applyFont="1"/>
    <xf numFmtId="0" fontId="87" fillId="39" borderId="0" xfId="3" applyFont="1" applyFill="1" applyAlignment="1">
      <alignment horizontal="left"/>
    </xf>
    <xf numFmtId="0" fontId="84" fillId="39" borderId="0" xfId="0" applyFont="1" applyFill="1"/>
    <xf numFmtId="164" fontId="84" fillId="39" borderId="0" xfId="4" applyNumberFormat="1" applyFont="1" applyFill="1"/>
    <xf numFmtId="164" fontId="84" fillId="39" borderId="0" xfId="332" applyNumberFormat="1" applyFont="1" applyFill="1"/>
    <xf numFmtId="43" fontId="84" fillId="39" borderId="0" xfId="332" applyFont="1" applyFill="1"/>
    <xf numFmtId="43" fontId="82" fillId="39" borderId="0" xfId="4" applyFont="1" applyFill="1" applyAlignment="1">
      <alignment horizontal="center"/>
    </xf>
    <xf numFmtId="43" fontId="82" fillId="39" borderId="0" xfId="4" applyFont="1" applyFill="1"/>
    <xf numFmtId="164" fontId="82" fillId="39" borderId="0" xfId="4" applyNumberFormat="1" applyFont="1" applyFill="1"/>
    <xf numFmtId="43" fontId="82" fillId="39" borderId="0" xfId="3" applyNumberFormat="1" applyFont="1" applyFill="1"/>
    <xf numFmtId="0" fontId="82" fillId="39" borderId="0" xfId="3" applyFont="1" applyFill="1"/>
    <xf numFmtId="164" fontId="82" fillId="39" borderId="0" xfId="332" applyNumberFormat="1" applyFont="1" applyFill="1"/>
    <xf numFmtId="43" fontId="82" fillId="39" borderId="0" xfId="332" applyFont="1" applyFill="1"/>
    <xf numFmtId="0" fontId="87" fillId="39" borderId="0" xfId="3" applyFont="1" applyFill="1" applyAlignment="1">
      <alignment horizontal="right"/>
    </xf>
    <xf numFmtId="44" fontId="92" fillId="39" borderId="1" xfId="333" applyFont="1" applyFill="1" applyBorder="1"/>
    <xf numFmtId="164" fontId="84" fillId="39" borderId="0" xfId="4" applyNumberFormat="1" applyFont="1" applyFill="1" applyBorder="1"/>
    <xf numFmtId="164" fontId="84" fillId="39" borderId="2" xfId="4" applyNumberFormat="1" applyFont="1" applyFill="1" applyBorder="1"/>
    <xf numFmtId="164" fontId="84" fillId="39" borderId="1" xfId="332" applyNumberFormat="1" applyFont="1" applyFill="1" applyBorder="1"/>
    <xf numFmtId="43" fontId="84" fillId="39" borderId="0" xfId="332" applyFont="1" applyFill="1" applyBorder="1"/>
    <xf numFmtId="0" fontId="81" fillId="39" borderId="0" xfId="0" applyFont="1" applyFill="1"/>
    <xf numFmtId="0" fontId="92" fillId="39" borderId="0" xfId="3" applyFont="1" applyFill="1"/>
    <xf numFmtId="0" fontId="82" fillId="39" borderId="0" xfId="3" applyFont="1" applyFill="1" applyAlignment="1">
      <alignment horizontal="center"/>
    </xf>
    <xf numFmtId="0" fontId="85" fillId="39" borderId="0" xfId="3" applyFont="1" applyFill="1"/>
    <xf numFmtId="164" fontId="86" fillId="39" borderId="0" xfId="0" applyNumberFormat="1" applyFont="1" applyFill="1"/>
    <xf numFmtId="0" fontId="86" fillId="39" borderId="0" xfId="0" applyFont="1" applyFill="1"/>
    <xf numFmtId="0" fontId="83" fillId="39" borderId="0" xfId="3" applyFont="1" applyFill="1" applyAlignment="1">
      <alignment horizontal="left"/>
    </xf>
    <xf numFmtId="2" fontId="82" fillId="39" borderId="0" xfId="3" applyNumberFormat="1" applyFont="1" applyFill="1"/>
    <xf numFmtId="0" fontId="87" fillId="39" borderId="0" xfId="3" applyFont="1" applyFill="1" applyAlignment="1">
      <alignment horizontal="center" wrapText="1"/>
    </xf>
    <xf numFmtId="0" fontId="87" fillId="39" borderId="0" xfId="3" applyFont="1" applyFill="1" applyAlignment="1">
      <alignment horizontal="center"/>
    </xf>
    <xf numFmtId="1" fontId="87" fillId="39" borderId="0" xfId="3" applyNumberFormat="1" applyFont="1" applyFill="1" applyAlignment="1">
      <alignment horizontal="center"/>
    </xf>
    <xf numFmtId="0" fontId="81" fillId="39" borderId="0" xfId="0" applyFont="1" applyFill="1" applyAlignment="1">
      <alignment horizontal="center" wrapText="1"/>
    </xf>
    <xf numFmtId="0" fontId="81" fillId="39" borderId="0" xfId="0" applyFont="1" applyFill="1" applyAlignment="1">
      <alignment horizontal="center"/>
    </xf>
    <xf numFmtId="14" fontId="87" fillId="39" borderId="0" xfId="3" applyNumberFormat="1" applyFont="1" applyFill="1" applyAlignment="1">
      <alignment horizontal="center" wrapText="1"/>
    </xf>
    <xf numFmtId="10" fontId="81" fillId="39" borderId="0" xfId="2" applyNumberFormat="1" applyFont="1" applyFill="1" applyAlignment="1">
      <alignment horizontal="center" wrapText="1"/>
    </xf>
    <xf numFmtId="164" fontId="87" fillId="39" borderId="0" xfId="332" applyNumberFormat="1" applyFont="1" applyFill="1" applyAlignment="1">
      <alignment horizontal="center" wrapText="1"/>
    </xf>
    <xf numFmtId="43" fontId="81" fillId="39" borderId="0" xfId="332" applyFont="1" applyFill="1" applyAlignment="1">
      <alignment horizontal="center" wrapText="1"/>
    </xf>
    <xf numFmtId="164" fontId="81" fillId="39" borderId="0" xfId="332" applyNumberFormat="1" applyFont="1" applyFill="1" applyAlignment="1">
      <alignment horizontal="center" wrapText="1"/>
    </xf>
    <xf numFmtId="0" fontId="89" fillId="39" borderId="0" xfId="0" applyFont="1" applyFill="1"/>
    <xf numFmtId="0" fontId="86" fillId="39" borderId="0" xfId="0" applyFont="1" applyFill="1" applyAlignment="1">
      <alignment horizontal="right"/>
    </xf>
    <xf numFmtId="10" fontId="86" fillId="39" borderId="0" xfId="2" applyNumberFormat="1" applyFont="1" applyFill="1"/>
    <xf numFmtId="0" fontId="90" fillId="39" borderId="0" xfId="3" applyFont="1" applyFill="1" applyAlignment="1">
      <alignment horizontal="left"/>
    </xf>
    <xf numFmtId="0" fontId="0" fillId="39" borderId="0" xfId="0" applyFill="1" applyAlignment="1">
      <alignment horizontal="left"/>
    </xf>
    <xf numFmtId="0" fontId="91" fillId="39" borderId="0" xfId="0" applyFont="1" applyFill="1"/>
    <xf numFmtId="164" fontId="82" fillId="39" borderId="0" xfId="4" applyNumberFormat="1" applyFont="1" applyFill="1" applyBorder="1"/>
    <xf numFmtId="164" fontId="82" fillId="39" borderId="2" xfId="4" applyNumberFormat="1" applyFont="1" applyFill="1" applyBorder="1"/>
    <xf numFmtId="164" fontId="82" fillId="39" borderId="1" xfId="332" applyNumberFormat="1" applyFont="1" applyFill="1" applyBorder="1"/>
    <xf numFmtId="43" fontId="82" fillId="39" borderId="0" xfId="332" applyFont="1" applyFill="1" applyBorder="1"/>
    <xf numFmtId="0" fontId="90" fillId="39" borderId="0" xfId="3" applyFont="1" applyFill="1" applyAlignment="1">
      <alignment horizontal="center"/>
    </xf>
    <xf numFmtId="0" fontId="93" fillId="39" borderId="0" xfId="0" applyFont="1" applyFill="1"/>
    <xf numFmtId="0" fontId="94" fillId="39" borderId="0" xfId="3" applyFont="1" applyFill="1"/>
    <xf numFmtId="0" fontId="82" fillId="39" borderId="0" xfId="0" applyFont="1" applyFill="1" applyAlignment="1">
      <alignment vertical="top"/>
    </xf>
    <xf numFmtId="44" fontId="92" fillId="39" borderId="0" xfId="333" applyFont="1" applyFill="1" applyBorder="1"/>
    <xf numFmtId="44" fontId="84" fillId="39" borderId="0" xfId="1" applyFont="1" applyFill="1"/>
    <xf numFmtId="164" fontId="84" fillId="39" borderId="0" xfId="0" applyNumberFormat="1" applyFont="1" applyFill="1"/>
    <xf numFmtId="164" fontId="84" fillId="39" borderId="2" xfId="0" applyNumberFormat="1" applyFont="1" applyFill="1" applyBorder="1"/>
    <xf numFmtId="0" fontId="87" fillId="39" borderId="0" xfId="3" applyFont="1" applyFill="1"/>
    <xf numFmtId="164" fontId="95" fillId="39" borderId="0" xfId="332" applyNumberFormat="1" applyFont="1" applyFill="1" applyAlignment="1">
      <alignment horizontal="center"/>
    </xf>
    <xf numFmtId="164" fontId="81" fillId="39" borderId="0" xfId="332" applyNumberFormat="1" applyFont="1" applyFill="1" applyBorder="1" applyAlignment="1">
      <alignment horizontal="right"/>
    </xf>
    <xf numFmtId="174" fontId="82" fillId="39" borderId="0" xfId="1" applyNumberFormat="1" applyFont="1" applyFill="1"/>
    <xf numFmtId="43" fontId="82" fillId="39" borderId="0" xfId="3" applyNumberFormat="1" applyFont="1" applyFill="1" applyAlignment="1">
      <alignment horizontal="right"/>
    </xf>
    <xf numFmtId="0" fontId="81" fillId="39" borderId="0" xfId="0" applyFont="1" applyFill="1" applyAlignment="1">
      <alignment horizontal="right"/>
    </xf>
    <xf numFmtId="174" fontId="82" fillId="39" borderId="6" xfId="1" applyNumberFormat="1" applyFont="1" applyFill="1" applyBorder="1"/>
    <xf numFmtId="43" fontId="84" fillId="39" borderId="0" xfId="332" applyFont="1" applyFill="1" applyAlignment="1">
      <alignment horizontal="right"/>
    </xf>
    <xf numFmtId="174" fontId="81" fillId="39" borderId="0" xfId="1" applyNumberFormat="1" applyFont="1" applyFill="1"/>
    <xf numFmtId="164" fontId="84" fillId="39" borderId="6" xfId="332" applyNumberFormat="1" applyFont="1" applyFill="1" applyBorder="1"/>
    <xf numFmtId="0" fontId="96" fillId="39" borderId="0" xfId="0" applyFont="1" applyFill="1" applyAlignment="1">
      <alignment horizontal="right"/>
    </xf>
    <xf numFmtId="0" fontId="97" fillId="39" borderId="0" xfId="0" applyFont="1" applyFill="1"/>
    <xf numFmtId="174" fontId="96" fillId="39" borderId="0" xfId="1" applyNumberFormat="1" applyFont="1" applyFill="1"/>
    <xf numFmtId="174" fontId="84" fillId="39" borderId="0" xfId="1" applyNumberFormat="1" applyFont="1" applyFill="1"/>
    <xf numFmtId="0" fontId="98" fillId="39" borderId="0" xfId="0" applyFont="1" applyFill="1" applyAlignment="1">
      <alignment horizontal="right"/>
    </xf>
    <xf numFmtId="43" fontId="84" fillId="39" borderId="0" xfId="0" applyNumberFormat="1" applyFont="1" applyFill="1"/>
    <xf numFmtId="44" fontId="84" fillId="39" borderId="0" xfId="0" applyNumberFormat="1" applyFont="1" applyFill="1"/>
    <xf numFmtId="0" fontId="92" fillId="32" borderId="6" xfId="0" applyFont="1" applyFill="1" applyBorder="1"/>
    <xf numFmtId="164" fontId="81" fillId="32" borderId="6" xfId="332" applyNumberFormat="1" applyFont="1" applyFill="1" applyBorder="1"/>
    <xf numFmtId="43" fontId="84" fillId="32" borderId="6" xfId="332" applyFont="1" applyFill="1" applyBorder="1"/>
    <xf numFmtId="164" fontId="84" fillId="32" borderId="6" xfId="332" applyNumberFormat="1" applyFont="1" applyFill="1" applyBorder="1"/>
    <xf numFmtId="173" fontId="81" fillId="32" borderId="6" xfId="0" applyNumberFormat="1" applyFont="1" applyFill="1" applyBorder="1"/>
    <xf numFmtId="173" fontId="84" fillId="32" borderId="6" xfId="0" applyNumberFormat="1" applyFont="1" applyFill="1" applyBorder="1"/>
    <xf numFmtId="44" fontId="0" fillId="0" borderId="0" xfId="1" applyFont="1"/>
    <xf numFmtId="0" fontId="0" fillId="72" borderId="0" xfId="0" applyFill="1"/>
    <xf numFmtId="43" fontId="0" fillId="72" borderId="0" xfId="332" applyFont="1" applyFill="1"/>
    <xf numFmtId="164" fontId="0" fillId="33" borderId="0" xfId="332" applyNumberFormat="1" applyFont="1" applyFill="1"/>
    <xf numFmtId="0" fontId="0" fillId="32" borderId="0" xfId="0" applyFill="1" applyAlignment="1">
      <alignment horizontal="center"/>
    </xf>
    <xf numFmtId="0" fontId="0" fillId="0" borderId="0" xfId="0" applyAlignment="1">
      <alignment horizontal="left"/>
    </xf>
    <xf numFmtId="0" fontId="45" fillId="32" borderId="6" xfId="0" applyFont="1" applyFill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/>
    </xf>
    <xf numFmtId="0" fontId="58" fillId="39" borderId="0" xfId="0" applyFont="1" applyFill="1" applyAlignment="1">
      <alignment horizontal="left" wrapText="1"/>
    </xf>
    <xf numFmtId="43" fontId="61" fillId="39" borderId="29" xfId="4" applyFont="1" applyFill="1" applyBorder="1" applyAlignment="1">
      <alignment horizontal="center"/>
    </xf>
    <xf numFmtId="43" fontId="61" fillId="39" borderId="1" xfId="4" applyFont="1" applyFill="1" applyBorder="1" applyAlignment="1">
      <alignment horizontal="center"/>
    </xf>
    <xf numFmtId="43" fontId="61" fillId="39" borderId="30" xfId="4" applyFont="1" applyFill="1" applyBorder="1" applyAlignment="1">
      <alignment horizontal="center"/>
    </xf>
    <xf numFmtId="0" fontId="61" fillId="39" borderId="29" xfId="152" applyFont="1" applyFill="1" applyBorder="1" applyAlignment="1">
      <alignment horizontal="center"/>
    </xf>
    <xf numFmtId="0" fontId="61" fillId="39" borderId="30" xfId="152" applyFont="1" applyFill="1" applyBorder="1" applyAlignment="1">
      <alignment horizontal="center"/>
    </xf>
    <xf numFmtId="43" fontId="67" fillId="39" borderId="0" xfId="4" applyFont="1" applyFill="1" applyAlignment="1">
      <alignment horizontal="center"/>
    </xf>
    <xf numFmtId="0" fontId="61" fillId="39" borderId="0" xfId="152" applyFont="1" applyFill="1" applyAlignment="1">
      <alignment horizontal="center"/>
    </xf>
    <xf numFmtId="164" fontId="81" fillId="39" borderId="0" xfId="332" applyNumberFormat="1" applyFont="1" applyFill="1" applyAlignment="1">
      <alignment horizontal="center" wrapText="1"/>
    </xf>
    <xf numFmtId="164" fontId="88" fillId="39" borderId="0" xfId="332" applyNumberFormat="1" applyFont="1" applyFill="1" applyBorder="1" applyAlignment="1">
      <alignment horizontal="center"/>
    </xf>
  </cellXfs>
  <cellStyles count="1262">
    <cellStyle name="20% - Accent1 2" xfId="6" xr:uid="{00000000-0005-0000-0000-000000000000}"/>
    <cellStyle name="20% - Accent1 2 2" xfId="334" xr:uid="{00000000-0005-0000-0000-000001000000}"/>
    <cellStyle name="20% - Accent1 2 3" xfId="335" xr:uid="{00000000-0005-0000-0000-000002000000}"/>
    <cellStyle name="20% - Accent1 2 4" xfId="564" xr:uid="{00000000-0005-0000-0000-000003000000}"/>
    <cellStyle name="20% - Accent1 3" xfId="7" xr:uid="{00000000-0005-0000-0000-000004000000}"/>
    <cellStyle name="20% - Accent1 3 2" xfId="336" xr:uid="{00000000-0005-0000-0000-000005000000}"/>
    <cellStyle name="20% - Accent1 3 3" xfId="337" xr:uid="{00000000-0005-0000-0000-000006000000}"/>
    <cellStyle name="20% - Accent1 4" xfId="8" xr:uid="{00000000-0005-0000-0000-000007000000}"/>
    <cellStyle name="20% - Accent1 4 2" xfId="565" xr:uid="{00000000-0005-0000-0000-000008000000}"/>
    <cellStyle name="20% - Accent1 5" xfId="566" xr:uid="{00000000-0005-0000-0000-000009000000}"/>
    <cellStyle name="20% - Accent2 2" xfId="9" xr:uid="{00000000-0005-0000-0000-00000A000000}"/>
    <cellStyle name="20% - Accent2 3" xfId="297" xr:uid="{00000000-0005-0000-0000-00000B000000}"/>
    <cellStyle name="20% - Accent2 3 2" xfId="338" xr:uid="{00000000-0005-0000-0000-00000C000000}"/>
    <cellStyle name="20% - Accent2 4" xfId="567" xr:uid="{00000000-0005-0000-0000-00000D000000}"/>
    <cellStyle name="20% - Accent2 5" xfId="568" xr:uid="{00000000-0005-0000-0000-00000E000000}"/>
    <cellStyle name="20% - Accent3 2" xfId="10" xr:uid="{00000000-0005-0000-0000-00000F000000}"/>
    <cellStyle name="20% - Accent3 3" xfId="298" xr:uid="{00000000-0005-0000-0000-000010000000}"/>
    <cellStyle name="20% - Accent3 3 2" xfId="339" xr:uid="{00000000-0005-0000-0000-000011000000}"/>
    <cellStyle name="20% - Accent3 4" xfId="569" xr:uid="{00000000-0005-0000-0000-000012000000}"/>
    <cellStyle name="20% - Accent3 5" xfId="570" xr:uid="{00000000-0005-0000-0000-000013000000}"/>
    <cellStyle name="20% - Accent4 2" xfId="11" xr:uid="{00000000-0005-0000-0000-000014000000}"/>
    <cellStyle name="20% - Accent4 2 2" xfId="340" xr:uid="{00000000-0005-0000-0000-000015000000}"/>
    <cellStyle name="20% - Accent4 2 3" xfId="341" xr:uid="{00000000-0005-0000-0000-000016000000}"/>
    <cellStyle name="20% - Accent4 3" xfId="12" xr:uid="{00000000-0005-0000-0000-000017000000}"/>
    <cellStyle name="20% - Accent4 3 2" xfId="342" xr:uid="{00000000-0005-0000-0000-000018000000}"/>
    <cellStyle name="20% - Accent4 3 3" xfId="343" xr:uid="{00000000-0005-0000-0000-000019000000}"/>
    <cellStyle name="20% - Accent4 4" xfId="13" xr:uid="{00000000-0005-0000-0000-00001A000000}"/>
    <cellStyle name="20% - Accent4 4 2" xfId="571" xr:uid="{00000000-0005-0000-0000-00001B000000}"/>
    <cellStyle name="20% - Accent4 5" xfId="572" xr:uid="{00000000-0005-0000-0000-00001C000000}"/>
    <cellStyle name="20% - Accent5 2" xfId="14" xr:uid="{00000000-0005-0000-0000-00001D000000}"/>
    <cellStyle name="20% - Accent5 3" xfId="299" xr:uid="{00000000-0005-0000-0000-00001E000000}"/>
    <cellStyle name="20% - Accent5 4" xfId="573" xr:uid="{00000000-0005-0000-0000-00001F000000}"/>
    <cellStyle name="20% - Accent5 5" xfId="574" xr:uid="{00000000-0005-0000-0000-000020000000}"/>
    <cellStyle name="20% - Accent6 2" xfId="15" xr:uid="{00000000-0005-0000-0000-000021000000}"/>
    <cellStyle name="20% - Accent6 3" xfId="300" xr:uid="{00000000-0005-0000-0000-000022000000}"/>
    <cellStyle name="20% - Accent6 3 2" xfId="344" xr:uid="{00000000-0005-0000-0000-000023000000}"/>
    <cellStyle name="20% - Accent6 4" xfId="575" xr:uid="{00000000-0005-0000-0000-000024000000}"/>
    <cellStyle name="20% - Accent6 5" xfId="576" xr:uid="{00000000-0005-0000-0000-000025000000}"/>
    <cellStyle name="40% - Accent1 2" xfId="16" xr:uid="{00000000-0005-0000-0000-000026000000}"/>
    <cellStyle name="40% - Accent1 2 2" xfId="577" xr:uid="{00000000-0005-0000-0000-000027000000}"/>
    <cellStyle name="40% - Accent1 2 3" xfId="578" xr:uid="{00000000-0005-0000-0000-000028000000}"/>
    <cellStyle name="40% - Accent1 3" xfId="17" xr:uid="{00000000-0005-0000-0000-000029000000}"/>
    <cellStyle name="40% - Accent1 3 2" xfId="345" xr:uid="{00000000-0005-0000-0000-00002A000000}"/>
    <cellStyle name="40% - Accent1 3 3" xfId="346" xr:uid="{00000000-0005-0000-0000-00002B000000}"/>
    <cellStyle name="40% - Accent1 4" xfId="18" xr:uid="{00000000-0005-0000-0000-00002C000000}"/>
    <cellStyle name="40% - Accent1 4 2" xfId="579" xr:uid="{00000000-0005-0000-0000-00002D000000}"/>
    <cellStyle name="40% - Accent1 5" xfId="580" xr:uid="{00000000-0005-0000-0000-00002E000000}"/>
    <cellStyle name="40% - Accent2 2" xfId="19" xr:uid="{00000000-0005-0000-0000-00002F000000}"/>
    <cellStyle name="40% - Accent2 3" xfId="301" xr:uid="{00000000-0005-0000-0000-000030000000}"/>
    <cellStyle name="40% - Accent2 4" xfId="581" xr:uid="{00000000-0005-0000-0000-000031000000}"/>
    <cellStyle name="40% - Accent2 5" xfId="582" xr:uid="{00000000-0005-0000-0000-000032000000}"/>
    <cellStyle name="40% - Accent3 2" xfId="20" xr:uid="{00000000-0005-0000-0000-000033000000}"/>
    <cellStyle name="40% - Accent3 3" xfId="302" xr:uid="{00000000-0005-0000-0000-000034000000}"/>
    <cellStyle name="40% - Accent3 3 2" xfId="347" xr:uid="{00000000-0005-0000-0000-000035000000}"/>
    <cellStyle name="40% - Accent3 4" xfId="583" xr:uid="{00000000-0005-0000-0000-000036000000}"/>
    <cellStyle name="40% - Accent3 5" xfId="584" xr:uid="{00000000-0005-0000-0000-000037000000}"/>
    <cellStyle name="40% - Accent4 2" xfId="21" xr:uid="{00000000-0005-0000-0000-000038000000}"/>
    <cellStyle name="40% - Accent4 2 2" xfId="585" xr:uid="{00000000-0005-0000-0000-000039000000}"/>
    <cellStyle name="40% - Accent4 2 3" xfId="586" xr:uid="{00000000-0005-0000-0000-00003A000000}"/>
    <cellStyle name="40% - Accent4 3" xfId="22" xr:uid="{00000000-0005-0000-0000-00003B000000}"/>
    <cellStyle name="40% - Accent4 3 2" xfId="348" xr:uid="{00000000-0005-0000-0000-00003C000000}"/>
    <cellStyle name="40% - Accent4 3 3" xfId="349" xr:uid="{00000000-0005-0000-0000-00003D000000}"/>
    <cellStyle name="40% - Accent4 4" xfId="23" xr:uid="{00000000-0005-0000-0000-00003E000000}"/>
    <cellStyle name="40% - Accent4 4 2" xfId="587" xr:uid="{00000000-0005-0000-0000-00003F000000}"/>
    <cellStyle name="40% - Accent4 5" xfId="588" xr:uid="{00000000-0005-0000-0000-000040000000}"/>
    <cellStyle name="40% - Accent5 2" xfId="24" xr:uid="{00000000-0005-0000-0000-000041000000}"/>
    <cellStyle name="40% - Accent5 2 2" xfId="589" xr:uid="{00000000-0005-0000-0000-000042000000}"/>
    <cellStyle name="40% - Accent5 2 3" xfId="590" xr:uid="{00000000-0005-0000-0000-000043000000}"/>
    <cellStyle name="40% - Accent5 3" xfId="25" xr:uid="{00000000-0005-0000-0000-000044000000}"/>
    <cellStyle name="40% - Accent5 3 2" xfId="350" xr:uid="{00000000-0005-0000-0000-000045000000}"/>
    <cellStyle name="40% - Accent5 4" xfId="591" xr:uid="{00000000-0005-0000-0000-000046000000}"/>
    <cellStyle name="40% - Accent5 5" xfId="592" xr:uid="{00000000-0005-0000-0000-000047000000}"/>
    <cellStyle name="40% - Accent6 2" xfId="26" xr:uid="{00000000-0005-0000-0000-000048000000}"/>
    <cellStyle name="40% - Accent6 2 2" xfId="593" xr:uid="{00000000-0005-0000-0000-000049000000}"/>
    <cellStyle name="40% - Accent6 2 3" xfId="594" xr:uid="{00000000-0005-0000-0000-00004A000000}"/>
    <cellStyle name="40% - Accent6 3" xfId="27" xr:uid="{00000000-0005-0000-0000-00004B000000}"/>
    <cellStyle name="40% - Accent6 3 2" xfId="351" xr:uid="{00000000-0005-0000-0000-00004C000000}"/>
    <cellStyle name="40% - Accent6 3 3" xfId="352" xr:uid="{00000000-0005-0000-0000-00004D000000}"/>
    <cellStyle name="40% - Accent6 4" xfId="28" xr:uid="{00000000-0005-0000-0000-00004E000000}"/>
    <cellStyle name="40% - Accent6 4 2" xfId="595" xr:uid="{00000000-0005-0000-0000-00004F000000}"/>
    <cellStyle name="40% - Accent6 5" xfId="596" xr:uid="{00000000-0005-0000-0000-000050000000}"/>
    <cellStyle name="60% - Accent1 2" xfId="29" xr:uid="{00000000-0005-0000-0000-000051000000}"/>
    <cellStyle name="60% - Accent1 2 2" xfId="353" xr:uid="{00000000-0005-0000-0000-000052000000}"/>
    <cellStyle name="60% - Accent1 2 3" xfId="354" xr:uid="{00000000-0005-0000-0000-000053000000}"/>
    <cellStyle name="60% - Accent1 2 4" xfId="597" xr:uid="{00000000-0005-0000-0000-000054000000}"/>
    <cellStyle name="60% - Accent1 3" xfId="30" xr:uid="{00000000-0005-0000-0000-000055000000}"/>
    <cellStyle name="60% - Accent1 3 2" xfId="355" xr:uid="{00000000-0005-0000-0000-000056000000}"/>
    <cellStyle name="60% - Accent1 3 3" xfId="356" xr:uid="{00000000-0005-0000-0000-000057000000}"/>
    <cellStyle name="60% - Accent1 4" xfId="31" xr:uid="{00000000-0005-0000-0000-000058000000}"/>
    <cellStyle name="60% - Accent1 4 2" xfId="598" xr:uid="{00000000-0005-0000-0000-000059000000}"/>
    <cellStyle name="60% - Accent2 2" xfId="32" xr:uid="{00000000-0005-0000-0000-00005A000000}"/>
    <cellStyle name="60% - Accent2 2 2" xfId="599" xr:uid="{00000000-0005-0000-0000-00005B000000}"/>
    <cellStyle name="60% - Accent2 2 3" xfId="600" xr:uid="{00000000-0005-0000-0000-00005C000000}"/>
    <cellStyle name="60% - Accent2 3" xfId="33" xr:uid="{00000000-0005-0000-0000-00005D000000}"/>
    <cellStyle name="60% - Accent2 3 2" xfId="357" xr:uid="{00000000-0005-0000-0000-00005E000000}"/>
    <cellStyle name="60% - Accent2 4" xfId="601" xr:uid="{00000000-0005-0000-0000-00005F000000}"/>
    <cellStyle name="60% - Accent3 2" xfId="34" xr:uid="{00000000-0005-0000-0000-000060000000}"/>
    <cellStyle name="60% - Accent3 2 2" xfId="602" xr:uid="{00000000-0005-0000-0000-000061000000}"/>
    <cellStyle name="60% - Accent3 2 3" xfId="603" xr:uid="{00000000-0005-0000-0000-000062000000}"/>
    <cellStyle name="60% - Accent3 3" xfId="35" xr:uid="{00000000-0005-0000-0000-000063000000}"/>
    <cellStyle name="60% - Accent3 3 2" xfId="358" xr:uid="{00000000-0005-0000-0000-000064000000}"/>
    <cellStyle name="60% - Accent3 3 3" xfId="359" xr:uid="{00000000-0005-0000-0000-000065000000}"/>
    <cellStyle name="60% - Accent3 4" xfId="36" xr:uid="{00000000-0005-0000-0000-000066000000}"/>
    <cellStyle name="60% - Accent3 4 2" xfId="604" xr:uid="{00000000-0005-0000-0000-000067000000}"/>
    <cellStyle name="60% - Accent4 2" xfId="37" xr:uid="{00000000-0005-0000-0000-000068000000}"/>
    <cellStyle name="60% - Accent4 2 2" xfId="605" xr:uid="{00000000-0005-0000-0000-000069000000}"/>
    <cellStyle name="60% - Accent4 2 3" xfId="606" xr:uid="{00000000-0005-0000-0000-00006A000000}"/>
    <cellStyle name="60% - Accent4 3" xfId="38" xr:uid="{00000000-0005-0000-0000-00006B000000}"/>
    <cellStyle name="60% - Accent4 3 2" xfId="360" xr:uid="{00000000-0005-0000-0000-00006C000000}"/>
    <cellStyle name="60% - Accent4 3 3" xfId="361" xr:uid="{00000000-0005-0000-0000-00006D000000}"/>
    <cellStyle name="60% - Accent4 4" xfId="39" xr:uid="{00000000-0005-0000-0000-00006E000000}"/>
    <cellStyle name="60% - Accent4 4 2" xfId="607" xr:uid="{00000000-0005-0000-0000-00006F000000}"/>
    <cellStyle name="60% - Accent5 2" xfId="40" xr:uid="{00000000-0005-0000-0000-000070000000}"/>
    <cellStyle name="60% - Accent5 2 2" xfId="362" xr:uid="{00000000-0005-0000-0000-000071000000}"/>
    <cellStyle name="60% - Accent5 2 3" xfId="363" xr:uid="{00000000-0005-0000-0000-000072000000}"/>
    <cellStyle name="60% - Accent5 2 4" xfId="608" xr:uid="{00000000-0005-0000-0000-000073000000}"/>
    <cellStyle name="60% - Accent5 3" xfId="41" xr:uid="{00000000-0005-0000-0000-000074000000}"/>
    <cellStyle name="60% - Accent5 3 2" xfId="364" xr:uid="{00000000-0005-0000-0000-000075000000}"/>
    <cellStyle name="60% - Accent5 4" xfId="609" xr:uid="{00000000-0005-0000-0000-000076000000}"/>
    <cellStyle name="60% - Accent6 2" xfId="42" xr:uid="{00000000-0005-0000-0000-000077000000}"/>
    <cellStyle name="60% - Accent6 3" xfId="303" xr:uid="{00000000-0005-0000-0000-000078000000}"/>
    <cellStyle name="60% - Accent6 3 2" xfId="365" xr:uid="{00000000-0005-0000-0000-000079000000}"/>
    <cellStyle name="60% - Accent6 4" xfId="610" xr:uid="{00000000-0005-0000-0000-00007A000000}"/>
    <cellStyle name="Accent1 2" xfId="43" xr:uid="{00000000-0005-0000-0000-00007B000000}"/>
    <cellStyle name="Accent1 2 2" xfId="366" xr:uid="{00000000-0005-0000-0000-00007C000000}"/>
    <cellStyle name="Accent1 2 3" xfId="367" xr:uid="{00000000-0005-0000-0000-00007D000000}"/>
    <cellStyle name="Accent1 2 4" xfId="611" xr:uid="{00000000-0005-0000-0000-00007E000000}"/>
    <cellStyle name="Accent1 3" xfId="44" xr:uid="{00000000-0005-0000-0000-00007F000000}"/>
    <cellStyle name="Accent1 3 2" xfId="368" xr:uid="{00000000-0005-0000-0000-000080000000}"/>
    <cellStyle name="Accent1 3 3" xfId="369" xr:uid="{00000000-0005-0000-0000-000081000000}"/>
    <cellStyle name="Accent1 4" xfId="45" xr:uid="{00000000-0005-0000-0000-000082000000}"/>
    <cellStyle name="Accent1 4 2" xfId="612" xr:uid="{00000000-0005-0000-0000-000083000000}"/>
    <cellStyle name="Accent2 2" xfId="46" xr:uid="{00000000-0005-0000-0000-000084000000}"/>
    <cellStyle name="Accent2 2 2" xfId="613" xr:uid="{00000000-0005-0000-0000-000085000000}"/>
    <cellStyle name="Accent2 2 3" xfId="614" xr:uid="{00000000-0005-0000-0000-000086000000}"/>
    <cellStyle name="Accent2 3" xfId="47" xr:uid="{00000000-0005-0000-0000-000087000000}"/>
    <cellStyle name="Accent2 3 2" xfId="370" xr:uid="{00000000-0005-0000-0000-000088000000}"/>
    <cellStyle name="Accent2 4" xfId="615" xr:uid="{00000000-0005-0000-0000-000089000000}"/>
    <cellStyle name="Accent3 2" xfId="48" xr:uid="{00000000-0005-0000-0000-00008A000000}"/>
    <cellStyle name="Accent3 2 2" xfId="371" xr:uid="{00000000-0005-0000-0000-00008B000000}"/>
    <cellStyle name="Accent3 2 3" xfId="372" xr:uid="{00000000-0005-0000-0000-00008C000000}"/>
    <cellStyle name="Accent3 2 4" xfId="616" xr:uid="{00000000-0005-0000-0000-00008D000000}"/>
    <cellStyle name="Accent3 3" xfId="49" xr:uid="{00000000-0005-0000-0000-00008E000000}"/>
    <cellStyle name="Accent3 3 2" xfId="373" xr:uid="{00000000-0005-0000-0000-00008F000000}"/>
    <cellStyle name="Accent3 4" xfId="617" xr:uid="{00000000-0005-0000-0000-000090000000}"/>
    <cellStyle name="Accent4 2" xfId="50" xr:uid="{00000000-0005-0000-0000-000091000000}"/>
    <cellStyle name="Accent4 2 2" xfId="618" xr:uid="{00000000-0005-0000-0000-000092000000}"/>
    <cellStyle name="Accent4 2 2 2" xfId="619" xr:uid="{00000000-0005-0000-0000-000093000000}"/>
    <cellStyle name="Accent4 2 3" xfId="620" xr:uid="{00000000-0005-0000-0000-000094000000}"/>
    <cellStyle name="Accent4 3" xfId="51" xr:uid="{00000000-0005-0000-0000-000095000000}"/>
    <cellStyle name="Accent4 3 2" xfId="374" xr:uid="{00000000-0005-0000-0000-000096000000}"/>
    <cellStyle name="Accent4 4" xfId="621" xr:uid="{00000000-0005-0000-0000-000097000000}"/>
    <cellStyle name="Accent5 2" xfId="52" xr:uid="{00000000-0005-0000-0000-000098000000}"/>
    <cellStyle name="Accent5 2 2" xfId="622" xr:uid="{00000000-0005-0000-0000-000099000000}"/>
    <cellStyle name="Accent5 2 3" xfId="623" xr:uid="{00000000-0005-0000-0000-00009A000000}"/>
    <cellStyle name="Accent5 3" xfId="53" xr:uid="{00000000-0005-0000-0000-00009B000000}"/>
    <cellStyle name="Accent5 4" xfId="624" xr:uid="{00000000-0005-0000-0000-00009C000000}"/>
    <cellStyle name="Accent6 2" xfId="54" xr:uid="{00000000-0005-0000-0000-00009D000000}"/>
    <cellStyle name="Accent6 2 2" xfId="375" xr:uid="{00000000-0005-0000-0000-00009E000000}"/>
    <cellStyle name="Accent6 2 3" xfId="376" xr:uid="{00000000-0005-0000-0000-00009F000000}"/>
    <cellStyle name="Accent6 2 4" xfId="625" xr:uid="{00000000-0005-0000-0000-0000A0000000}"/>
    <cellStyle name="Accent6 3" xfId="55" xr:uid="{00000000-0005-0000-0000-0000A1000000}"/>
    <cellStyle name="Accent6 3 2" xfId="377" xr:uid="{00000000-0005-0000-0000-0000A2000000}"/>
    <cellStyle name="Accent6 4" xfId="626" xr:uid="{00000000-0005-0000-0000-0000A3000000}"/>
    <cellStyle name="Accounting" xfId="56" xr:uid="{00000000-0005-0000-0000-0000A4000000}"/>
    <cellStyle name="Accounting 2" xfId="57" xr:uid="{00000000-0005-0000-0000-0000A5000000}"/>
    <cellStyle name="Accounting 3" xfId="58" xr:uid="{00000000-0005-0000-0000-0000A6000000}"/>
    <cellStyle name="Accounting_2011-11" xfId="59" xr:uid="{00000000-0005-0000-0000-0000A7000000}"/>
    <cellStyle name="APS" xfId="627" xr:uid="{00000000-0005-0000-0000-0000A8000000}"/>
    <cellStyle name="APSLabels" xfId="628" xr:uid="{00000000-0005-0000-0000-0000A9000000}"/>
    <cellStyle name="Bad 2" xfId="60" xr:uid="{00000000-0005-0000-0000-0000AA000000}"/>
    <cellStyle name="Bad 2 2" xfId="629" xr:uid="{00000000-0005-0000-0000-0000AB000000}"/>
    <cellStyle name="Bad 2 3" xfId="630" xr:uid="{00000000-0005-0000-0000-0000AC000000}"/>
    <cellStyle name="Bad 3" xfId="61" xr:uid="{00000000-0005-0000-0000-0000AD000000}"/>
    <cellStyle name="Bad 3 2" xfId="378" xr:uid="{00000000-0005-0000-0000-0000AE000000}"/>
    <cellStyle name="Bad 4" xfId="631" xr:uid="{00000000-0005-0000-0000-0000AF000000}"/>
    <cellStyle name="Budget" xfId="62" xr:uid="{00000000-0005-0000-0000-0000B0000000}"/>
    <cellStyle name="Budget 2" xfId="63" xr:uid="{00000000-0005-0000-0000-0000B1000000}"/>
    <cellStyle name="Budget 3" xfId="64" xr:uid="{00000000-0005-0000-0000-0000B2000000}"/>
    <cellStyle name="Budget_2011-11" xfId="65" xr:uid="{00000000-0005-0000-0000-0000B3000000}"/>
    <cellStyle name="Calculation 2" xfId="66" xr:uid="{00000000-0005-0000-0000-0000B4000000}"/>
    <cellStyle name="Calculation 2 2" xfId="379" xr:uid="{00000000-0005-0000-0000-0000B5000000}"/>
    <cellStyle name="Calculation 2 3" xfId="380" xr:uid="{00000000-0005-0000-0000-0000B6000000}"/>
    <cellStyle name="Calculation 2 4" xfId="632" xr:uid="{00000000-0005-0000-0000-0000B7000000}"/>
    <cellStyle name="Calculation 3" xfId="67" xr:uid="{00000000-0005-0000-0000-0000B8000000}"/>
    <cellStyle name="Calculation 3 2" xfId="381" xr:uid="{00000000-0005-0000-0000-0000B9000000}"/>
    <cellStyle name="Calculation 3 3" xfId="382" xr:uid="{00000000-0005-0000-0000-0000BA000000}"/>
    <cellStyle name="Calculation 4" xfId="68" xr:uid="{00000000-0005-0000-0000-0000BB000000}"/>
    <cellStyle name="Calculation 4 2" xfId="633" xr:uid="{00000000-0005-0000-0000-0000BC000000}"/>
    <cellStyle name="Check Cell 2" xfId="69" xr:uid="{00000000-0005-0000-0000-0000BD000000}"/>
    <cellStyle name="Check Cell 2 2" xfId="634" xr:uid="{00000000-0005-0000-0000-0000BE000000}"/>
    <cellStyle name="Check Cell 2 3" xfId="635" xr:uid="{00000000-0005-0000-0000-0000BF000000}"/>
    <cellStyle name="Check Cell 3" xfId="70" xr:uid="{00000000-0005-0000-0000-0000C0000000}"/>
    <cellStyle name="Check Cell 4" xfId="636" xr:uid="{00000000-0005-0000-0000-0000C1000000}"/>
    <cellStyle name="Color" xfId="637" xr:uid="{00000000-0005-0000-0000-0000C2000000}"/>
    <cellStyle name="combo" xfId="71" xr:uid="{00000000-0005-0000-0000-0000C3000000}"/>
    <cellStyle name="Comma" xfId="332" builtinId="3"/>
    <cellStyle name="Comma 10" xfId="4" xr:uid="{00000000-0005-0000-0000-0000C5000000}"/>
    <cellStyle name="Comma 10 2" xfId="638" xr:uid="{00000000-0005-0000-0000-0000C6000000}"/>
    <cellStyle name="Comma 11" xfId="72" xr:uid="{00000000-0005-0000-0000-0000C7000000}"/>
    <cellStyle name="Comma 11 2" xfId="639" xr:uid="{00000000-0005-0000-0000-0000C8000000}"/>
    <cellStyle name="Comma 11 2 2" xfId="640" xr:uid="{00000000-0005-0000-0000-0000C9000000}"/>
    <cellStyle name="Comma 11 2 2 2" xfId="641" xr:uid="{00000000-0005-0000-0000-0000CA000000}"/>
    <cellStyle name="Comma 11 2 3" xfId="642" xr:uid="{00000000-0005-0000-0000-0000CB000000}"/>
    <cellStyle name="Comma 11 3" xfId="643" xr:uid="{00000000-0005-0000-0000-0000CC000000}"/>
    <cellStyle name="Comma 11 3 2" xfId="644" xr:uid="{00000000-0005-0000-0000-0000CD000000}"/>
    <cellStyle name="Comma 11 4" xfId="645" xr:uid="{00000000-0005-0000-0000-0000CE000000}"/>
    <cellStyle name="Comma 12" xfId="73" xr:uid="{00000000-0005-0000-0000-0000CF000000}"/>
    <cellStyle name="Comma 12 2" xfId="304" xr:uid="{00000000-0005-0000-0000-0000D0000000}"/>
    <cellStyle name="Comma 12 2 2" xfId="383" xr:uid="{00000000-0005-0000-0000-0000D1000000}"/>
    <cellStyle name="Comma 12 3" xfId="384" xr:uid="{00000000-0005-0000-0000-0000D2000000}"/>
    <cellStyle name="Comma 12 4" xfId="385" xr:uid="{00000000-0005-0000-0000-0000D3000000}"/>
    <cellStyle name="Comma 12 5" xfId="386" xr:uid="{00000000-0005-0000-0000-0000D4000000}"/>
    <cellStyle name="Comma 13" xfId="74" xr:uid="{00000000-0005-0000-0000-0000D5000000}"/>
    <cellStyle name="Comma 13 2" xfId="387" xr:uid="{00000000-0005-0000-0000-0000D6000000}"/>
    <cellStyle name="Comma 13 3" xfId="646" xr:uid="{00000000-0005-0000-0000-0000D7000000}"/>
    <cellStyle name="Comma 14" xfId="75" xr:uid="{00000000-0005-0000-0000-0000D8000000}"/>
    <cellStyle name="Comma 15" xfId="76" xr:uid="{00000000-0005-0000-0000-0000D9000000}"/>
    <cellStyle name="Comma 15 2" xfId="388" xr:uid="{00000000-0005-0000-0000-0000DA000000}"/>
    <cellStyle name="Comma 15 3" xfId="647" xr:uid="{00000000-0005-0000-0000-0000DB000000}"/>
    <cellStyle name="Comma 16" xfId="77" xr:uid="{00000000-0005-0000-0000-0000DC000000}"/>
    <cellStyle name="Comma 16 2" xfId="648" xr:uid="{00000000-0005-0000-0000-0000DD000000}"/>
    <cellStyle name="Comma 16 3" xfId="649" xr:uid="{00000000-0005-0000-0000-0000DE000000}"/>
    <cellStyle name="Comma 17" xfId="78" xr:uid="{00000000-0005-0000-0000-0000DF000000}"/>
    <cellStyle name="Comma 17 2" xfId="389" xr:uid="{00000000-0005-0000-0000-0000E0000000}"/>
    <cellStyle name="Comma 17 2 2" xfId="562" xr:uid="{00000000-0005-0000-0000-0000E1000000}"/>
    <cellStyle name="Comma 17 3" xfId="650" xr:uid="{00000000-0005-0000-0000-0000E2000000}"/>
    <cellStyle name="Comma 17 4" xfId="651" xr:uid="{00000000-0005-0000-0000-0000E3000000}"/>
    <cellStyle name="Comma 18" xfId="79" xr:uid="{00000000-0005-0000-0000-0000E4000000}"/>
    <cellStyle name="Comma 18 2" xfId="390" xr:uid="{00000000-0005-0000-0000-0000E5000000}"/>
    <cellStyle name="Comma 18 3" xfId="391" xr:uid="{00000000-0005-0000-0000-0000E6000000}"/>
    <cellStyle name="Comma 18 4" xfId="557" xr:uid="{00000000-0005-0000-0000-0000E7000000}"/>
    <cellStyle name="Comma 19" xfId="80" xr:uid="{00000000-0005-0000-0000-0000E8000000}"/>
    <cellStyle name="Comma 2" xfId="81" xr:uid="{00000000-0005-0000-0000-0000E9000000}"/>
    <cellStyle name="Comma 2 2" xfId="82" xr:uid="{00000000-0005-0000-0000-0000EA000000}"/>
    <cellStyle name="Comma 2 2 2" xfId="83" xr:uid="{00000000-0005-0000-0000-0000EB000000}"/>
    <cellStyle name="Comma 2 2 2 2" xfId="652" xr:uid="{00000000-0005-0000-0000-0000EC000000}"/>
    <cellStyle name="Comma 2 2 2 2 2" xfId="653" xr:uid="{00000000-0005-0000-0000-0000ED000000}"/>
    <cellStyle name="Comma 2 2 3" xfId="654" xr:uid="{00000000-0005-0000-0000-0000EE000000}"/>
    <cellStyle name="Comma 2 3" xfId="84" xr:uid="{00000000-0005-0000-0000-0000EF000000}"/>
    <cellStyle name="Comma 2 3 2" xfId="655" xr:uid="{00000000-0005-0000-0000-0000F0000000}"/>
    <cellStyle name="Comma 2 4" xfId="85" xr:uid="{00000000-0005-0000-0000-0000F1000000}"/>
    <cellStyle name="Comma 2 4 2" xfId="392" xr:uid="{00000000-0005-0000-0000-0000F2000000}"/>
    <cellStyle name="Comma 2 4 2 2" xfId="563" xr:uid="{00000000-0005-0000-0000-0000F3000000}"/>
    <cellStyle name="Comma 2 4 3" xfId="393" xr:uid="{00000000-0005-0000-0000-0000F4000000}"/>
    <cellStyle name="Comma 2 4 4" xfId="558" xr:uid="{00000000-0005-0000-0000-0000F5000000}"/>
    <cellStyle name="Comma 2 5" xfId="561" xr:uid="{00000000-0005-0000-0000-0000F6000000}"/>
    <cellStyle name="Comma 2 5 2" xfId="656" xr:uid="{00000000-0005-0000-0000-0000F7000000}"/>
    <cellStyle name="Comma 2 6" xfId="305" xr:uid="{00000000-0005-0000-0000-0000F8000000}"/>
    <cellStyle name="Comma 2 6 2" xfId="306" xr:uid="{00000000-0005-0000-0000-0000F9000000}"/>
    <cellStyle name="Comma 2 6 2 2" xfId="657" xr:uid="{00000000-0005-0000-0000-0000FA000000}"/>
    <cellStyle name="Comma 2 6 3" xfId="658" xr:uid="{00000000-0005-0000-0000-0000FB000000}"/>
    <cellStyle name="Comma 2 7" xfId="659" xr:uid="{00000000-0005-0000-0000-0000FC000000}"/>
    <cellStyle name="Comma 2 7 2" xfId="660" xr:uid="{00000000-0005-0000-0000-0000FD000000}"/>
    <cellStyle name="Comma 2 8" xfId="661" xr:uid="{00000000-0005-0000-0000-0000FE000000}"/>
    <cellStyle name="Comma 20" xfId="394" xr:uid="{00000000-0005-0000-0000-0000FF000000}"/>
    <cellStyle name="Comma 20 2" xfId="662" xr:uid="{00000000-0005-0000-0000-000000010000}"/>
    <cellStyle name="Comma 21" xfId="395" xr:uid="{00000000-0005-0000-0000-000001010000}"/>
    <cellStyle name="Comma 21 2" xfId="663" xr:uid="{00000000-0005-0000-0000-000002010000}"/>
    <cellStyle name="Comma 22" xfId="664" xr:uid="{00000000-0005-0000-0000-000003010000}"/>
    <cellStyle name="Comma 23" xfId="665" xr:uid="{00000000-0005-0000-0000-000004010000}"/>
    <cellStyle name="Comma 3" xfId="86" xr:uid="{00000000-0005-0000-0000-000005010000}"/>
    <cellStyle name="Comma 3 2" xfId="87" xr:uid="{00000000-0005-0000-0000-000006010000}"/>
    <cellStyle name="Comma 3 2 2" xfId="88" xr:uid="{00000000-0005-0000-0000-000007010000}"/>
    <cellStyle name="Comma 3 3" xfId="89" xr:uid="{00000000-0005-0000-0000-000008010000}"/>
    <cellStyle name="Comma 3 4" xfId="90" xr:uid="{00000000-0005-0000-0000-000009010000}"/>
    <cellStyle name="Comma 4" xfId="91" xr:uid="{00000000-0005-0000-0000-00000A010000}"/>
    <cellStyle name="Comma 4 2" xfId="92" xr:uid="{00000000-0005-0000-0000-00000B010000}"/>
    <cellStyle name="Comma 4 2 2" xfId="396" xr:uid="{00000000-0005-0000-0000-00000C010000}"/>
    <cellStyle name="Comma 4 2 2 2" xfId="666" xr:uid="{00000000-0005-0000-0000-00000D010000}"/>
    <cellStyle name="Comma 4 2 2 2 2" xfId="667" xr:uid="{00000000-0005-0000-0000-00000E010000}"/>
    <cellStyle name="Comma 4 2 2 3" xfId="668" xr:uid="{00000000-0005-0000-0000-00000F010000}"/>
    <cellStyle name="Comma 4 2 2 3 2" xfId="669" xr:uid="{00000000-0005-0000-0000-000010010000}"/>
    <cellStyle name="Comma 4 2 2 4" xfId="670" xr:uid="{00000000-0005-0000-0000-000011010000}"/>
    <cellStyle name="Comma 4 2 3" xfId="397" xr:uid="{00000000-0005-0000-0000-000012010000}"/>
    <cellStyle name="Comma 4 2 3 2" xfId="671" xr:uid="{00000000-0005-0000-0000-000013010000}"/>
    <cellStyle name="Comma 4 2 4" xfId="672" xr:uid="{00000000-0005-0000-0000-000014010000}"/>
    <cellStyle name="Comma 4 2 4 2" xfId="673" xr:uid="{00000000-0005-0000-0000-000015010000}"/>
    <cellStyle name="Comma 4 2 4 3" xfId="674" xr:uid="{00000000-0005-0000-0000-000016010000}"/>
    <cellStyle name="Comma 4 2 5" xfId="675" xr:uid="{00000000-0005-0000-0000-000017010000}"/>
    <cellStyle name="Comma 4 3" xfId="93" xr:uid="{00000000-0005-0000-0000-000018010000}"/>
    <cellStyle name="Comma 4 3 2" xfId="398" xr:uid="{00000000-0005-0000-0000-000019010000}"/>
    <cellStyle name="Comma 4 3 2 2" xfId="676" xr:uid="{00000000-0005-0000-0000-00001A010000}"/>
    <cellStyle name="Comma 4 3 3" xfId="399" xr:uid="{00000000-0005-0000-0000-00001B010000}"/>
    <cellStyle name="Comma 4 3 3 2" xfId="677" xr:uid="{00000000-0005-0000-0000-00001C010000}"/>
    <cellStyle name="Comma 4 3 4" xfId="678" xr:uid="{00000000-0005-0000-0000-00001D010000}"/>
    <cellStyle name="Comma 4 3 4 2" xfId="679" xr:uid="{00000000-0005-0000-0000-00001E010000}"/>
    <cellStyle name="Comma 4 4" xfId="94" xr:uid="{00000000-0005-0000-0000-00001F010000}"/>
    <cellStyle name="Comma 4 4 2" xfId="400" xr:uid="{00000000-0005-0000-0000-000020010000}"/>
    <cellStyle name="Comma 4 4 2 2" xfId="680" xr:uid="{00000000-0005-0000-0000-000021010000}"/>
    <cellStyle name="Comma 4 4 3" xfId="401" xr:uid="{00000000-0005-0000-0000-000022010000}"/>
    <cellStyle name="Comma 4 4 3 2" xfId="681" xr:uid="{00000000-0005-0000-0000-000023010000}"/>
    <cellStyle name="Comma 4 4 4" xfId="682" xr:uid="{00000000-0005-0000-0000-000024010000}"/>
    <cellStyle name="Comma 4 4 4 2" xfId="683" xr:uid="{00000000-0005-0000-0000-000025010000}"/>
    <cellStyle name="Comma 4 5" xfId="95" xr:uid="{00000000-0005-0000-0000-000026010000}"/>
    <cellStyle name="Comma 4 5 2" xfId="402" xr:uid="{00000000-0005-0000-0000-000027010000}"/>
    <cellStyle name="Comma 4 5 2 2" xfId="684" xr:uid="{00000000-0005-0000-0000-000028010000}"/>
    <cellStyle name="Comma 4 6" xfId="403" xr:uid="{00000000-0005-0000-0000-000029010000}"/>
    <cellStyle name="Comma 4 6 2" xfId="555" xr:uid="{00000000-0005-0000-0000-00002A010000}"/>
    <cellStyle name="Comma 4 7" xfId="685" xr:uid="{00000000-0005-0000-0000-00002B010000}"/>
    <cellStyle name="Comma 5" xfId="96" xr:uid="{00000000-0005-0000-0000-00002C010000}"/>
    <cellStyle name="Comma 5 2" xfId="404" xr:uid="{00000000-0005-0000-0000-00002D010000}"/>
    <cellStyle name="Comma 5 2 2" xfId="686" xr:uid="{00000000-0005-0000-0000-00002E010000}"/>
    <cellStyle name="Comma 5 2 2 2" xfId="687" xr:uid="{00000000-0005-0000-0000-00002F010000}"/>
    <cellStyle name="Comma 5 2 2 2 2" xfId="688" xr:uid="{00000000-0005-0000-0000-000030010000}"/>
    <cellStyle name="Comma 5 2 2 3" xfId="689" xr:uid="{00000000-0005-0000-0000-000031010000}"/>
    <cellStyle name="Comma 5 2 3" xfId="690" xr:uid="{00000000-0005-0000-0000-000032010000}"/>
    <cellStyle name="Comma 5 2 3 2" xfId="691" xr:uid="{00000000-0005-0000-0000-000033010000}"/>
    <cellStyle name="Comma 5 2 4" xfId="692" xr:uid="{00000000-0005-0000-0000-000034010000}"/>
    <cellStyle name="Comma 5 3" xfId="405" xr:uid="{00000000-0005-0000-0000-000035010000}"/>
    <cellStyle name="Comma 5 3 2" xfId="693" xr:uid="{00000000-0005-0000-0000-000036010000}"/>
    <cellStyle name="Comma 5 3 2 2" xfId="694" xr:uid="{00000000-0005-0000-0000-000037010000}"/>
    <cellStyle name="Comma 5 3 3" xfId="695" xr:uid="{00000000-0005-0000-0000-000038010000}"/>
    <cellStyle name="Comma 5 4" xfId="406" xr:uid="{00000000-0005-0000-0000-000039010000}"/>
    <cellStyle name="Comma 5 4 2" xfId="696" xr:uid="{00000000-0005-0000-0000-00003A010000}"/>
    <cellStyle name="Comma 5 5" xfId="697" xr:uid="{00000000-0005-0000-0000-00003B010000}"/>
    <cellStyle name="Comma 5 5 2" xfId="698" xr:uid="{00000000-0005-0000-0000-00003C010000}"/>
    <cellStyle name="Comma 5 6" xfId="699" xr:uid="{00000000-0005-0000-0000-00003D010000}"/>
    <cellStyle name="Comma 6" xfId="97" xr:uid="{00000000-0005-0000-0000-00003E010000}"/>
    <cellStyle name="Comma 6 2" xfId="98" xr:uid="{00000000-0005-0000-0000-00003F010000}"/>
    <cellStyle name="Comma 6 2 2" xfId="700" xr:uid="{00000000-0005-0000-0000-000040010000}"/>
    <cellStyle name="Comma 6 2 2 2" xfId="701" xr:uid="{00000000-0005-0000-0000-000041010000}"/>
    <cellStyle name="Comma 6 2 2 2 2" xfId="702" xr:uid="{00000000-0005-0000-0000-000042010000}"/>
    <cellStyle name="Comma 6 2 2 3" xfId="703" xr:uid="{00000000-0005-0000-0000-000043010000}"/>
    <cellStyle name="Comma 6 2 3" xfId="704" xr:uid="{00000000-0005-0000-0000-000044010000}"/>
    <cellStyle name="Comma 6 2 3 2" xfId="705" xr:uid="{00000000-0005-0000-0000-000045010000}"/>
    <cellStyle name="Comma 6 2 4" xfId="706" xr:uid="{00000000-0005-0000-0000-000046010000}"/>
    <cellStyle name="Comma 6 3" xfId="707" xr:uid="{00000000-0005-0000-0000-000047010000}"/>
    <cellStyle name="Comma 6 3 2" xfId="708" xr:uid="{00000000-0005-0000-0000-000048010000}"/>
    <cellStyle name="Comma 6 3 2 2" xfId="709" xr:uid="{00000000-0005-0000-0000-000049010000}"/>
    <cellStyle name="Comma 6 3 3" xfId="710" xr:uid="{00000000-0005-0000-0000-00004A010000}"/>
    <cellStyle name="Comma 6 4" xfId="711" xr:uid="{00000000-0005-0000-0000-00004B010000}"/>
    <cellStyle name="Comma 6 4 2" xfId="712" xr:uid="{00000000-0005-0000-0000-00004C010000}"/>
    <cellStyle name="Comma 6 5" xfId="713" xr:uid="{00000000-0005-0000-0000-00004D010000}"/>
    <cellStyle name="Comma 7" xfId="99" xr:uid="{00000000-0005-0000-0000-00004E010000}"/>
    <cellStyle name="Comma 7 2" xfId="714" xr:uid="{00000000-0005-0000-0000-00004F010000}"/>
    <cellStyle name="Comma 7 2 2" xfId="715" xr:uid="{00000000-0005-0000-0000-000050010000}"/>
    <cellStyle name="Comma 7 2 2 2" xfId="716" xr:uid="{00000000-0005-0000-0000-000051010000}"/>
    <cellStyle name="Comma 7 2 2 2 2" xfId="717" xr:uid="{00000000-0005-0000-0000-000052010000}"/>
    <cellStyle name="Comma 7 2 2 3" xfId="718" xr:uid="{00000000-0005-0000-0000-000053010000}"/>
    <cellStyle name="Comma 7 2 3" xfId="719" xr:uid="{00000000-0005-0000-0000-000054010000}"/>
    <cellStyle name="Comma 7 2 3 2" xfId="720" xr:uid="{00000000-0005-0000-0000-000055010000}"/>
    <cellStyle name="Comma 7 2 4" xfId="721" xr:uid="{00000000-0005-0000-0000-000056010000}"/>
    <cellStyle name="Comma 7 3" xfId="722" xr:uid="{00000000-0005-0000-0000-000057010000}"/>
    <cellStyle name="Comma 7 3 2" xfId="723" xr:uid="{00000000-0005-0000-0000-000058010000}"/>
    <cellStyle name="Comma 7 3 2 2" xfId="724" xr:uid="{00000000-0005-0000-0000-000059010000}"/>
    <cellStyle name="Comma 7 3 3" xfId="725" xr:uid="{00000000-0005-0000-0000-00005A010000}"/>
    <cellStyle name="Comma 7 4" xfId="726" xr:uid="{00000000-0005-0000-0000-00005B010000}"/>
    <cellStyle name="Comma 7 4 2" xfId="727" xr:uid="{00000000-0005-0000-0000-00005C010000}"/>
    <cellStyle name="Comma 7 5" xfId="728" xr:uid="{00000000-0005-0000-0000-00005D010000}"/>
    <cellStyle name="Comma 8" xfId="100" xr:uid="{00000000-0005-0000-0000-00005E010000}"/>
    <cellStyle name="Comma 8 2" xfId="729" xr:uid="{00000000-0005-0000-0000-00005F010000}"/>
    <cellStyle name="Comma 8 2 2" xfId="730" xr:uid="{00000000-0005-0000-0000-000060010000}"/>
    <cellStyle name="Comma 8 2 2 2" xfId="731" xr:uid="{00000000-0005-0000-0000-000061010000}"/>
    <cellStyle name="Comma 8 2 2 3" xfId="732" xr:uid="{00000000-0005-0000-0000-000062010000}"/>
    <cellStyle name="Comma 8 2 3" xfId="733" xr:uid="{00000000-0005-0000-0000-000063010000}"/>
    <cellStyle name="Comma 8 3" xfId="734" xr:uid="{00000000-0005-0000-0000-000064010000}"/>
    <cellStyle name="Comma 8 3 2" xfId="735" xr:uid="{00000000-0005-0000-0000-000065010000}"/>
    <cellStyle name="Comma 8 4" xfId="736" xr:uid="{00000000-0005-0000-0000-000066010000}"/>
    <cellStyle name="Comma 9" xfId="101" xr:uid="{00000000-0005-0000-0000-000067010000}"/>
    <cellStyle name="Comma 9 2" xfId="737" xr:uid="{00000000-0005-0000-0000-000068010000}"/>
    <cellStyle name="Comma(2)" xfId="102" xr:uid="{00000000-0005-0000-0000-000069010000}"/>
    <cellStyle name="Comma0" xfId="407" xr:uid="{00000000-0005-0000-0000-00006A010000}"/>
    <cellStyle name="Comma0 - Style2" xfId="103" xr:uid="{00000000-0005-0000-0000-00006B010000}"/>
    <cellStyle name="Comma1 - Style1" xfId="104" xr:uid="{00000000-0005-0000-0000-00006C010000}"/>
    <cellStyle name="Comments" xfId="105" xr:uid="{00000000-0005-0000-0000-00006D010000}"/>
    <cellStyle name="Currency" xfId="1" builtinId="4"/>
    <cellStyle name="Currency 10" xfId="106" xr:uid="{00000000-0005-0000-0000-00006F010000}"/>
    <cellStyle name="Currency 10 2" xfId="738" xr:uid="{00000000-0005-0000-0000-000070010000}"/>
    <cellStyle name="Currency 11" xfId="333" xr:uid="{00000000-0005-0000-0000-000071010000}"/>
    <cellStyle name="Currency 11 2" xfId="739" xr:uid="{00000000-0005-0000-0000-000072010000}"/>
    <cellStyle name="Currency 12" xfId="408" xr:uid="{00000000-0005-0000-0000-000073010000}"/>
    <cellStyle name="Currency 13" xfId="409" xr:uid="{00000000-0005-0000-0000-000074010000}"/>
    <cellStyle name="Currency 14" xfId="740" xr:uid="{00000000-0005-0000-0000-000075010000}"/>
    <cellStyle name="Currency 15" xfId="741" xr:uid="{00000000-0005-0000-0000-000076010000}"/>
    <cellStyle name="Currency 2" xfId="107" xr:uid="{00000000-0005-0000-0000-000077010000}"/>
    <cellStyle name="Currency 2 2" xfId="108" xr:uid="{00000000-0005-0000-0000-000078010000}"/>
    <cellStyle name="Currency 2 2 2" xfId="307" xr:uid="{00000000-0005-0000-0000-000079010000}"/>
    <cellStyle name="Currency 2 2 3" xfId="410" xr:uid="{00000000-0005-0000-0000-00007A010000}"/>
    <cellStyle name="Currency 2 2 3 2" xfId="742" xr:uid="{00000000-0005-0000-0000-00007B010000}"/>
    <cellStyle name="Currency 2 2 4" xfId="743" xr:uid="{00000000-0005-0000-0000-00007C010000}"/>
    <cellStyle name="Currency 2 3" xfId="109" xr:uid="{00000000-0005-0000-0000-00007D010000}"/>
    <cellStyle name="Currency 2 3 2" xfId="411" xr:uid="{00000000-0005-0000-0000-00007E010000}"/>
    <cellStyle name="Currency 2 3 3" xfId="412" xr:uid="{00000000-0005-0000-0000-00007F010000}"/>
    <cellStyle name="Currency 2 4" xfId="413" xr:uid="{00000000-0005-0000-0000-000080010000}"/>
    <cellStyle name="Currency 2 4 2" xfId="744" xr:uid="{00000000-0005-0000-0000-000081010000}"/>
    <cellStyle name="Currency 2 4 3" xfId="745" xr:uid="{00000000-0005-0000-0000-000082010000}"/>
    <cellStyle name="Currency 2 5" xfId="746" xr:uid="{00000000-0005-0000-0000-000083010000}"/>
    <cellStyle name="Currency 2 5 2" xfId="747" xr:uid="{00000000-0005-0000-0000-000084010000}"/>
    <cellStyle name="Currency 2 6" xfId="308" xr:uid="{00000000-0005-0000-0000-000085010000}"/>
    <cellStyle name="Currency 2 6 2" xfId="309" xr:uid="{00000000-0005-0000-0000-000086010000}"/>
    <cellStyle name="Currency 2 6 3" xfId="748" xr:uid="{00000000-0005-0000-0000-000087010000}"/>
    <cellStyle name="Currency 2 7" xfId="749" xr:uid="{00000000-0005-0000-0000-000088010000}"/>
    <cellStyle name="Currency 3" xfId="110" xr:uid="{00000000-0005-0000-0000-000089010000}"/>
    <cellStyle name="Currency 3 2" xfId="5" xr:uid="{00000000-0005-0000-0000-00008A010000}"/>
    <cellStyle name="Currency 3 2 2" xfId="750" xr:uid="{00000000-0005-0000-0000-00008B010000}"/>
    <cellStyle name="Currency 3 2 2 2" xfId="751" xr:uid="{00000000-0005-0000-0000-00008C010000}"/>
    <cellStyle name="Currency 3 2 2 2 2" xfId="752" xr:uid="{00000000-0005-0000-0000-00008D010000}"/>
    <cellStyle name="Currency 3 2 2 3" xfId="753" xr:uid="{00000000-0005-0000-0000-00008E010000}"/>
    <cellStyle name="Currency 3 2 3" xfId="754" xr:uid="{00000000-0005-0000-0000-00008F010000}"/>
    <cellStyle name="Currency 3 2 3 2" xfId="755" xr:uid="{00000000-0005-0000-0000-000090010000}"/>
    <cellStyle name="Currency 3 2 4" xfId="756" xr:uid="{00000000-0005-0000-0000-000091010000}"/>
    <cellStyle name="Currency 3 3" xfId="111" xr:uid="{00000000-0005-0000-0000-000092010000}"/>
    <cellStyle name="Currency 3 3 2" xfId="414" xr:uid="{00000000-0005-0000-0000-000093010000}"/>
    <cellStyle name="Currency 3 3 2 2" xfId="757" xr:uid="{00000000-0005-0000-0000-000094010000}"/>
    <cellStyle name="Currency 3 3 3" xfId="554" xr:uid="{00000000-0005-0000-0000-000095010000}"/>
    <cellStyle name="Currency 3 3 4" xfId="758" xr:uid="{00000000-0005-0000-0000-000096010000}"/>
    <cellStyle name="Currency 3 4" xfId="415" xr:uid="{00000000-0005-0000-0000-000097010000}"/>
    <cellStyle name="Currency 3 4 2" xfId="759" xr:uid="{00000000-0005-0000-0000-000098010000}"/>
    <cellStyle name="Currency 3 5" xfId="416" xr:uid="{00000000-0005-0000-0000-000099010000}"/>
    <cellStyle name="Currency 4" xfId="112" xr:uid="{00000000-0005-0000-0000-00009A010000}"/>
    <cellStyle name="Currency 4 2" xfId="310" xr:uid="{00000000-0005-0000-0000-00009B010000}"/>
    <cellStyle name="Currency 4 2 2" xfId="760" xr:uid="{00000000-0005-0000-0000-00009C010000}"/>
    <cellStyle name="Currency 4 2 2 2" xfId="761" xr:uid="{00000000-0005-0000-0000-00009D010000}"/>
    <cellStyle name="Currency 4 2 2 2 2" xfId="762" xr:uid="{00000000-0005-0000-0000-00009E010000}"/>
    <cellStyle name="Currency 4 2 2 3" xfId="763" xr:uid="{00000000-0005-0000-0000-00009F010000}"/>
    <cellStyle name="Currency 4 2 3" xfId="764" xr:uid="{00000000-0005-0000-0000-0000A0010000}"/>
    <cellStyle name="Currency 4 2 3 2" xfId="765" xr:uid="{00000000-0005-0000-0000-0000A1010000}"/>
    <cellStyle name="Currency 4 2 4" xfId="766" xr:uid="{00000000-0005-0000-0000-0000A2010000}"/>
    <cellStyle name="Currency 4 3" xfId="417" xr:uid="{00000000-0005-0000-0000-0000A3010000}"/>
    <cellStyle name="Currency 4 3 2" xfId="767" xr:uid="{00000000-0005-0000-0000-0000A4010000}"/>
    <cellStyle name="Currency 4 3 2 2" xfId="768" xr:uid="{00000000-0005-0000-0000-0000A5010000}"/>
    <cellStyle name="Currency 4 3 3" xfId="769" xr:uid="{00000000-0005-0000-0000-0000A6010000}"/>
    <cellStyle name="Currency 4 4" xfId="418" xr:uid="{00000000-0005-0000-0000-0000A7010000}"/>
    <cellStyle name="Currency 4 4 2" xfId="770" xr:uid="{00000000-0005-0000-0000-0000A8010000}"/>
    <cellStyle name="Currency 4 5" xfId="771" xr:uid="{00000000-0005-0000-0000-0000A9010000}"/>
    <cellStyle name="Currency 5" xfId="113" xr:uid="{00000000-0005-0000-0000-0000AA010000}"/>
    <cellStyle name="Currency 5 2" xfId="311" xr:uid="{00000000-0005-0000-0000-0000AB010000}"/>
    <cellStyle name="Currency 5 2 2" xfId="772" xr:uid="{00000000-0005-0000-0000-0000AC010000}"/>
    <cellStyle name="Currency 5 2 2 2" xfId="773" xr:uid="{00000000-0005-0000-0000-0000AD010000}"/>
    <cellStyle name="Currency 5 2 3" xfId="774" xr:uid="{00000000-0005-0000-0000-0000AE010000}"/>
    <cellStyle name="Currency 5 3" xfId="419" xr:uid="{00000000-0005-0000-0000-0000AF010000}"/>
    <cellStyle name="Currency 5 3 2" xfId="775" xr:uid="{00000000-0005-0000-0000-0000B0010000}"/>
    <cellStyle name="Currency 5 4" xfId="776" xr:uid="{00000000-0005-0000-0000-0000B1010000}"/>
    <cellStyle name="Currency 6" xfId="114" xr:uid="{00000000-0005-0000-0000-0000B2010000}"/>
    <cellStyle name="Currency 7" xfId="115" xr:uid="{00000000-0005-0000-0000-0000B3010000}"/>
    <cellStyle name="Currency 8" xfId="116" xr:uid="{00000000-0005-0000-0000-0000B4010000}"/>
    <cellStyle name="Currency 8 2" xfId="420" xr:uid="{00000000-0005-0000-0000-0000B5010000}"/>
    <cellStyle name="Currency 8 2 2" xfId="777" xr:uid="{00000000-0005-0000-0000-0000B6010000}"/>
    <cellStyle name="Currency 8 2 2 2" xfId="778" xr:uid="{00000000-0005-0000-0000-0000B7010000}"/>
    <cellStyle name="Currency 8 2 3" xfId="779" xr:uid="{00000000-0005-0000-0000-0000B8010000}"/>
    <cellStyle name="Currency 8 3" xfId="559" xr:uid="{00000000-0005-0000-0000-0000B9010000}"/>
    <cellStyle name="Currency 8 3 2" xfId="780" xr:uid="{00000000-0005-0000-0000-0000BA010000}"/>
    <cellStyle name="Currency 8 3 3" xfId="781" xr:uid="{00000000-0005-0000-0000-0000BB010000}"/>
    <cellStyle name="Currency 8 4" xfId="782" xr:uid="{00000000-0005-0000-0000-0000BC010000}"/>
    <cellStyle name="Currency 9" xfId="117" xr:uid="{00000000-0005-0000-0000-0000BD010000}"/>
    <cellStyle name="Currency 9 2" xfId="783" xr:uid="{00000000-0005-0000-0000-0000BE010000}"/>
    <cellStyle name="Currency 9 2 2" xfId="784" xr:uid="{00000000-0005-0000-0000-0000BF010000}"/>
    <cellStyle name="Currency 9 3" xfId="785" xr:uid="{00000000-0005-0000-0000-0000C0010000}"/>
    <cellStyle name="Currency0" xfId="421" xr:uid="{00000000-0005-0000-0000-0000C1010000}"/>
    <cellStyle name="Data Enter" xfId="118" xr:uid="{00000000-0005-0000-0000-0000C2010000}"/>
    <cellStyle name="date" xfId="119" xr:uid="{00000000-0005-0000-0000-0000C3010000}"/>
    <cellStyle name="Explanatory Text 2" xfId="120" xr:uid="{00000000-0005-0000-0000-0000C4010000}"/>
    <cellStyle name="Explanatory Text 3" xfId="312" xr:uid="{00000000-0005-0000-0000-0000C5010000}"/>
    <cellStyle name="Explanatory Text 4" xfId="786" xr:uid="{00000000-0005-0000-0000-0000C6010000}"/>
    <cellStyle name="F9ReportControlStyle_ctpInquire" xfId="422" xr:uid="{00000000-0005-0000-0000-0000C7010000}"/>
    <cellStyle name="FactSheet" xfId="121" xr:uid="{00000000-0005-0000-0000-0000C8010000}"/>
    <cellStyle name="fish" xfId="122" xr:uid="{00000000-0005-0000-0000-0000C9010000}"/>
    <cellStyle name="Good 2" xfId="123" xr:uid="{00000000-0005-0000-0000-0000CA010000}"/>
    <cellStyle name="Good 2 2" xfId="787" xr:uid="{00000000-0005-0000-0000-0000CB010000}"/>
    <cellStyle name="Good 2 2 2" xfId="788" xr:uid="{00000000-0005-0000-0000-0000CC010000}"/>
    <cellStyle name="Good 2 3" xfId="789" xr:uid="{00000000-0005-0000-0000-0000CD010000}"/>
    <cellStyle name="Good 3" xfId="124" xr:uid="{00000000-0005-0000-0000-0000CE010000}"/>
    <cellStyle name="Good 3 2" xfId="423" xr:uid="{00000000-0005-0000-0000-0000CF010000}"/>
    <cellStyle name="Good 3 3" xfId="790" xr:uid="{00000000-0005-0000-0000-0000D0010000}"/>
    <cellStyle name="Good 4" xfId="424" xr:uid="{00000000-0005-0000-0000-0000D1010000}"/>
    <cellStyle name="Good 5" xfId="791" xr:uid="{00000000-0005-0000-0000-0000D2010000}"/>
    <cellStyle name="Heading 1 2" xfId="125" xr:uid="{00000000-0005-0000-0000-0000D3010000}"/>
    <cellStyle name="Heading 1 2 2" xfId="425" xr:uid="{00000000-0005-0000-0000-0000D4010000}"/>
    <cellStyle name="Heading 1 2 3" xfId="426" xr:uid="{00000000-0005-0000-0000-0000D5010000}"/>
    <cellStyle name="Heading 1 2 4" xfId="792" xr:uid="{00000000-0005-0000-0000-0000D6010000}"/>
    <cellStyle name="Heading 1 3" xfId="126" xr:uid="{00000000-0005-0000-0000-0000D7010000}"/>
    <cellStyle name="Heading 1 3 2" xfId="427" xr:uid="{00000000-0005-0000-0000-0000D8010000}"/>
    <cellStyle name="Heading 1 3 3" xfId="428" xr:uid="{00000000-0005-0000-0000-0000D9010000}"/>
    <cellStyle name="Heading 1 4" xfId="127" xr:uid="{00000000-0005-0000-0000-0000DA010000}"/>
    <cellStyle name="Heading 1 4 2" xfId="793" xr:uid="{00000000-0005-0000-0000-0000DB010000}"/>
    <cellStyle name="Heading 2 2" xfId="128" xr:uid="{00000000-0005-0000-0000-0000DC010000}"/>
    <cellStyle name="Heading 2 2 2" xfId="429" xr:uid="{00000000-0005-0000-0000-0000DD010000}"/>
    <cellStyle name="Heading 2 2 3" xfId="430" xr:uid="{00000000-0005-0000-0000-0000DE010000}"/>
    <cellStyle name="Heading 2 2 4" xfId="794" xr:uid="{00000000-0005-0000-0000-0000DF010000}"/>
    <cellStyle name="Heading 2 3" xfId="129" xr:uid="{00000000-0005-0000-0000-0000E0010000}"/>
    <cellStyle name="Heading 2 3 2" xfId="431" xr:uid="{00000000-0005-0000-0000-0000E1010000}"/>
    <cellStyle name="Heading 2 3 3" xfId="432" xr:uid="{00000000-0005-0000-0000-0000E2010000}"/>
    <cellStyle name="Heading 2 4" xfId="130" xr:uid="{00000000-0005-0000-0000-0000E3010000}"/>
    <cellStyle name="Heading 2 4 2" xfId="795" xr:uid="{00000000-0005-0000-0000-0000E4010000}"/>
    <cellStyle name="Heading 3 2" xfId="131" xr:uid="{00000000-0005-0000-0000-0000E5010000}"/>
    <cellStyle name="Heading 3 2 2" xfId="433" xr:uid="{00000000-0005-0000-0000-0000E6010000}"/>
    <cellStyle name="Heading 3 2 3" xfId="434" xr:uid="{00000000-0005-0000-0000-0000E7010000}"/>
    <cellStyle name="Heading 3 2 4" xfId="796" xr:uid="{00000000-0005-0000-0000-0000E8010000}"/>
    <cellStyle name="Heading 3 3" xfId="132" xr:uid="{00000000-0005-0000-0000-0000E9010000}"/>
    <cellStyle name="Heading 3 3 2" xfId="435" xr:uid="{00000000-0005-0000-0000-0000EA010000}"/>
    <cellStyle name="Heading 3 3 3" xfId="436" xr:uid="{00000000-0005-0000-0000-0000EB010000}"/>
    <cellStyle name="Heading 3 4" xfId="133" xr:uid="{00000000-0005-0000-0000-0000EC010000}"/>
    <cellStyle name="Heading 3 4 2" xfId="797" xr:uid="{00000000-0005-0000-0000-0000ED010000}"/>
    <cellStyle name="Heading 4 2" xfId="134" xr:uid="{00000000-0005-0000-0000-0000EE010000}"/>
    <cellStyle name="Heading 4 2 2" xfId="798" xr:uid="{00000000-0005-0000-0000-0000EF010000}"/>
    <cellStyle name="Heading 4 2 2 2" xfId="799" xr:uid="{00000000-0005-0000-0000-0000F0010000}"/>
    <cellStyle name="Heading 4 2 3" xfId="800" xr:uid="{00000000-0005-0000-0000-0000F1010000}"/>
    <cellStyle name="Heading 4 3" xfId="135" xr:uid="{00000000-0005-0000-0000-0000F2010000}"/>
    <cellStyle name="Heading 4 3 2" xfId="437" xr:uid="{00000000-0005-0000-0000-0000F3010000}"/>
    <cellStyle name="Heading 4 4" xfId="801" xr:uid="{00000000-0005-0000-0000-0000F4010000}"/>
    <cellStyle name="Hyperlink 2" xfId="136" xr:uid="{00000000-0005-0000-0000-0000F5010000}"/>
    <cellStyle name="Hyperlink 2 2" xfId="802" xr:uid="{00000000-0005-0000-0000-0000F6010000}"/>
    <cellStyle name="Hyperlink 2 2 2" xfId="803" xr:uid="{00000000-0005-0000-0000-0000F7010000}"/>
    <cellStyle name="Hyperlink 2 2 3" xfId="804" xr:uid="{00000000-0005-0000-0000-0000F8010000}"/>
    <cellStyle name="Hyperlink 2 2 4" xfId="805" xr:uid="{00000000-0005-0000-0000-0000F9010000}"/>
    <cellStyle name="Hyperlink 2 3" xfId="806" xr:uid="{00000000-0005-0000-0000-0000FA010000}"/>
    <cellStyle name="Hyperlink 3" xfId="137" xr:uid="{00000000-0005-0000-0000-0000FB010000}"/>
    <cellStyle name="Hyperlink 3 2" xfId="438" xr:uid="{00000000-0005-0000-0000-0000FC010000}"/>
    <cellStyle name="Hyperlink 3 2 2" xfId="807" xr:uid="{00000000-0005-0000-0000-0000FD010000}"/>
    <cellStyle name="Hyperlink 3 3" xfId="808" xr:uid="{00000000-0005-0000-0000-0000FE010000}"/>
    <cellStyle name="Input 2" xfId="138" xr:uid="{00000000-0005-0000-0000-0000FF010000}"/>
    <cellStyle name="Input 2 2" xfId="809" xr:uid="{00000000-0005-0000-0000-000000020000}"/>
    <cellStyle name="Input 2 2 2" xfId="810" xr:uid="{00000000-0005-0000-0000-000001020000}"/>
    <cellStyle name="Input 2 3" xfId="811" xr:uid="{00000000-0005-0000-0000-000002020000}"/>
    <cellStyle name="Input 3" xfId="139" xr:uid="{00000000-0005-0000-0000-000003020000}"/>
    <cellStyle name="Input 3 2" xfId="439" xr:uid="{00000000-0005-0000-0000-000004020000}"/>
    <cellStyle name="Input 4" xfId="812" xr:uid="{00000000-0005-0000-0000-000005020000}"/>
    <cellStyle name="input(0)" xfId="140" xr:uid="{00000000-0005-0000-0000-000006020000}"/>
    <cellStyle name="Input(2)" xfId="141" xr:uid="{00000000-0005-0000-0000-000007020000}"/>
    <cellStyle name="Labels" xfId="813" xr:uid="{00000000-0005-0000-0000-000008020000}"/>
    <cellStyle name="Linked Cell 2" xfId="142" xr:uid="{00000000-0005-0000-0000-000009020000}"/>
    <cellStyle name="Linked Cell 2 2" xfId="440" xr:uid="{00000000-0005-0000-0000-00000A020000}"/>
    <cellStyle name="Linked Cell 2 3" xfId="441" xr:uid="{00000000-0005-0000-0000-00000B020000}"/>
    <cellStyle name="Linked Cell 2 4" xfId="814" xr:uid="{00000000-0005-0000-0000-00000C020000}"/>
    <cellStyle name="Linked Cell 3" xfId="143" xr:uid="{00000000-0005-0000-0000-00000D020000}"/>
    <cellStyle name="Linked Cell 3 2" xfId="442" xr:uid="{00000000-0005-0000-0000-00000E020000}"/>
    <cellStyle name="Linked Cell 4" xfId="815" xr:uid="{00000000-0005-0000-0000-00000F020000}"/>
    <cellStyle name="Neutral 2" xfId="144" xr:uid="{00000000-0005-0000-0000-000010020000}"/>
    <cellStyle name="Neutral 2 2" xfId="443" xr:uid="{00000000-0005-0000-0000-000011020000}"/>
    <cellStyle name="Neutral 2 3" xfId="444" xr:uid="{00000000-0005-0000-0000-000012020000}"/>
    <cellStyle name="Neutral 2 4" xfId="816" xr:uid="{00000000-0005-0000-0000-000013020000}"/>
    <cellStyle name="Neutral 3" xfId="145" xr:uid="{00000000-0005-0000-0000-000014020000}"/>
    <cellStyle name="Neutral 3 2" xfId="445" xr:uid="{00000000-0005-0000-0000-000015020000}"/>
    <cellStyle name="Neutral 4" xfId="817" xr:uid="{00000000-0005-0000-0000-000016020000}"/>
    <cellStyle name="New_normal" xfId="146" xr:uid="{00000000-0005-0000-0000-000017020000}"/>
    <cellStyle name="Normal" xfId="0" builtinId="0"/>
    <cellStyle name="Normal - Style1" xfId="147" xr:uid="{00000000-0005-0000-0000-000019020000}"/>
    <cellStyle name="Normal - Style2" xfId="148" xr:uid="{00000000-0005-0000-0000-00001A020000}"/>
    <cellStyle name="Normal - Style3" xfId="149" xr:uid="{00000000-0005-0000-0000-00001B020000}"/>
    <cellStyle name="Normal - Style4" xfId="150" xr:uid="{00000000-0005-0000-0000-00001C020000}"/>
    <cellStyle name="Normal - Style5" xfId="151" xr:uid="{00000000-0005-0000-0000-00001D020000}"/>
    <cellStyle name="Normal 10" xfId="152" xr:uid="{00000000-0005-0000-0000-00001E020000}"/>
    <cellStyle name="Normal 10 2" xfId="153" xr:uid="{00000000-0005-0000-0000-00001F020000}"/>
    <cellStyle name="Normal 10 2 2" xfId="154" xr:uid="{00000000-0005-0000-0000-000020020000}"/>
    <cellStyle name="Normal 10 2 2 2" xfId="818" xr:uid="{00000000-0005-0000-0000-000021020000}"/>
    <cellStyle name="Normal 10 2 2 2 2" xfId="819" xr:uid="{00000000-0005-0000-0000-000022020000}"/>
    <cellStyle name="Normal 10 2 2 3" xfId="820" xr:uid="{00000000-0005-0000-0000-000023020000}"/>
    <cellStyle name="Normal 10 2 3" xfId="446" xr:uid="{00000000-0005-0000-0000-000024020000}"/>
    <cellStyle name="Normal 10 2 3 2" xfId="821" xr:uid="{00000000-0005-0000-0000-000025020000}"/>
    <cellStyle name="Normal 10 2 4" xfId="447" xr:uid="{00000000-0005-0000-0000-000026020000}"/>
    <cellStyle name="Normal 10 2 4 2" xfId="822" xr:uid="{00000000-0005-0000-0000-000027020000}"/>
    <cellStyle name="Normal 10 2 5" xfId="553" xr:uid="{00000000-0005-0000-0000-000028020000}"/>
    <cellStyle name="Normal 10 3" xfId="448" xr:uid="{00000000-0005-0000-0000-000029020000}"/>
    <cellStyle name="Normal 10 3 2" xfId="823" xr:uid="{00000000-0005-0000-0000-00002A020000}"/>
    <cellStyle name="Normal 10 3 2 2" xfId="824" xr:uid="{00000000-0005-0000-0000-00002B020000}"/>
    <cellStyle name="Normal 10 3 3" xfId="825" xr:uid="{00000000-0005-0000-0000-00002C020000}"/>
    <cellStyle name="Normal 10 4" xfId="826" xr:uid="{00000000-0005-0000-0000-00002D020000}"/>
    <cellStyle name="Normal 10 4 2" xfId="827" xr:uid="{00000000-0005-0000-0000-00002E020000}"/>
    <cellStyle name="Normal 10 5" xfId="828" xr:uid="{00000000-0005-0000-0000-00002F020000}"/>
    <cellStyle name="Normal 10_2112 DF Schedule" xfId="155" xr:uid="{00000000-0005-0000-0000-000030020000}"/>
    <cellStyle name="Normal 100" xfId="449" xr:uid="{00000000-0005-0000-0000-000031020000}"/>
    <cellStyle name="Normal 100 2" xfId="829" xr:uid="{00000000-0005-0000-0000-000032020000}"/>
    <cellStyle name="Normal 101" xfId="450" xr:uid="{00000000-0005-0000-0000-000033020000}"/>
    <cellStyle name="Normal 101 2" xfId="830" xr:uid="{00000000-0005-0000-0000-000034020000}"/>
    <cellStyle name="Normal 102" xfId="451" xr:uid="{00000000-0005-0000-0000-000035020000}"/>
    <cellStyle name="Normal 102 2" xfId="831" xr:uid="{00000000-0005-0000-0000-000036020000}"/>
    <cellStyle name="Normal 103" xfId="452" xr:uid="{00000000-0005-0000-0000-000037020000}"/>
    <cellStyle name="Normal 103 2" xfId="832" xr:uid="{00000000-0005-0000-0000-000038020000}"/>
    <cellStyle name="Normal 104" xfId="453" xr:uid="{00000000-0005-0000-0000-000039020000}"/>
    <cellStyle name="Normal 104 2" xfId="833" xr:uid="{00000000-0005-0000-0000-00003A020000}"/>
    <cellStyle name="Normal 105" xfId="454" xr:uid="{00000000-0005-0000-0000-00003B020000}"/>
    <cellStyle name="Normal 105 2" xfId="834" xr:uid="{00000000-0005-0000-0000-00003C020000}"/>
    <cellStyle name="Normal 106" xfId="455" xr:uid="{00000000-0005-0000-0000-00003D020000}"/>
    <cellStyle name="Normal 107" xfId="456" xr:uid="{00000000-0005-0000-0000-00003E020000}"/>
    <cellStyle name="Normal 107 2" xfId="835" xr:uid="{00000000-0005-0000-0000-00003F020000}"/>
    <cellStyle name="Normal 108" xfId="457" xr:uid="{00000000-0005-0000-0000-000040020000}"/>
    <cellStyle name="Normal 108 2" xfId="836" xr:uid="{00000000-0005-0000-0000-000041020000}"/>
    <cellStyle name="Normal 109" xfId="458" xr:uid="{00000000-0005-0000-0000-000042020000}"/>
    <cellStyle name="Normal 109 2" xfId="837" xr:uid="{00000000-0005-0000-0000-000043020000}"/>
    <cellStyle name="Normal 109 3" xfId="838" xr:uid="{00000000-0005-0000-0000-000044020000}"/>
    <cellStyle name="Normal 11" xfId="156" xr:uid="{00000000-0005-0000-0000-000045020000}"/>
    <cellStyle name="Normal 11 2" xfId="459" xr:uid="{00000000-0005-0000-0000-000046020000}"/>
    <cellStyle name="Normal 11 2 2" xfId="460" xr:uid="{00000000-0005-0000-0000-000047020000}"/>
    <cellStyle name="Normal 11 2 2 2" xfId="839" xr:uid="{00000000-0005-0000-0000-000048020000}"/>
    <cellStyle name="Normal 11 2 2 2 2" xfId="840" xr:uid="{00000000-0005-0000-0000-000049020000}"/>
    <cellStyle name="Normal 11 2 2 3" xfId="841" xr:uid="{00000000-0005-0000-0000-00004A020000}"/>
    <cellStyle name="Normal 11 2 3" xfId="842" xr:uid="{00000000-0005-0000-0000-00004B020000}"/>
    <cellStyle name="Normal 11 2 3 2" xfId="843" xr:uid="{00000000-0005-0000-0000-00004C020000}"/>
    <cellStyle name="Normal 11 2 4" xfId="844" xr:uid="{00000000-0005-0000-0000-00004D020000}"/>
    <cellStyle name="Normal 11 3" xfId="845" xr:uid="{00000000-0005-0000-0000-00004E020000}"/>
    <cellStyle name="Normal 11 3 2" xfId="846" xr:uid="{00000000-0005-0000-0000-00004F020000}"/>
    <cellStyle name="Normal 11 3 2 2" xfId="847" xr:uid="{00000000-0005-0000-0000-000050020000}"/>
    <cellStyle name="Normal 11 3 3" xfId="848" xr:uid="{00000000-0005-0000-0000-000051020000}"/>
    <cellStyle name="Normal 11 4" xfId="849" xr:uid="{00000000-0005-0000-0000-000052020000}"/>
    <cellStyle name="Normal 11 4 2" xfId="850" xr:uid="{00000000-0005-0000-0000-000053020000}"/>
    <cellStyle name="Normal 11 5" xfId="851" xr:uid="{00000000-0005-0000-0000-000054020000}"/>
    <cellStyle name="Normal 110" xfId="461" xr:uid="{00000000-0005-0000-0000-000055020000}"/>
    <cellStyle name="Normal 110 2" xfId="852" xr:uid="{00000000-0005-0000-0000-000056020000}"/>
    <cellStyle name="Normal 111" xfId="462" xr:uid="{00000000-0005-0000-0000-000057020000}"/>
    <cellStyle name="Normal 111 2" xfId="853" xr:uid="{00000000-0005-0000-0000-000058020000}"/>
    <cellStyle name="Normal 111 3" xfId="854" xr:uid="{00000000-0005-0000-0000-000059020000}"/>
    <cellStyle name="Normal 112" xfId="855" xr:uid="{00000000-0005-0000-0000-00005A020000}"/>
    <cellStyle name="Normal 112 2" xfId="856" xr:uid="{00000000-0005-0000-0000-00005B020000}"/>
    <cellStyle name="Normal 112 3" xfId="857" xr:uid="{00000000-0005-0000-0000-00005C020000}"/>
    <cellStyle name="Normal 113" xfId="858" xr:uid="{00000000-0005-0000-0000-00005D020000}"/>
    <cellStyle name="Normal 113 2" xfId="859" xr:uid="{00000000-0005-0000-0000-00005E020000}"/>
    <cellStyle name="Normal 113 3" xfId="860" xr:uid="{00000000-0005-0000-0000-00005F020000}"/>
    <cellStyle name="Normal 114" xfId="861" xr:uid="{00000000-0005-0000-0000-000060020000}"/>
    <cellStyle name="Normal 115" xfId="862" xr:uid="{00000000-0005-0000-0000-000061020000}"/>
    <cellStyle name="Normal 116" xfId="863" xr:uid="{00000000-0005-0000-0000-000062020000}"/>
    <cellStyle name="Normal 117" xfId="864" xr:uid="{00000000-0005-0000-0000-000063020000}"/>
    <cellStyle name="Normal 117 2" xfId="865" xr:uid="{00000000-0005-0000-0000-000064020000}"/>
    <cellStyle name="Normal 118" xfId="866" xr:uid="{00000000-0005-0000-0000-000065020000}"/>
    <cellStyle name="Normal 12" xfId="157" xr:uid="{00000000-0005-0000-0000-000066020000}"/>
    <cellStyle name="Normal 12 2" xfId="463" xr:uid="{00000000-0005-0000-0000-000067020000}"/>
    <cellStyle name="Normal 12 2 2" xfId="867" xr:uid="{00000000-0005-0000-0000-000068020000}"/>
    <cellStyle name="Normal 12 2 2 2" xfId="868" xr:uid="{00000000-0005-0000-0000-000069020000}"/>
    <cellStyle name="Normal 12 2 2 2 2" xfId="869" xr:uid="{00000000-0005-0000-0000-00006A020000}"/>
    <cellStyle name="Normal 12 2 2 3" xfId="870" xr:uid="{00000000-0005-0000-0000-00006B020000}"/>
    <cellStyle name="Normal 12 2 3" xfId="871" xr:uid="{00000000-0005-0000-0000-00006C020000}"/>
    <cellStyle name="Normal 12 2 3 2" xfId="872" xr:uid="{00000000-0005-0000-0000-00006D020000}"/>
    <cellStyle name="Normal 12 2 4" xfId="873" xr:uid="{00000000-0005-0000-0000-00006E020000}"/>
    <cellStyle name="Normal 12 3" xfId="464" xr:uid="{00000000-0005-0000-0000-00006F020000}"/>
    <cellStyle name="Normal 12 3 2" xfId="874" xr:uid="{00000000-0005-0000-0000-000070020000}"/>
    <cellStyle name="Normal 12 3 2 2" xfId="875" xr:uid="{00000000-0005-0000-0000-000071020000}"/>
    <cellStyle name="Normal 12 3 3" xfId="876" xr:uid="{00000000-0005-0000-0000-000072020000}"/>
    <cellStyle name="Normal 12 4" xfId="465" xr:uid="{00000000-0005-0000-0000-000073020000}"/>
    <cellStyle name="Normal 12 4 2" xfId="877" xr:uid="{00000000-0005-0000-0000-000074020000}"/>
    <cellStyle name="Normal 12 5" xfId="466" xr:uid="{00000000-0005-0000-0000-000075020000}"/>
    <cellStyle name="Normal 12 6" xfId="878" xr:uid="{00000000-0005-0000-0000-000076020000}"/>
    <cellStyle name="Normal 12 7" xfId="879" xr:uid="{00000000-0005-0000-0000-000077020000}"/>
    <cellStyle name="Normal 12_Sheet1" xfId="467" xr:uid="{00000000-0005-0000-0000-000078020000}"/>
    <cellStyle name="Normal 13" xfId="158" xr:uid="{00000000-0005-0000-0000-000079020000}"/>
    <cellStyle name="Normal 13 2" xfId="468" xr:uid="{00000000-0005-0000-0000-00007A020000}"/>
    <cellStyle name="Normal 13 2 2" xfId="880" xr:uid="{00000000-0005-0000-0000-00007B020000}"/>
    <cellStyle name="Normal 13 2 2 2" xfId="881" xr:uid="{00000000-0005-0000-0000-00007C020000}"/>
    <cellStyle name="Normal 13 2 2 2 2" xfId="882" xr:uid="{00000000-0005-0000-0000-00007D020000}"/>
    <cellStyle name="Normal 13 2 2 3" xfId="883" xr:uid="{00000000-0005-0000-0000-00007E020000}"/>
    <cellStyle name="Normal 13 2 3" xfId="884" xr:uid="{00000000-0005-0000-0000-00007F020000}"/>
    <cellStyle name="Normal 13 2 3 2" xfId="885" xr:uid="{00000000-0005-0000-0000-000080020000}"/>
    <cellStyle name="Normal 13 2 4" xfId="886" xr:uid="{00000000-0005-0000-0000-000081020000}"/>
    <cellStyle name="Normal 13 3" xfId="469" xr:uid="{00000000-0005-0000-0000-000082020000}"/>
    <cellStyle name="Normal 13 3 2" xfId="887" xr:uid="{00000000-0005-0000-0000-000083020000}"/>
    <cellStyle name="Normal 13 3 2 2" xfId="888" xr:uid="{00000000-0005-0000-0000-000084020000}"/>
    <cellStyle name="Normal 13 3 3" xfId="889" xr:uid="{00000000-0005-0000-0000-000085020000}"/>
    <cellStyle name="Normal 13 4" xfId="470" xr:uid="{00000000-0005-0000-0000-000086020000}"/>
    <cellStyle name="Normal 13 4 2" xfId="890" xr:uid="{00000000-0005-0000-0000-000087020000}"/>
    <cellStyle name="Normal 13 5" xfId="471" xr:uid="{00000000-0005-0000-0000-000088020000}"/>
    <cellStyle name="Normal 13 6" xfId="891" xr:uid="{00000000-0005-0000-0000-000089020000}"/>
    <cellStyle name="Normal 13 7" xfId="892" xr:uid="{00000000-0005-0000-0000-00008A020000}"/>
    <cellStyle name="Normal 13_Sheet1" xfId="472" xr:uid="{00000000-0005-0000-0000-00008B020000}"/>
    <cellStyle name="Normal 14" xfId="159" xr:uid="{00000000-0005-0000-0000-00008C020000}"/>
    <cellStyle name="Normal 14 2" xfId="473" xr:uid="{00000000-0005-0000-0000-00008D020000}"/>
    <cellStyle name="Normal 14 2 2" xfId="893" xr:uid="{00000000-0005-0000-0000-00008E020000}"/>
    <cellStyle name="Normal 14 2 2 2" xfId="894" xr:uid="{00000000-0005-0000-0000-00008F020000}"/>
    <cellStyle name="Normal 14 2 3" xfId="895" xr:uid="{00000000-0005-0000-0000-000090020000}"/>
    <cellStyle name="Normal 14 3" xfId="474" xr:uid="{00000000-0005-0000-0000-000091020000}"/>
    <cellStyle name="Normal 14 3 2" xfId="896" xr:uid="{00000000-0005-0000-0000-000092020000}"/>
    <cellStyle name="Normal 14 4" xfId="475" xr:uid="{00000000-0005-0000-0000-000093020000}"/>
    <cellStyle name="Normal 14 5" xfId="897" xr:uid="{00000000-0005-0000-0000-000094020000}"/>
    <cellStyle name="Normal 14_Sheet1" xfId="476" xr:uid="{00000000-0005-0000-0000-000095020000}"/>
    <cellStyle name="Normal 15" xfId="160" xr:uid="{00000000-0005-0000-0000-000096020000}"/>
    <cellStyle name="Normal 15 2" xfId="477" xr:uid="{00000000-0005-0000-0000-000097020000}"/>
    <cellStyle name="Normal 15 2 2" xfId="898" xr:uid="{00000000-0005-0000-0000-000098020000}"/>
    <cellStyle name="Normal 15 2 2 2" xfId="899" xr:uid="{00000000-0005-0000-0000-000099020000}"/>
    <cellStyle name="Normal 15 2 3" xfId="900" xr:uid="{00000000-0005-0000-0000-00009A020000}"/>
    <cellStyle name="Normal 15 3" xfId="478" xr:uid="{00000000-0005-0000-0000-00009B020000}"/>
    <cellStyle name="Normal 15 3 2" xfId="901" xr:uid="{00000000-0005-0000-0000-00009C020000}"/>
    <cellStyle name="Normal 15 4" xfId="479" xr:uid="{00000000-0005-0000-0000-00009D020000}"/>
    <cellStyle name="Normal 15 5" xfId="902" xr:uid="{00000000-0005-0000-0000-00009E020000}"/>
    <cellStyle name="Normal 16" xfId="161" xr:uid="{00000000-0005-0000-0000-00009F020000}"/>
    <cellStyle name="Normal 16 2" xfId="480" xr:uid="{00000000-0005-0000-0000-0000A0020000}"/>
    <cellStyle name="Normal 16 2 2" xfId="903" xr:uid="{00000000-0005-0000-0000-0000A1020000}"/>
    <cellStyle name="Normal 16 2 2 2" xfId="904" xr:uid="{00000000-0005-0000-0000-0000A2020000}"/>
    <cellStyle name="Normal 16 3" xfId="481" xr:uid="{00000000-0005-0000-0000-0000A3020000}"/>
    <cellStyle name="Normal 16 3 2" xfId="905" xr:uid="{00000000-0005-0000-0000-0000A4020000}"/>
    <cellStyle name="Normal 16 3 2 2" xfId="906" xr:uid="{00000000-0005-0000-0000-0000A5020000}"/>
    <cellStyle name="Normal 16 3 3" xfId="907" xr:uid="{00000000-0005-0000-0000-0000A6020000}"/>
    <cellStyle name="Normal 16 4" xfId="908" xr:uid="{00000000-0005-0000-0000-0000A7020000}"/>
    <cellStyle name="Normal 16 4 2" xfId="909" xr:uid="{00000000-0005-0000-0000-0000A8020000}"/>
    <cellStyle name="Normal 16 5" xfId="910" xr:uid="{00000000-0005-0000-0000-0000A9020000}"/>
    <cellStyle name="Normal 16 6" xfId="911" xr:uid="{00000000-0005-0000-0000-0000AA020000}"/>
    <cellStyle name="Normal 17" xfId="162" xr:uid="{00000000-0005-0000-0000-0000AB020000}"/>
    <cellStyle name="Normal 17 2" xfId="482" xr:uid="{00000000-0005-0000-0000-0000AC020000}"/>
    <cellStyle name="Normal 17 2 2" xfId="912" xr:uid="{00000000-0005-0000-0000-0000AD020000}"/>
    <cellStyle name="Normal 17 2 2 2" xfId="913" xr:uid="{00000000-0005-0000-0000-0000AE020000}"/>
    <cellStyle name="Normal 17 3" xfId="483" xr:uid="{00000000-0005-0000-0000-0000AF020000}"/>
    <cellStyle name="Normal 17 3 2" xfId="914" xr:uid="{00000000-0005-0000-0000-0000B0020000}"/>
    <cellStyle name="Normal 17 4" xfId="915" xr:uid="{00000000-0005-0000-0000-0000B1020000}"/>
    <cellStyle name="Normal 18" xfId="163" xr:uid="{00000000-0005-0000-0000-0000B2020000}"/>
    <cellStyle name="Normal 18 2" xfId="484" xr:uid="{00000000-0005-0000-0000-0000B3020000}"/>
    <cellStyle name="Normal 18 2 2" xfId="916" xr:uid="{00000000-0005-0000-0000-0000B4020000}"/>
    <cellStyle name="Normal 18 2 2 2" xfId="917" xr:uid="{00000000-0005-0000-0000-0000B5020000}"/>
    <cellStyle name="Normal 18 2 3" xfId="918" xr:uid="{00000000-0005-0000-0000-0000B6020000}"/>
    <cellStyle name="Normal 18 3" xfId="485" xr:uid="{00000000-0005-0000-0000-0000B7020000}"/>
    <cellStyle name="Normal 18 3 2" xfId="919" xr:uid="{00000000-0005-0000-0000-0000B8020000}"/>
    <cellStyle name="Normal 18 3 2 2" xfId="920" xr:uid="{00000000-0005-0000-0000-0000B9020000}"/>
    <cellStyle name="Normal 18 3 3" xfId="921" xr:uid="{00000000-0005-0000-0000-0000BA020000}"/>
    <cellStyle name="Normal 18 4" xfId="922" xr:uid="{00000000-0005-0000-0000-0000BB020000}"/>
    <cellStyle name="Normal 18 4 2" xfId="923" xr:uid="{00000000-0005-0000-0000-0000BC020000}"/>
    <cellStyle name="Normal 18 5" xfId="924" xr:uid="{00000000-0005-0000-0000-0000BD020000}"/>
    <cellStyle name="Normal 18 5 2" xfId="925" xr:uid="{00000000-0005-0000-0000-0000BE020000}"/>
    <cellStyle name="Normal 18 6" xfId="926" xr:uid="{00000000-0005-0000-0000-0000BF020000}"/>
    <cellStyle name="Normal 18 7" xfId="927" xr:uid="{00000000-0005-0000-0000-0000C0020000}"/>
    <cellStyle name="Normal 19" xfId="164" xr:uid="{00000000-0005-0000-0000-0000C1020000}"/>
    <cellStyle name="Normal 19 2" xfId="486" xr:uid="{00000000-0005-0000-0000-0000C2020000}"/>
    <cellStyle name="Normal 19 2 2" xfId="928" xr:uid="{00000000-0005-0000-0000-0000C3020000}"/>
    <cellStyle name="Normal 19 3" xfId="487" xr:uid="{00000000-0005-0000-0000-0000C4020000}"/>
    <cellStyle name="Normal 19 3 2" xfId="929" xr:uid="{00000000-0005-0000-0000-0000C5020000}"/>
    <cellStyle name="Normal 19 4" xfId="930" xr:uid="{00000000-0005-0000-0000-0000C6020000}"/>
    <cellStyle name="Normal 2" xfId="165" xr:uid="{00000000-0005-0000-0000-0000C7020000}"/>
    <cellStyle name="Normal 2 10" xfId="488" xr:uid="{00000000-0005-0000-0000-0000C8020000}"/>
    <cellStyle name="Normal 2 11" xfId="489" xr:uid="{00000000-0005-0000-0000-0000C9020000}"/>
    <cellStyle name="Normal 2 2" xfId="166" xr:uid="{00000000-0005-0000-0000-0000CA020000}"/>
    <cellStyle name="Normal 2 2 2" xfId="167" xr:uid="{00000000-0005-0000-0000-0000CB020000}"/>
    <cellStyle name="Normal 2 2 2 2" xfId="490" xr:uid="{00000000-0005-0000-0000-0000CC020000}"/>
    <cellStyle name="Normal 2 2 2_JE_IS11" xfId="931" xr:uid="{00000000-0005-0000-0000-0000CD020000}"/>
    <cellStyle name="Normal 2 2 3" xfId="168" xr:uid="{00000000-0005-0000-0000-0000CE020000}"/>
    <cellStyle name="Normal 2 2 4" xfId="491" xr:uid="{00000000-0005-0000-0000-0000CF020000}"/>
    <cellStyle name="Normal 2 2 5" xfId="932" xr:uid="{00000000-0005-0000-0000-0000D0020000}"/>
    <cellStyle name="Normal 2 2 6" xfId="933" xr:uid="{00000000-0005-0000-0000-0000D1020000}"/>
    <cellStyle name="Normal 2 2 7" xfId="934" xr:uid="{00000000-0005-0000-0000-0000D2020000}"/>
    <cellStyle name="Normal 2 2 8" xfId="935" xr:uid="{00000000-0005-0000-0000-0000D3020000}"/>
    <cellStyle name="Normal 2 2_4MthProj2" xfId="492" xr:uid="{00000000-0005-0000-0000-0000D4020000}"/>
    <cellStyle name="Normal 2 3" xfId="169" xr:uid="{00000000-0005-0000-0000-0000D5020000}"/>
    <cellStyle name="Normal 2 3 2" xfId="170" xr:uid="{00000000-0005-0000-0000-0000D6020000}"/>
    <cellStyle name="Normal 2 3 2 2" xfId="936" xr:uid="{00000000-0005-0000-0000-0000D7020000}"/>
    <cellStyle name="Normal 2 3 2 3" xfId="937" xr:uid="{00000000-0005-0000-0000-0000D8020000}"/>
    <cellStyle name="Normal 2 3 3" xfId="171" xr:uid="{00000000-0005-0000-0000-0000D9020000}"/>
    <cellStyle name="Normal 2 3 3 2" xfId="938" xr:uid="{00000000-0005-0000-0000-0000DA020000}"/>
    <cellStyle name="Normal 2 3 3 2 2" xfId="939" xr:uid="{00000000-0005-0000-0000-0000DB020000}"/>
    <cellStyle name="Normal 2 3 3 3" xfId="940" xr:uid="{00000000-0005-0000-0000-0000DC020000}"/>
    <cellStyle name="Normal 2 3 4" xfId="941" xr:uid="{00000000-0005-0000-0000-0000DD020000}"/>
    <cellStyle name="Normal 2 3 4 2" xfId="942" xr:uid="{00000000-0005-0000-0000-0000DE020000}"/>
    <cellStyle name="Normal 2 3 5" xfId="943" xr:uid="{00000000-0005-0000-0000-0000DF020000}"/>
    <cellStyle name="Normal 2 3_4MthProj2" xfId="493" xr:uid="{00000000-0005-0000-0000-0000E0020000}"/>
    <cellStyle name="Normal 2 4" xfId="172" xr:uid="{00000000-0005-0000-0000-0000E1020000}"/>
    <cellStyle name="Normal 2 4 2" xfId="494" xr:uid="{00000000-0005-0000-0000-0000E2020000}"/>
    <cellStyle name="Normal 2 4 2 2" xfId="944" xr:uid="{00000000-0005-0000-0000-0000E3020000}"/>
    <cellStyle name="Normal 2 4 3" xfId="945" xr:uid="{00000000-0005-0000-0000-0000E4020000}"/>
    <cellStyle name="Normal 2 4 3 2" xfId="946" xr:uid="{00000000-0005-0000-0000-0000E5020000}"/>
    <cellStyle name="Normal 2 5" xfId="173" xr:uid="{00000000-0005-0000-0000-0000E6020000}"/>
    <cellStyle name="Normal 2 5 2" xfId="947" xr:uid="{00000000-0005-0000-0000-0000E7020000}"/>
    <cellStyle name="Normal 2 5 3" xfId="948" xr:uid="{00000000-0005-0000-0000-0000E8020000}"/>
    <cellStyle name="Normal 2 6" xfId="174" xr:uid="{00000000-0005-0000-0000-0000E9020000}"/>
    <cellStyle name="Normal 2 6 2" xfId="560" xr:uid="{00000000-0005-0000-0000-0000EA020000}"/>
    <cellStyle name="Normal 2 6 2 2" xfId="949" xr:uid="{00000000-0005-0000-0000-0000EB020000}"/>
    <cellStyle name="Normal 2 6 3" xfId="950" xr:uid="{00000000-0005-0000-0000-0000EC020000}"/>
    <cellStyle name="Normal 2 7" xfId="495" xr:uid="{00000000-0005-0000-0000-0000ED020000}"/>
    <cellStyle name="Normal 2 7 2" xfId="951" xr:uid="{00000000-0005-0000-0000-0000EE020000}"/>
    <cellStyle name="Normal 2 8" xfId="496" xr:uid="{00000000-0005-0000-0000-0000EF020000}"/>
    <cellStyle name="Normal 2 9" xfId="497" xr:uid="{00000000-0005-0000-0000-0000F0020000}"/>
    <cellStyle name="Normal 2_2009 Regulated Price Out" xfId="498" xr:uid="{00000000-0005-0000-0000-0000F1020000}"/>
    <cellStyle name="Normal 20" xfId="175" xr:uid="{00000000-0005-0000-0000-0000F2020000}"/>
    <cellStyle name="Normal 20 2" xfId="499" xr:uid="{00000000-0005-0000-0000-0000F3020000}"/>
    <cellStyle name="Normal 20 2 2" xfId="952" xr:uid="{00000000-0005-0000-0000-0000F4020000}"/>
    <cellStyle name="Normal 20 2 3" xfId="953" xr:uid="{00000000-0005-0000-0000-0000F5020000}"/>
    <cellStyle name="Normal 20 3" xfId="500" xr:uid="{00000000-0005-0000-0000-0000F6020000}"/>
    <cellStyle name="Normal 20 4" xfId="954" xr:uid="{00000000-0005-0000-0000-0000F7020000}"/>
    <cellStyle name="Normal 20 4 2" xfId="955" xr:uid="{00000000-0005-0000-0000-0000F8020000}"/>
    <cellStyle name="Normal 20 5" xfId="956" xr:uid="{00000000-0005-0000-0000-0000F9020000}"/>
    <cellStyle name="Normal 20 6" xfId="957" xr:uid="{00000000-0005-0000-0000-0000FA020000}"/>
    <cellStyle name="Normal 21" xfId="176" xr:uid="{00000000-0005-0000-0000-0000FB020000}"/>
    <cellStyle name="Normal 21 2" xfId="501" xr:uid="{00000000-0005-0000-0000-0000FC020000}"/>
    <cellStyle name="Normal 21 2 2" xfId="958" xr:uid="{00000000-0005-0000-0000-0000FD020000}"/>
    <cellStyle name="Normal 21 3" xfId="959" xr:uid="{00000000-0005-0000-0000-0000FE020000}"/>
    <cellStyle name="Normal 21 3 2" xfId="960" xr:uid="{00000000-0005-0000-0000-0000FF020000}"/>
    <cellStyle name="Normal 21 4" xfId="961" xr:uid="{00000000-0005-0000-0000-000000030000}"/>
    <cellStyle name="Normal 22" xfId="177" xr:uid="{00000000-0005-0000-0000-000001030000}"/>
    <cellStyle name="Normal 22 2" xfId="502" xr:uid="{00000000-0005-0000-0000-000002030000}"/>
    <cellStyle name="Normal 22 2 2" xfId="962" xr:uid="{00000000-0005-0000-0000-000003030000}"/>
    <cellStyle name="Normal 22 3" xfId="963" xr:uid="{00000000-0005-0000-0000-000004030000}"/>
    <cellStyle name="Normal 22 3 2" xfId="964" xr:uid="{00000000-0005-0000-0000-000005030000}"/>
    <cellStyle name="Normal 22 4" xfId="965" xr:uid="{00000000-0005-0000-0000-000006030000}"/>
    <cellStyle name="Normal 23" xfId="178" xr:uid="{00000000-0005-0000-0000-000007030000}"/>
    <cellStyle name="Normal 23 2" xfId="503" xr:uid="{00000000-0005-0000-0000-000008030000}"/>
    <cellStyle name="Normal 23 2 2" xfId="966" xr:uid="{00000000-0005-0000-0000-000009030000}"/>
    <cellStyle name="Normal 23 2 3" xfId="967" xr:uid="{00000000-0005-0000-0000-00000A030000}"/>
    <cellStyle name="Normal 23 3" xfId="968" xr:uid="{00000000-0005-0000-0000-00000B030000}"/>
    <cellStyle name="Normal 23 3 2" xfId="969" xr:uid="{00000000-0005-0000-0000-00000C030000}"/>
    <cellStyle name="Normal 23 3 3" xfId="970" xr:uid="{00000000-0005-0000-0000-00000D030000}"/>
    <cellStyle name="Normal 23 4" xfId="971" xr:uid="{00000000-0005-0000-0000-00000E030000}"/>
    <cellStyle name="Normal 24" xfId="179" xr:uid="{00000000-0005-0000-0000-00000F030000}"/>
    <cellStyle name="Normal 24 2" xfId="504" xr:uid="{00000000-0005-0000-0000-000010030000}"/>
    <cellStyle name="Normal 24 2 2" xfId="972" xr:uid="{00000000-0005-0000-0000-000011030000}"/>
    <cellStyle name="Normal 24 2 3" xfId="973" xr:uid="{00000000-0005-0000-0000-000012030000}"/>
    <cellStyle name="Normal 24 3" xfId="974" xr:uid="{00000000-0005-0000-0000-000013030000}"/>
    <cellStyle name="Normal 24 3 2" xfId="975" xr:uid="{00000000-0005-0000-0000-000014030000}"/>
    <cellStyle name="Normal 24 4" xfId="976" xr:uid="{00000000-0005-0000-0000-000015030000}"/>
    <cellStyle name="Normal 25" xfId="180" xr:uid="{00000000-0005-0000-0000-000016030000}"/>
    <cellStyle name="Normal 25 2" xfId="977" xr:uid="{00000000-0005-0000-0000-000017030000}"/>
    <cellStyle name="Normal 25 2 2" xfId="978" xr:uid="{00000000-0005-0000-0000-000018030000}"/>
    <cellStyle name="Normal 25 3" xfId="979" xr:uid="{00000000-0005-0000-0000-000019030000}"/>
    <cellStyle name="Normal 25 4" xfId="980" xr:uid="{00000000-0005-0000-0000-00001A030000}"/>
    <cellStyle name="Normal 26" xfId="181" xr:uid="{00000000-0005-0000-0000-00001B030000}"/>
    <cellStyle name="Normal 26 2" xfId="981" xr:uid="{00000000-0005-0000-0000-00001C030000}"/>
    <cellStyle name="Normal 26 2 2" xfId="982" xr:uid="{00000000-0005-0000-0000-00001D030000}"/>
    <cellStyle name="Normal 26 3" xfId="983" xr:uid="{00000000-0005-0000-0000-00001E030000}"/>
    <cellStyle name="Normal 26 4" xfId="984" xr:uid="{00000000-0005-0000-0000-00001F030000}"/>
    <cellStyle name="Normal 27" xfId="182" xr:uid="{00000000-0005-0000-0000-000020030000}"/>
    <cellStyle name="Normal 27 2" xfId="505" xr:uid="{00000000-0005-0000-0000-000021030000}"/>
    <cellStyle name="Normal 27 2 2" xfId="985" xr:uid="{00000000-0005-0000-0000-000022030000}"/>
    <cellStyle name="Normal 27 2 2 2" xfId="986" xr:uid="{00000000-0005-0000-0000-000023030000}"/>
    <cellStyle name="Normal 27 3" xfId="987" xr:uid="{00000000-0005-0000-0000-000024030000}"/>
    <cellStyle name="Normal 27 3 2" xfId="988" xr:uid="{00000000-0005-0000-0000-000025030000}"/>
    <cellStyle name="Normal 27 4" xfId="989" xr:uid="{00000000-0005-0000-0000-000026030000}"/>
    <cellStyle name="Normal 27 5" xfId="990" xr:uid="{00000000-0005-0000-0000-000027030000}"/>
    <cellStyle name="Normal 28" xfId="183" xr:uid="{00000000-0005-0000-0000-000028030000}"/>
    <cellStyle name="Normal 28 2" xfId="991" xr:uid="{00000000-0005-0000-0000-000029030000}"/>
    <cellStyle name="Normal 28 2 2" xfId="992" xr:uid="{00000000-0005-0000-0000-00002A030000}"/>
    <cellStyle name="Normal 28 3" xfId="993" xr:uid="{00000000-0005-0000-0000-00002B030000}"/>
    <cellStyle name="Normal 28 4" xfId="994" xr:uid="{00000000-0005-0000-0000-00002C030000}"/>
    <cellStyle name="Normal 29" xfId="184" xr:uid="{00000000-0005-0000-0000-00002D030000}"/>
    <cellStyle name="Normal 29 2" xfId="995" xr:uid="{00000000-0005-0000-0000-00002E030000}"/>
    <cellStyle name="Normal 29 3" xfId="996" xr:uid="{00000000-0005-0000-0000-00002F030000}"/>
    <cellStyle name="Normal 29 4" xfId="997" xr:uid="{00000000-0005-0000-0000-000030030000}"/>
    <cellStyle name="Normal 3" xfId="185" xr:uid="{00000000-0005-0000-0000-000031030000}"/>
    <cellStyle name="Normal 3 2" xfId="186" xr:uid="{00000000-0005-0000-0000-000032030000}"/>
    <cellStyle name="Normal 3 2 2" xfId="506" xr:uid="{00000000-0005-0000-0000-000033030000}"/>
    <cellStyle name="Normal 3 2 2 2" xfId="998" xr:uid="{00000000-0005-0000-0000-000034030000}"/>
    <cellStyle name="Normal 3 2 2 2 2" xfId="999" xr:uid="{00000000-0005-0000-0000-000035030000}"/>
    <cellStyle name="Normal 3 2 3" xfId="1000" xr:uid="{00000000-0005-0000-0000-000036030000}"/>
    <cellStyle name="Normal 3 2 3 2" xfId="1001" xr:uid="{00000000-0005-0000-0000-000037030000}"/>
    <cellStyle name="Normal 3 3" xfId="187" xr:uid="{00000000-0005-0000-0000-000038030000}"/>
    <cellStyle name="Normal 3 3 2" xfId="507" xr:uid="{00000000-0005-0000-0000-000039030000}"/>
    <cellStyle name="Normal 3 3 2 2" xfId="1002" xr:uid="{00000000-0005-0000-0000-00003A030000}"/>
    <cellStyle name="Normal 3 3 3" xfId="1003" xr:uid="{00000000-0005-0000-0000-00003B030000}"/>
    <cellStyle name="Normal 3 3 4" xfId="1004" xr:uid="{00000000-0005-0000-0000-00003C030000}"/>
    <cellStyle name="Normal 3 4" xfId="508" xr:uid="{00000000-0005-0000-0000-00003D030000}"/>
    <cellStyle name="Normal 3 4 2" xfId="556" xr:uid="{00000000-0005-0000-0000-00003E030000}"/>
    <cellStyle name="Normal 3_2012 PR" xfId="188" xr:uid="{00000000-0005-0000-0000-00003F030000}"/>
    <cellStyle name="Normal 30" xfId="189" xr:uid="{00000000-0005-0000-0000-000040030000}"/>
    <cellStyle name="Normal 30 2" xfId="1005" xr:uid="{00000000-0005-0000-0000-000041030000}"/>
    <cellStyle name="Normal 30 3" xfId="1006" xr:uid="{00000000-0005-0000-0000-000042030000}"/>
    <cellStyle name="Normal 30 4" xfId="1007" xr:uid="{00000000-0005-0000-0000-000043030000}"/>
    <cellStyle name="Normal 31" xfId="190" xr:uid="{00000000-0005-0000-0000-000044030000}"/>
    <cellStyle name="Normal 31 2" xfId="509" xr:uid="{00000000-0005-0000-0000-000045030000}"/>
    <cellStyle name="Normal 31 2 2" xfId="1008" xr:uid="{00000000-0005-0000-0000-000046030000}"/>
    <cellStyle name="Normal 31 2 2 2" xfId="1009" xr:uid="{00000000-0005-0000-0000-000047030000}"/>
    <cellStyle name="Normal 31 2 3" xfId="1010" xr:uid="{00000000-0005-0000-0000-000048030000}"/>
    <cellStyle name="Normal 31 3" xfId="1011" xr:uid="{00000000-0005-0000-0000-000049030000}"/>
    <cellStyle name="Normal 31 3 2" xfId="1012" xr:uid="{00000000-0005-0000-0000-00004A030000}"/>
    <cellStyle name="Normal 31 3 3" xfId="1013" xr:uid="{00000000-0005-0000-0000-00004B030000}"/>
    <cellStyle name="Normal 31 4" xfId="1014" xr:uid="{00000000-0005-0000-0000-00004C030000}"/>
    <cellStyle name="Normal 31 4 2" xfId="1015" xr:uid="{00000000-0005-0000-0000-00004D030000}"/>
    <cellStyle name="Normal 32" xfId="191" xr:uid="{00000000-0005-0000-0000-00004E030000}"/>
    <cellStyle name="Normal 32 2" xfId="1016" xr:uid="{00000000-0005-0000-0000-00004F030000}"/>
    <cellStyle name="Normal 32 2 2" xfId="1017" xr:uid="{00000000-0005-0000-0000-000050030000}"/>
    <cellStyle name="Normal 32 2 2 2" xfId="1018" xr:uid="{00000000-0005-0000-0000-000051030000}"/>
    <cellStyle name="Normal 32 2 3" xfId="1019" xr:uid="{00000000-0005-0000-0000-000052030000}"/>
    <cellStyle name="Normal 32 3" xfId="1020" xr:uid="{00000000-0005-0000-0000-000053030000}"/>
    <cellStyle name="Normal 32 3 2" xfId="1021" xr:uid="{00000000-0005-0000-0000-000054030000}"/>
    <cellStyle name="Normal 32 4" xfId="1022" xr:uid="{00000000-0005-0000-0000-000055030000}"/>
    <cellStyle name="Normal 32 4 2" xfId="1023" xr:uid="{00000000-0005-0000-0000-000056030000}"/>
    <cellStyle name="Normal 33" xfId="192" xr:uid="{00000000-0005-0000-0000-000057030000}"/>
    <cellStyle name="Normal 33 2" xfId="1024" xr:uid="{00000000-0005-0000-0000-000058030000}"/>
    <cellStyle name="Normal 33 3" xfId="1025" xr:uid="{00000000-0005-0000-0000-000059030000}"/>
    <cellStyle name="Normal 34" xfId="193" xr:uid="{00000000-0005-0000-0000-00005A030000}"/>
    <cellStyle name="Normal 34 2" xfId="1026" xr:uid="{00000000-0005-0000-0000-00005B030000}"/>
    <cellStyle name="Normal 34 3" xfId="1027" xr:uid="{00000000-0005-0000-0000-00005C030000}"/>
    <cellStyle name="Normal 35" xfId="194" xr:uid="{00000000-0005-0000-0000-00005D030000}"/>
    <cellStyle name="Normal 35 2" xfId="1028" xr:uid="{00000000-0005-0000-0000-00005E030000}"/>
    <cellStyle name="Normal 35 2 2" xfId="1029" xr:uid="{00000000-0005-0000-0000-00005F030000}"/>
    <cellStyle name="Normal 35 3" xfId="1030" xr:uid="{00000000-0005-0000-0000-000060030000}"/>
    <cellStyle name="Normal 35 3 2" xfId="1031" xr:uid="{00000000-0005-0000-0000-000061030000}"/>
    <cellStyle name="Normal 36" xfId="195" xr:uid="{00000000-0005-0000-0000-000062030000}"/>
    <cellStyle name="Normal 36 2" xfId="1032" xr:uid="{00000000-0005-0000-0000-000063030000}"/>
    <cellStyle name="Normal 36 2 2" xfId="1033" xr:uid="{00000000-0005-0000-0000-000064030000}"/>
    <cellStyle name="Normal 36 3" xfId="1034" xr:uid="{00000000-0005-0000-0000-000065030000}"/>
    <cellStyle name="Normal 37" xfId="196" xr:uid="{00000000-0005-0000-0000-000066030000}"/>
    <cellStyle name="Normal 37 2" xfId="1035" xr:uid="{00000000-0005-0000-0000-000067030000}"/>
    <cellStyle name="Normal 37 2 2" xfId="1036" xr:uid="{00000000-0005-0000-0000-000068030000}"/>
    <cellStyle name="Normal 37 3" xfId="1037" xr:uid="{00000000-0005-0000-0000-000069030000}"/>
    <cellStyle name="Normal 38" xfId="197" xr:uid="{00000000-0005-0000-0000-00006A030000}"/>
    <cellStyle name="Normal 38 2" xfId="1038" xr:uid="{00000000-0005-0000-0000-00006B030000}"/>
    <cellStyle name="Normal 38 2 2" xfId="1039" xr:uid="{00000000-0005-0000-0000-00006C030000}"/>
    <cellStyle name="Normal 38 3" xfId="1040" xr:uid="{00000000-0005-0000-0000-00006D030000}"/>
    <cellStyle name="Normal 39" xfId="198" xr:uid="{00000000-0005-0000-0000-00006E030000}"/>
    <cellStyle name="Normal 39 2" xfId="1041" xr:uid="{00000000-0005-0000-0000-00006F030000}"/>
    <cellStyle name="Normal 39 2 2" xfId="1042" xr:uid="{00000000-0005-0000-0000-000070030000}"/>
    <cellStyle name="Normal 39 3" xfId="1043" xr:uid="{00000000-0005-0000-0000-000071030000}"/>
    <cellStyle name="Normal 4" xfId="199" xr:uid="{00000000-0005-0000-0000-000072030000}"/>
    <cellStyle name="Normal 4 2" xfId="200" xr:uid="{00000000-0005-0000-0000-000073030000}"/>
    <cellStyle name="Normal 4 2 2" xfId="510" xr:uid="{00000000-0005-0000-0000-000074030000}"/>
    <cellStyle name="Normal 4 2 2 2" xfId="1044" xr:uid="{00000000-0005-0000-0000-000075030000}"/>
    <cellStyle name="Normal 4 2 3" xfId="1045" xr:uid="{00000000-0005-0000-0000-000076030000}"/>
    <cellStyle name="Normal 4 2 4" xfId="1046" xr:uid="{00000000-0005-0000-0000-000077030000}"/>
    <cellStyle name="Normal 4 3" xfId="511" xr:uid="{00000000-0005-0000-0000-000078030000}"/>
    <cellStyle name="Normal 4 3 2" xfId="512" xr:uid="{00000000-0005-0000-0000-000079030000}"/>
    <cellStyle name="Normal 4 3 2 2" xfId="1047" xr:uid="{00000000-0005-0000-0000-00007A030000}"/>
    <cellStyle name="Normal 4 3 3" xfId="1048" xr:uid="{00000000-0005-0000-0000-00007B030000}"/>
    <cellStyle name="Normal 4 4" xfId="1049" xr:uid="{00000000-0005-0000-0000-00007C030000}"/>
    <cellStyle name="Normal 4 4 2" xfId="1050" xr:uid="{00000000-0005-0000-0000-00007D030000}"/>
    <cellStyle name="Normal 4 5" xfId="1051" xr:uid="{00000000-0005-0000-0000-00007E030000}"/>
    <cellStyle name="Normal 4_B&amp;O Taxes" xfId="1052" xr:uid="{00000000-0005-0000-0000-00007F030000}"/>
    <cellStyle name="Normal 40" xfId="201" xr:uid="{00000000-0005-0000-0000-000080030000}"/>
    <cellStyle name="Normal 40 2" xfId="1053" xr:uid="{00000000-0005-0000-0000-000081030000}"/>
    <cellStyle name="Normal 40 2 2" xfId="1054" xr:uid="{00000000-0005-0000-0000-000082030000}"/>
    <cellStyle name="Normal 40 3" xfId="1055" xr:uid="{00000000-0005-0000-0000-000083030000}"/>
    <cellStyle name="Normal 41" xfId="202" xr:uid="{00000000-0005-0000-0000-000084030000}"/>
    <cellStyle name="Normal 41 2" xfId="1056" xr:uid="{00000000-0005-0000-0000-000085030000}"/>
    <cellStyle name="Normal 41 2 2" xfId="1057" xr:uid="{00000000-0005-0000-0000-000086030000}"/>
    <cellStyle name="Normal 41 3" xfId="1058" xr:uid="{00000000-0005-0000-0000-000087030000}"/>
    <cellStyle name="Normal 42" xfId="203" xr:uid="{00000000-0005-0000-0000-000088030000}"/>
    <cellStyle name="Normal 42 2" xfId="1059" xr:uid="{00000000-0005-0000-0000-000089030000}"/>
    <cellStyle name="Normal 42 3" xfId="1060" xr:uid="{00000000-0005-0000-0000-00008A030000}"/>
    <cellStyle name="Normal 43" xfId="204" xr:uid="{00000000-0005-0000-0000-00008B030000}"/>
    <cellStyle name="Normal 43 2" xfId="1061" xr:uid="{00000000-0005-0000-0000-00008C030000}"/>
    <cellStyle name="Normal 43 3" xfId="1062" xr:uid="{00000000-0005-0000-0000-00008D030000}"/>
    <cellStyle name="Normal 44" xfId="205" xr:uid="{00000000-0005-0000-0000-00008E030000}"/>
    <cellStyle name="Normal 44 2" xfId="1063" xr:uid="{00000000-0005-0000-0000-00008F030000}"/>
    <cellStyle name="Normal 44 2 2" xfId="1064" xr:uid="{00000000-0005-0000-0000-000090030000}"/>
    <cellStyle name="Normal 44 3" xfId="1065" xr:uid="{00000000-0005-0000-0000-000091030000}"/>
    <cellStyle name="Normal 45" xfId="206" xr:uid="{00000000-0005-0000-0000-000092030000}"/>
    <cellStyle name="Normal 45 2" xfId="1066" xr:uid="{00000000-0005-0000-0000-000093030000}"/>
    <cellStyle name="Normal 45 3" xfId="1067" xr:uid="{00000000-0005-0000-0000-000094030000}"/>
    <cellStyle name="Normal 46" xfId="207" xr:uid="{00000000-0005-0000-0000-000095030000}"/>
    <cellStyle name="Normal 46 2" xfId="1068" xr:uid="{00000000-0005-0000-0000-000096030000}"/>
    <cellStyle name="Normal 46 3" xfId="1069" xr:uid="{00000000-0005-0000-0000-000097030000}"/>
    <cellStyle name="Normal 47" xfId="208" xr:uid="{00000000-0005-0000-0000-000098030000}"/>
    <cellStyle name="Normal 47 2" xfId="1070" xr:uid="{00000000-0005-0000-0000-000099030000}"/>
    <cellStyle name="Normal 47 3" xfId="1071" xr:uid="{00000000-0005-0000-0000-00009A030000}"/>
    <cellStyle name="Normal 48" xfId="209" xr:uid="{00000000-0005-0000-0000-00009B030000}"/>
    <cellStyle name="Normal 48 2" xfId="1072" xr:uid="{00000000-0005-0000-0000-00009C030000}"/>
    <cellStyle name="Normal 48 3" xfId="1073" xr:uid="{00000000-0005-0000-0000-00009D030000}"/>
    <cellStyle name="Normal 49" xfId="210" xr:uid="{00000000-0005-0000-0000-00009E030000}"/>
    <cellStyle name="Normal 49 2" xfId="1074" xr:uid="{00000000-0005-0000-0000-00009F030000}"/>
    <cellStyle name="Normal 49 3" xfId="1075" xr:uid="{00000000-0005-0000-0000-0000A0030000}"/>
    <cellStyle name="Normal 5" xfId="211" xr:uid="{00000000-0005-0000-0000-0000A1030000}"/>
    <cellStyle name="Normal 5 2" xfId="212" xr:uid="{00000000-0005-0000-0000-0000A2030000}"/>
    <cellStyle name="Normal 5 2 2" xfId="1076" xr:uid="{00000000-0005-0000-0000-0000A3030000}"/>
    <cellStyle name="Normal 5 2 2 2" xfId="1077" xr:uid="{00000000-0005-0000-0000-0000A4030000}"/>
    <cellStyle name="Normal 5 2 2 2 2" xfId="1078" xr:uid="{00000000-0005-0000-0000-0000A5030000}"/>
    <cellStyle name="Normal 5 2 2 3" xfId="1079" xr:uid="{00000000-0005-0000-0000-0000A6030000}"/>
    <cellStyle name="Normal 5 2 3" xfId="1080" xr:uid="{00000000-0005-0000-0000-0000A7030000}"/>
    <cellStyle name="Normal 5 2 3 2" xfId="1081" xr:uid="{00000000-0005-0000-0000-0000A8030000}"/>
    <cellStyle name="Normal 5 2 4" xfId="1082" xr:uid="{00000000-0005-0000-0000-0000A9030000}"/>
    <cellStyle name="Normal 5 3" xfId="513" xr:uid="{00000000-0005-0000-0000-0000AA030000}"/>
    <cellStyle name="Normal 5 3 2" xfId="1083" xr:uid="{00000000-0005-0000-0000-0000AB030000}"/>
    <cellStyle name="Normal 5 3 2 2" xfId="1084" xr:uid="{00000000-0005-0000-0000-0000AC030000}"/>
    <cellStyle name="Normal 5 3 3" xfId="1085" xr:uid="{00000000-0005-0000-0000-0000AD030000}"/>
    <cellStyle name="Normal 5 4" xfId="514" xr:uid="{00000000-0005-0000-0000-0000AE030000}"/>
    <cellStyle name="Normal 5 4 2" xfId="1086" xr:uid="{00000000-0005-0000-0000-0000AF030000}"/>
    <cellStyle name="Normal 5 5" xfId="1087" xr:uid="{00000000-0005-0000-0000-0000B0030000}"/>
    <cellStyle name="Normal 5_2112 DF Schedule" xfId="213" xr:uid="{00000000-0005-0000-0000-0000B1030000}"/>
    <cellStyle name="Normal 50" xfId="214" xr:uid="{00000000-0005-0000-0000-0000B2030000}"/>
    <cellStyle name="Normal 50 2" xfId="1088" xr:uid="{00000000-0005-0000-0000-0000B3030000}"/>
    <cellStyle name="Normal 50 3" xfId="1089" xr:uid="{00000000-0005-0000-0000-0000B4030000}"/>
    <cellStyle name="Normal 51" xfId="215" xr:uid="{00000000-0005-0000-0000-0000B5030000}"/>
    <cellStyle name="Normal 51 2" xfId="1090" xr:uid="{00000000-0005-0000-0000-0000B6030000}"/>
    <cellStyle name="Normal 51 3" xfId="1091" xr:uid="{00000000-0005-0000-0000-0000B7030000}"/>
    <cellStyle name="Normal 52" xfId="216" xr:uid="{00000000-0005-0000-0000-0000B8030000}"/>
    <cellStyle name="Normal 52 2" xfId="1092" xr:uid="{00000000-0005-0000-0000-0000B9030000}"/>
    <cellStyle name="Normal 52 3" xfId="1093" xr:uid="{00000000-0005-0000-0000-0000BA030000}"/>
    <cellStyle name="Normal 53" xfId="217" xr:uid="{00000000-0005-0000-0000-0000BB030000}"/>
    <cellStyle name="Normal 53 2" xfId="1094" xr:uid="{00000000-0005-0000-0000-0000BC030000}"/>
    <cellStyle name="Normal 53 3" xfId="1095" xr:uid="{00000000-0005-0000-0000-0000BD030000}"/>
    <cellStyle name="Normal 54" xfId="218" xr:uid="{00000000-0005-0000-0000-0000BE030000}"/>
    <cellStyle name="Normal 54 2" xfId="1096" xr:uid="{00000000-0005-0000-0000-0000BF030000}"/>
    <cellStyle name="Normal 54 3" xfId="1097" xr:uid="{00000000-0005-0000-0000-0000C0030000}"/>
    <cellStyle name="Normal 55" xfId="219" xr:uid="{00000000-0005-0000-0000-0000C1030000}"/>
    <cellStyle name="Normal 55 2" xfId="1098" xr:uid="{00000000-0005-0000-0000-0000C2030000}"/>
    <cellStyle name="Normal 55 3" xfId="1099" xr:uid="{00000000-0005-0000-0000-0000C3030000}"/>
    <cellStyle name="Normal 56" xfId="220" xr:uid="{00000000-0005-0000-0000-0000C4030000}"/>
    <cellStyle name="Normal 56 2" xfId="1100" xr:uid="{00000000-0005-0000-0000-0000C5030000}"/>
    <cellStyle name="Normal 56 3" xfId="1101" xr:uid="{00000000-0005-0000-0000-0000C6030000}"/>
    <cellStyle name="Normal 57" xfId="221" xr:uid="{00000000-0005-0000-0000-0000C7030000}"/>
    <cellStyle name="Normal 57 2" xfId="1102" xr:uid="{00000000-0005-0000-0000-0000C8030000}"/>
    <cellStyle name="Normal 57 3" xfId="1103" xr:uid="{00000000-0005-0000-0000-0000C9030000}"/>
    <cellStyle name="Normal 58" xfId="222" xr:uid="{00000000-0005-0000-0000-0000CA030000}"/>
    <cellStyle name="Normal 58 2" xfId="1104" xr:uid="{00000000-0005-0000-0000-0000CB030000}"/>
    <cellStyle name="Normal 58 3" xfId="1105" xr:uid="{00000000-0005-0000-0000-0000CC030000}"/>
    <cellStyle name="Normal 59" xfId="223" xr:uid="{00000000-0005-0000-0000-0000CD030000}"/>
    <cellStyle name="Normal 59 2" xfId="1106" xr:uid="{00000000-0005-0000-0000-0000CE030000}"/>
    <cellStyle name="Normal 59 3" xfId="1107" xr:uid="{00000000-0005-0000-0000-0000CF030000}"/>
    <cellStyle name="Normal 6" xfId="224" xr:uid="{00000000-0005-0000-0000-0000D0030000}"/>
    <cellStyle name="Normal 6 2" xfId="313" xr:uid="{00000000-0005-0000-0000-0000D1030000}"/>
    <cellStyle name="Normal 6 2 2" xfId="515" xr:uid="{00000000-0005-0000-0000-0000D2030000}"/>
    <cellStyle name="Normal 6 2 2 2" xfId="1108" xr:uid="{00000000-0005-0000-0000-0000D3030000}"/>
    <cellStyle name="Normal 6 2 2 2 2" xfId="1109" xr:uid="{00000000-0005-0000-0000-0000D4030000}"/>
    <cellStyle name="Normal 6 2 2 3" xfId="1110" xr:uid="{00000000-0005-0000-0000-0000D5030000}"/>
    <cellStyle name="Normal 6 2 3" xfId="1111" xr:uid="{00000000-0005-0000-0000-0000D6030000}"/>
    <cellStyle name="Normal 6 2 3 2" xfId="1112" xr:uid="{00000000-0005-0000-0000-0000D7030000}"/>
    <cellStyle name="Normal 6 2 4" xfId="1113" xr:uid="{00000000-0005-0000-0000-0000D8030000}"/>
    <cellStyle name="Normal 6 3" xfId="516" xr:uid="{00000000-0005-0000-0000-0000D9030000}"/>
    <cellStyle name="Normal 6 3 2" xfId="1114" xr:uid="{00000000-0005-0000-0000-0000DA030000}"/>
    <cellStyle name="Normal 6 3 2 2" xfId="1115" xr:uid="{00000000-0005-0000-0000-0000DB030000}"/>
    <cellStyle name="Normal 6 3 3" xfId="1116" xr:uid="{00000000-0005-0000-0000-0000DC030000}"/>
    <cellStyle name="Normal 6 4" xfId="1117" xr:uid="{00000000-0005-0000-0000-0000DD030000}"/>
    <cellStyle name="Normal 6 4 2" xfId="1118" xr:uid="{00000000-0005-0000-0000-0000DE030000}"/>
    <cellStyle name="Normal 6 5" xfId="1119" xr:uid="{00000000-0005-0000-0000-0000DF030000}"/>
    <cellStyle name="Normal 60" xfId="225" xr:uid="{00000000-0005-0000-0000-0000E0030000}"/>
    <cellStyle name="Normal 60 2" xfId="1120" xr:uid="{00000000-0005-0000-0000-0000E1030000}"/>
    <cellStyle name="Normal 60 3" xfId="1121" xr:uid="{00000000-0005-0000-0000-0000E2030000}"/>
    <cellStyle name="Normal 61" xfId="226" xr:uid="{00000000-0005-0000-0000-0000E3030000}"/>
    <cellStyle name="Normal 61 2" xfId="1122" xr:uid="{00000000-0005-0000-0000-0000E4030000}"/>
    <cellStyle name="Normal 61 3" xfId="1123" xr:uid="{00000000-0005-0000-0000-0000E5030000}"/>
    <cellStyle name="Normal 62" xfId="227" xr:uid="{00000000-0005-0000-0000-0000E6030000}"/>
    <cellStyle name="Normal 62 2" xfId="1124" xr:uid="{00000000-0005-0000-0000-0000E7030000}"/>
    <cellStyle name="Normal 62 3" xfId="1125" xr:uid="{00000000-0005-0000-0000-0000E8030000}"/>
    <cellStyle name="Normal 63" xfId="228" xr:uid="{00000000-0005-0000-0000-0000E9030000}"/>
    <cellStyle name="Normal 63 2" xfId="1126" xr:uid="{00000000-0005-0000-0000-0000EA030000}"/>
    <cellStyle name="Normal 63 3" xfId="1127" xr:uid="{00000000-0005-0000-0000-0000EB030000}"/>
    <cellStyle name="Normal 64" xfId="229" xr:uid="{00000000-0005-0000-0000-0000EC030000}"/>
    <cellStyle name="Normal 64 2" xfId="1128" xr:uid="{00000000-0005-0000-0000-0000ED030000}"/>
    <cellStyle name="Normal 64 3" xfId="1129" xr:uid="{00000000-0005-0000-0000-0000EE030000}"/>
    <cellStyle name="Normal 65" xfId="230" xr:uid="{00000000-0005-0000-0000-0000EF030000}"/>
    <cellStyle name="Normal 65 2" xfId="1130" xr:uid="{00000000-0005-0000-0000-0000F0030000}"/>
    <cellStyle name="Normal 65 3" xfId="1131" xr:uid="{00000000-0005-0000-0000-0000F1030000}"/>
    <cellStyle name="Normal 66" xfId="231" xr:uid="{00000000-0005-0000-0000-0000F2030000}"/>
    <cellStyle name="Normal 66 2" xfId="1132" xr:uid="{00000000-0005-0000-0000-0000F3030000}"/>
    <cellStyle name="Normal 66 3" xfId="1133" xr:uid="{00000000-0005-0000-0000-0000F4030000}"/>
    <cellStyle name="Normal 67" xfId="232" xr:uid="{00000000-0005-0000-0000-0000F5030000}"/>
    <cellStyle name="Normal 67 2" xfId="1134" xr:uid="{00000000-0005-0000-0000-0000F6030000}"/>
    <cellStyle name="Normal 67 3" xfId="1135" xr:uid="{00000000-0005-0000-0000-0000F7030000}"/>
    <cellStyle name="Normal 68" xfId="233" xr:uid="{00000000-0005-0000-0000-0000F8030000}"/>
    <cellStyle name="Normal 68 2" xfId="1136" xr:uid="{00000000-0005-0000-0000-0000F9030000}"/>
    <cellStyle name="Normal 68 3" xfId="1137" xr:uid="{00000000-0005-0000-0000-0000FA030000}"/>
    <cellStyle name="Normal 69" xfId="234" xr:uid="{00000000-0005-0000-0000-0000FB030000}"/>
    <cellStyle name="Normal 69 2" xfId="1138" xr:uid="{00000000-0005-0000-0000-0000FC030000}"/>
    <cellStyle name="Normal 69 3" xfId="1139" xr:uid="{00000000-0005-0000-0000-0000FD030000}"/>
    <cellStyle name="Normal 7" xfId="235" xr:uid="{00000000-0005-0000-0000-0000FE030000}"/>
    <cellStyle name="Normal 7 2" xfId="236" xr:uid="{00000000-0005-0000-0000-0000FF030000}"/>
    <cellStyle name="Normal 7 2 2" xfId="517" xr:uid="{00000000-0005-0000-0000-000000040000}"/>
    <cellStyle name="Normal 7 2 2 2" xfId="1140" xr:uid="{00000000-0005-0000-0000-000001040000}"/>
    <cellStyle name="Normal 7 2 2 2 2" xfId="1141" xr:uid="{00000000-0005-0000-0000-000002040000}"/>
    <cellStyle name="Normal 7 2 2 2 2 2" xfId="1142" xr:uid="{00000000-0005-0000-0000-000003040000}"/>
    <cellStyle name="Normal 7 2 2 2 3" xfId="1143" xr:uid="{00000000-0005-0000-0000-000004040000}"/>
    <cellStyle name="Normal 7 2 2 3" xfId="1144" xr:uid="{00000000-0005-0000-0000-000005040000}"/>
    <cellStyle name="Normal 7 2 2 3 2" xfId="1145" xr:uid="{00000000-0005-0000-0000-000006040000}"/>
    <cellStyle name="Normal 7 2 2 4" xfId="1146" xr:uid="{00000000-0005-0000-0000-000007040000}"/>
    <cellStyle name="Normal 7 2 3" xfId="1147" xr:uid="{00000000-0005-0000-0000-000008040000}"/>
    <cellStyle name="Normal 7 2 3 2" xfId="1148" xr:uid="{00000000-0005-0000-0000-000009040000}"/>
    <cellStyle name="Normal 7 2 3 2 2" xfId="1149" xr:uid="{00000000-0005-0000-0000-00000A040000}"/>
    <cellStyle name="Normal 7 2 3 3" xfId="1150" xr:uid="{00000000-0005-0000-0000-00000B040000}"/>
    <cellStyle name="Normal 7 2 4" xfId="1151" xr:uid="{00000000-0005-0000-0000-00000C040000}"/>
    <cellStyle name="Normal 7 2 4 2" xfId="1152" xr:uid="{00000000-0005-0000-0000-00000D040000}"/>
    <cellStyle name="Normal 7 2 5" xfId="1153" xr:uid="{00000000-0005-0000-0000-00000E040000}"/>
    <cellStyle name="Normal 7 3" xfId="1154" xr:uid="{00000000-0005-0000-0000-00000F040000}"/>
    <cellStyle name="Normal 7 3 2" xfId="1155" xr:uid="{00000000-0005-0000-0000-000010040000}"/>
    <cellStyle name="Normal 7 3 2 2" xfId="1156" xr:uid="{00000000-0005-0000-0000-000011040000}"/>
    <cellStyle name="Normal 7 3 2 2 2" xfId="1157" xr:uid="{00000000-0005-0000-0000-000012040000}"/>
    <cellStyle name="Normal 7 3 2 3" xfId="1158" xr:uid="{00000000-0005-0000-0000-000013040000}"/>
    <cellStyle name="Normal 7 3 3" xfId="1159" xr:uid="{00000000-0005-0000-0000-000014040000}"/>
    <cellStyle name="Normal 7 3 3 2" xfId="1160" xr:uid="{00000000-0005-0000-0000-000015040000}"/>
    <cellStyle name="Normal 7 3 4" xfId="1161" xr:uid="{00000000-0005-0000-0000-000016040000}"/>
    <cellStyle name="Normal 7 4" xfId="1162" xr:uid="{00000000-0005-0000-0000-000017040000}"/>
    <cellStyle name="Normal 7 4 2" xfId="1163" xr:uid="{00000000-0005-0000-0000-000018040000}"/>
    <cellStyle name="Normal 7 4 2 2" xfId="1164" xr:uid="{00000000-0005-0000-0000-000019040000}"/>
    <cellStyle name="Normal 7 4 3" xfId="1165" xr:uid="{00000000-0005-0000-0000-00001A040000}"/>
    <cellStyle name="Normal 7 5" xfId="1166" xr:uid="{00000000-0005-0000-0000-00001B040000}"/>
    <cellStyle name="Normal 7 5 2" xfId="1167" xr:uid="{00000000-0005-0000-0000-00001C040000}"/>
    <cellStyle name="Normal 7 6" xfId="1168" xr:uid="{00000000-0005-0000-0000-00001D040000}"/>
    <cellStyle name="Normal 70" xfId="237" xr:uid="{00000000-0005-0000-0000-00001E040000}"/>
    <cellStyle name="Normal 70 2" xfId="1169" xr:uid="{00000000-0005-0000-0000-00001F040000}"/>
    <cellStyle name="Normal 70 3" xfId="1170" xr:uid="{00000000-0005-0000-0000-000020040000}"/>
    <cellStyle name="Normal 71" xfId="238" xr:uid="{00000000-0005-0000-0000-000021040000}"/>
    <cellStyle name="Normal 72" xfId="239" xr:uid="{00000000-0005-0000-0000-000022040000}"/>
    <cellStyle name="Normal 73" xfId="240" xr:uid="{00000000-0005-0000-0000-000023040000}"/>
    <cellStyle name="Normal 74" xfId="241" xr:uid="{00000000-0005-0000-0000-000024040000}"/>
    <cellStyle name="Normal 75" xfId="242" xr:uid="{00000000-0005-0000-0000-000025040000}"/>
    <cellStyle name="Normal 76" xfId="243" xr:uid="{00000000-0005-0000-0000-000026040000}"/>
    <cellStyle name="Normal 77" xfId="244" xr:uid="{00000000-0005-0000-0000-000027040000}"/>
    <cellStyle name="Normal 78" xfId="245" xr:uid="{00000000-0005-0000-0000-000028040000}"/>
    <cellStyle name="Normal 79" xfId="246" xr:uid="{00000000-0005-0000-0000-000029040000}"/>
    <cellStyle name="Normal 8" xfId="247" xr:uid="{00000000-0005-0000-0000-00002A040000}"/>
    <cellStyle name="Normal 8 2" xfId="518" xr:uid="{00000000-0005-0000-0000-00002B040000}"/>
    <cellStyle name="Normal 8 2 2" xfId="519" xr:uid="{00000000-0005-0000-0000-00002C040000}"/>
    <cellStyle name="Normal 8 2 2 2" xfId="1171" xr:uid="{00000000-0005-0000-0000-00002D040000}"/>
    <cellStyle name="Normal 8 2 2 2 2" xfId="1172" xr:uid="{00000000-0005-0000-0000-00002E040000}"/>
    <cellStyle name="Normal 8 2 2 3" xfId="1173" xr:uid="{00000000-0005-0000-0000-00002F040000}"/>
    <cellStyle name="Normal 8 2 3" xfId="1174" xr:uid="{00000000-0005-0000-0000-000030040000}"/>
    <cellStyle name="Normal 8 2 3 2" xfId="1175" xr:uid="{00000000-0005-0000-0000-000031040000}"/>
    <cellStyle name="Normal 8 2 4" xfId="1176" xr:uid="{00000000-0005-0000-0000-000032040000}"/>
    <cellStyle name="Normal 8 3" xfId="1177" xr:uid="{00000000-0005-0000-0000-000033040000}"/>
    <cellStyle name="Normal 8 3 2" xfId="1178" xr:uid="{00000000-0005-0000-0000-000034040000}"/>
    <cellStyle name="Normal 8 3 2 2" xfId="1179" xr:uid="{00000000-0005-0000-0000-000035040000}"/>
    <cellStyle name="Normal 8 3 3" xfId="1180" xr:uid="{00000000-0005-0000-0000-000036040000}"/>
    <cellStyle name="Normal 8 4" xfId="1181" xr:uid="{00000000-0005-0000-0000-000037040000}"/>
    <cellStyle name="Normal 8 4 2" xfId="1182" xr:uid="{00000000-0005-0000-0000-000038040000}"/>
    <cellStyle name="Normal 8 5" xfId="1183" xr:uid="{00000000-0005-0000-0000-000039040000}"/>
    <cellStyle name="Normal 80" xfId="248" xr:uid="{00000000-0005-0000-0000-00003A040000}"/>
    <cellStyle name="Normal 81" xfId="249" xr:uid="{00000000-0005-0000-0000-00003B040000}"/>
    <cellStyle name="Normal 82" xfId="250" xr:uid="{00000000-0005-0000-0000-00003C040000}"/>
    <cellStyle name="Normal 83" xfId="251" xr:uid="{00000000-0005-0000-0000-00003D040000}"/>
    <cellStyle name="Normal 84" xfId="252" xr:uid="{00000000-0005-0000-0000-00003E040000}"/>
    <cellStyle name="Normal 84 2" xfId="314" xr:uid="{00000000-0005-0000-0000-00003F040000}"/>
    <cellStyle name="Normal 84 3" xfId="520" xr:uid="{00000000-0005-0000-0000-000040040000}"/>
    <cellStyle name="Normal 85" xfId="253" xr:uid="{00000000-0005-0000-0000-000041040000}"/>
    <cellStyle name="Normal 85 2" xfId="521" xr:uid="{00000000-0005-0000-0000-000042040000}"/>
    <cellStyle name="Normal 85 2 2" xfId="1184" xr:uid="{00000000-0005-0000-0000-000043040000}"/>
    <cellStyle name="Normal 85 3" xfId="522" xr:uid="{00000000-0005-0000-0000-000044040000}"/>
    <cellStyle name="Normal 86" xfId="315" xr:uid="{00000000-0005-0000-0000-000045040000}"/>
    <cellStyle name="Normal 86 2" xfId="1185" xr:uid="{00000000-0005-0000-0000-000046040000}"/>
    <cellStyle name="Normal 86 3" xfId="1186" xr:uid="{00000000-0005-0000-0000-000047040000}"/>
    <cellStyle name="Normal 87" xfId="316" xr:uid="{00000000-0005-0000-0000-000048040000}"/>
    <cellStyle name="Normal 87 2" xfId="1187" xr:uid="{00000000-0005-0000-0000-000049040000}"/>
    <cellStyle name="Normal 88" xfId="317" xr:uid="{00000000-0005-0000-0000-00004A040000}"/>
    <cellStyle name="Normal 88 2" xfId="1188" xr:uid="{00000000-0005-0000-0000-00004B040000}"/>
    <cellStyle name="Normal 89" xfId="318" xr:uid="{00000000-0005-0000-0000-00004C040000}"/>
    <cellStyle name="Normal 9" xfId="254" xr:uid="{00000000-0005-0000-0000-00004D040000}"/>
    <cellStyle name="Normal 9 2" xfId="523" xr:uid="{00000000-0005-0000-0000-00004E040000}"/>
    <cellStyle name="Normal 9 2 2" xfId="524" xr:uid="{00000000-0005-0000-0000-00004F040000}"/>
    <cellStyle name="Normal 9 2 2 2" xfId="1189" xr:uid="{00000000-0005-0000-0000-000050040000}"/>
    <cellStyle name="Normal 9 2 2 2 2" xfId="1190" xr:uid="{00000000-0005-0000-0000-000051040000}"/>
    <cellStyle name="Normal 9 2 2 3" xfId="1191" xr:uid="{00000000-0005-0000-0000-000052040000}"/>
    <cellStyle name="Normal 9 2 3" xfId="1192" xr:uid="{00000000-0005-0000-0000-000053040000}"/>
    <cellStyle name="Normal 9 2 3 2" xfId="1193" xr:uid="{00000000-0005-0000-0000-000054040000}"/>
    <cellStyle name="Normal 9 2 4" xfId="1194" xr:uid="{00000000-0005-0000-0000-000055040000}"/>
    <cellStyle name="Normal 9 3" xfId="1195" xr:uid="{00000000-0005-0000-0000-000056040000}"/>
    <cellStyle name="Normal 9 3 2" xfId="1196" xr:uid="{00000000-0005-0000-0000-000057040000}"/>
    <cellStyle name="Normal 9 3 2 2" xfId="1197" xr:uid="{00000000-0005-0000-0000-000058040000}"/>
    <cellStyle name="Normal 9 3 3" xfId="1198" xr:uid="{00000000-0005-0000-0000-000059040000}"/>
    <cellStyle name="Normal 9 4" xfId="1199" xr:uid="{00000000-0005-0000-0000-00005A040000}"/>
    <cellStyle name="Normal 9 4 2" xfId="1200" xr:uid="{00000000-0005-0000-0000-00005B040000}"/>
    <cellStyle name="Normal 9 5" xfId="1201" xr:uid="{00000000-0005-0000-0000-00005C040000}"/>
    <cellStyle name="Normal 90" xfId="319" xr:uid="{00000000-0005-0000-0000-00005D040000}"/>
    <cellStyle name="Normal 91" xfId="320" xr:uid="{00000000-0005-0000-0000-00005E040000}"/>
    <cellStyle name="Normal 92" xfId="525" xr:uid="{00000000-0005-0000-0000-00005F040000}"/>
    <cellStyle name="Normal 92 2" xfId="1202" xr:uid="{00000000-0005-0000-0000-000060040000}"/>
    <cellStyle name="Normal 93" xfId="526" xr:uid="{00000000-0005-0000-0000-000061040000}"/>
    <cellStyle name="Normal 93 2" xfId="1203" xr:uid="{00000000-0005-0000-0000-000062040000}"/>
    <cellStyle name="Normal 94" xfId="527" xr:uid="{00000000-0005-0000-0000-000063040000}"/>
    <cellStyle name="Normal 94 2" xfId="1204" xr:uid="{00000000-0005-0000-0000-000064040000}"/>
    <cellStyle name="Normal 95" xfId="528" xr:uid="{00000000-0005-0000-0000-000065040000}"/>
    <cellStyle name="Normal 95 2" xfId="1205" xr:uid="{00000000-0005-0000-0000-000066040000}"/>
    <cellStyle name="Normal 96" xfId="529" xr:uid="{00000000-0005-0000-0000-000067040000}"/>
    <cellStyle name="Normal 96 2" xfId="1206" xr:uid="{00000000-0005-0000-0000-000068040000}"/>
    <cellStyle name="Normal 97" xfId="530" xr:uid="{00000000-0005-0000-0000-000069040000}"/>
    <cellStyle name="Normal 97 2" xfId="1207" xr:uid="{00000000-0005-0000-0000-00006A040000}"/>
    <cellStyle name="Normal 98" xfId="531" xr:uid="{00000000-0005-0000-0000-00006B040000}"/>
    <cellStyle name="Normal 98 2" xfId="1208" xr:uid="{00000000-0005-0000-0000-00006C040000}"/>
    <cellStyle name="Normal 99" xfId="532" xr:uid="{00000000-0005-0000-0000-00006D040000}"/>
    <cellStyle name="Normal 99 2" xfId="1209" xr:uid="{00000000-0005-0000-0000-00006E040000}"/>
    <cellStyle name="Normal_Regulated Price Out 9-6-2011 Final HL" xfId="3" xr:uid="{00000000-0005-0000-0000-00006F040000}"/>
    <cellStyle name="Note 2" xfId="255" xr:uid="{00000000-0005-0000-0000-000070040000}"/>
    <cellStyle name="Note 2 2" xfId="533" xr:uid="{00000000-0005-0000-0000-000071040000}"/>
    <cellStyle name="Note 2 3" xfId="534" xr:uid="{00000000-0005-0000-0000-000072040000}"/>
    <cellStyle name="Note 2 4" xfId="1210" xr:uid="{00000000-0005-0000-0000-000073040000}"/>
    <cellStyle name="Note 3" xfId="256" xr:uid="{00000000-0005-0000-0000-000074040000}"/>
    <cellStyle name="Note 3 2" xfId="535" xr:uid="{00000000-0005-0000-0000-000075040000}"/>
    <cellStyle name="Note 3 3" xfId="536" xr:uid="{00000000-0005-0000-0000-000076040000}"/>
    <cellStyle name="Note 3 4" xfId="1211" xr:uid="{00000000-0005-0000-0000-000077040000}"/>
    <cellStyle name="Note 4" xfId="257" xr:uid="{00000000-0005-0000-0000-000078040000}"/>
    <cellStyle name="Note 4 2" xfId="1212" xr:uid="{00000000-0005-0000-0000-000079040000}"/>
    <cellStyle name="Note 5" xfId="1213" xr:uid="{00000000-0005-0000-0000-00007A040000}"/>
    <cellStyle name="Notes" xfId="258" xr:uid="{00000000-0005-0000-0000-00007B040000}"/>
    <cellStyle name="Output 2" xfId="259" xr:uid="{00000000-0005-0000-0000-00007C040000}"/>
    <cellStyle name="Output 2 2" xfId="1214" xr:uid="{00000000-0005-0000-0000-00007D040000}"/>
    <cellStyle name="Output 2 2 2" xfId="1215" xr:uid="{00000000-0005-0000-0000-00007E040000}"/>
    <cellStyle name="Output 2 3" xfId="1216" xr:uid="{00000000-0005-0000-0000-00007F040000}"/>
    <cellStyle name="Output 3" xfId="260" xr:uid="{00000000-0005-0000-0000-000080040000}"/>
    <cellStyle name="Output 3 2" xfId="537" xr:uid="{00000000-0005-0000-0000-000081040000}"/>
    <cellStyle name="Output 4" xfId="1217" xr:uid="{00000000-0005-0000-0000-000082040000}"/>
    <cellStyle name="Percent" xfId="2" builtinId="5"/>
    <cellStyle name="Percent 10" xfId="538" xr:uid="{00000000-0005-0000-0000-000084040000}"/>
    <cellStyle name="Percent 10 2" xfId="1218" xr:uid="{00000000-0005-0000-0000-000085040000}"/>
    <cellStyle name="Percent 10 3" xfId="1219" xr:uid="{00000000-0005-0000-0000-000086040000}"/>
    <cellStyle name="Percent 2" xfId="261" xr:uid="{00000000-0005-0000-0000-000087040000}"/>
    <cellStyle name="Percent 2 2" xfId="262" xr:uid="{00000000-0005-0000-0000-000088040000}"/>
    <cellStyle name="Percent 2 2 2" xfId="321" xr:uid="{00000000-0005-0000-0000-000089040000}"/>
    <cellStyle name="Percent 2 2 3" xfId="539" xr:uid="{00000000-0005-0000-0000-00008A040000}"/>
    <cellStyle name="Percent 2 3" xfId="263" xr:uid="{00000000-0005-0000-0000-00008B040000}"/>
    <cellStyle name="Percent 2 4" xfId="540" xr:uid="{00000000-0005-0000-0000-00008C040000}"/>
    <cellStyle name="Percent 2 6" xfId="322" xr:uid="{00000000-0005-0000-0000-00008D040000}"/>
    <cellStyle name="Percent 3" xfId="264" xr:uid="{00000000-0005-0000-0000-00008E040000}"/>
    <cellStyle name="Percent 3 2" xfId="323" xr:uid="{00000000-0005-0000-0000-00008F040000}"/>
    <cellStyle name="Percent 3 2 2" xfId="541" xr:uid="{00000000-0005-0000-0000-000090040000}"/>
    <cellStyle name="Percent 3 2 2 2" xfId="1220" xr:uid="{00000000-0005-0000-0000-000091040000}"/>
    <cellStyle name="Percent 3 2 2 2 2" xfId="1221" xr:uid="{00000000-0005-0000-0000-000092040000}"/>
    <cellStyle name="Percent 3 2 2 3" xfId="1222" xr:uid="{00000000-0005-0000-0000-000093040000}"/>
    <cellStyle name="Percent 3 2 3" xfId="1223" xr:uid="{00000000-0005-0000-0000-000094040000}"/>
    <cellStyle name="Percent 3 2 3 2" xfId="1224" xr:uid="{00000000-0005-0000-0000-000095040000}"/>
    <cellStyle name="Percent 3 2 4" xfId="1225" xr:uid="{00000000-0005-0000-0000-000096040000}"/>
    <cellStyle name="Percent 3 3" xfId="1226" xr:uid="{00000000-0005-0000-0000-000097040000}"/>
    <cellStyle name="Percent 3 3 2" xfId="1227" xr:uid="{00000000-0005-0000-0000-000098040000}"/>
    <cellStyle name="Percent 3 3 2 2" xfId="1228" xr:uid="{00000000-0005-0000-0000-000099040000}"/>
    <cellStyle name="Percent 3 3 3" xfId="1229" xr:uid="{00000000-0005-0000-0000-00009A040000}"/>
    <cellStyle name="Percent 3 4" xfId="1230" xr:uid="{00000000-0005-0000-0000-00009B040000}"/>
    <cellStyle name="Percent 3 4 2" xfId="1231" xr:uid="{00000000-0005-0000-0000-00009C040000}"/>
    <cellStyle name="Percent 3 5" xfId="1232" xr:uid="{00000000-0005-0000-0000-00009D040000}"/>
    <cellStyle name="Percent 3 5 2" xfId="1233" xr:uid="{00000000-0005-0000-0000-00009E040000}"/>
    <cellStyle name="Percent 3 6" xfId="1234" xr:uid="{00000000-0005-0000-0000-00009F040000}"/>
    <cellStyle name="Percent 4" xfId="265" xr:uid="{00000000-0005-0000-0000-0000A0040000}"/>
    <cellStyle name="Percent 4 2" xfId="266" xr:uid="{00000000-0005-0000-0000-0000A1040000}"/>
    <cellStyle name="Percent 4 3" xfId="542" xr:uid="{00000000-0005-0000-0000-0000A2040000}"/>
    <cellStyle name="Percent 4 4" xfId="543" xr:uid="{00000000-0005-0000-0000-0000A3040000}"/>
    <cellStyle name="Percent 4 4 2" xfId="1235" xr:uid="{00000000-0005-0000-0000-0000A4040000}"/>
    <cellStyle name="Percent 4 4 2 2" xfId="1236" xr:uid="{00000000-0005-0000-0000-0000A5040000}"/>
    <cellStyle name="Percent 5" xfId="267" xr:uid="{00000000-0005-0000-0000-0000A6040000}"/>
    <cellStyle name="Percent 5 2" xfId="544" xr:uid="{00000000-0005-0000-0000-0000A7040000}"/>
    <cellStyle name="Percent 5 2 2" xfId="1237" xr:uid="{00000000-0005-0000-0000-0000A8040000}"/>
    <cellStyle name="Percent 5 2 2 2" xfId="1238" xr:uid="{00000000-0005-0000-0000-0000A9040000}"/>
    <cellStyle name="Percent 5 2 3" xfId="1239" xr:uid="{00000000-0005-0000-0000-0000AA040000}"/>
    <cellStyle name="Percent 5 3" xfId="1240" xr:uid="{00000000-0005-0000-0000-0000AB040000}"/>
    <cellStyle name="Percent 5 3 2" xfId="1241" xr:uid="{00000000-0005-0000-0000-0000AC040000}"/>
    <cellStyle name="Percent 5 4" xfId="1242" xr:uid="{00000000-0005-0000-0000-0000AD040000}"/>
    <cellStyle name="Percent 5 4 2" xfId="1243" xr:uid="{00000000-0005-0000-0000-0000AE040000}"/>
    <cellStyle name="Percent 6" xfId="268" xr:uid="{00000000-0005-0000-0000-0000AF040000}"/>
    <cellStyle name="Percent 6 2" xfId="545" xr:uid="{00000000-0005-0000-0000-0000B0040000}"/>
    <cellStyle name="Percent 6 2 2" xfId="1244" xr:uid="{00000000-0005-0000-0000-0000B1040000}"/>
    <cellStyle name="Percent 6 3" xfId="1245" xr:uid="{00000000-0005-0000-0000-0000B2040000}"/>
    <cellStyle name="Percent 7" xfId="269" xr:uid="{00000000-0005-0000-0000-0000B3040000}"/>
    <cellStyle name="Percent 7 2" xfId="324" xr:uid="{00000000-0005-0000-0000-0000B4040000}"/>
    <cellStyle name="Percent 7 2 2" xfId="1246" xr:uid="{00000000-0005-0000-0000-0000B5040000}"/>
    <cellStyle name="Percent 7 3" xfId="546" xr:uid="{00000000-0005-0000-0000-0000B6040000}"/>
    <cellStyle name="Percent 7 4" xfId="1247" xr:uid="{00000000-0005-0000-0000-0000B7040000}"/>
    <cellStyle name="Percent 8" xfId="270" xr:uid="{00000000-0005-0000-0000-0000B8040000}"/>
    <cellStyle name="Percent 8 2" xfId="1248" xr:uid="{00000000-0005-0000-0000-0000B9040000}"/>
    <cellStyle name="Percent 9" xfId="547" xr:uid="{00000000-0005-0000-0000-0000BA040000}"/>
    <cellStyle name="Percent 9 2" xfId="1249" xr:uid="{00000000-0005-0000-0000-0000BB040000}"/>
    <cellStyle name="Percent 9 3" xfId="1250" xr:uid="{00000000-0005-0000-0000-0000BC040000}"/>
    <cellStyle name="Percent(1)" xfId="271" xr:uid="{00000000-0005-0000-0000-0000BD040000}"/>
    <cellStyle name="Percent(2)" xfId="272" xr:uid="{00000000-0005-0000-0000-0000BE040000}"/>
    <cellStyle name="Posting_Period" xfId="1251" xr:uid="{00000000-0005-0000-0000-0000BF040000}"/>
    <cellStyle name="PRM" xfId="273" xr:uid="{00000000-0005-0000-0000-0000C0040000}"/>
    <cellStyle name="PRM 2" xfId="274" xr:uid="{00000000-0005-0000-0000-0000C1040000}"/>
    <cellStyle name="PRM 3" xfId="275" xr:uid="{00000000-0005-0000-0000-0000C2040000}"/>
    <cellStyle name="PRM_2011-11" xfId="276" xr:uid="{00000000-0005-0000-0000-0000C3040000}"/>
    <cellStyle name="PS_Comma" xfId="325" xr:uid="{00000000-0005-0000-0000-0000C4040000}"/>
    <cellStyle name="PSChar" xfId="277" xr:uid="{00000000-0005-0000-0000-0000C5040000}"/>
    <cellStyle name="PSDate" xfId="326" xr:uid="{00000000-0005-0000-0000-0000C6040000}"/>
    <cellStyle name="PSDec" xfId="327" xr:uid="{00000000-0005-0000-0000-0000C7040000}"/>
    <cellStyle name="PSHeading" xfId="278" xr:uid="{00000000-0005-0000-0000-0000C8040000}"/>
    <cellStyle name="PSInt" xfId="328" xr:uid="{00000000-0005-0000-0000-0000C9040000}"/>
    <cellStyle name="PSSpacer" xfId="329" xr:uid="{00000000-0005-0000-0000-0000CA040000}"/>
    <cellStyle name="STYL0 - Style1" xfId="279" xr:uid="{00000000-0005-0000-0000-0000CB040000}"/>
    <cellStyle name="STYL1 - Style2" xfId="280" xr:uid="{00000000-0005-0000-0000-0000CC040000}"/>
    <cellStyle name="STYL2 - Style3" xfId="281" xr:uid="{00000000-0005-0000-0000-0000CD040000}"/>
    <cellStyle name="STYL3 - Style4" xfId="282" xr:uid="{00000000-0005-0000-0000-0000CE040000}"/>
    <cellStyle name="STYL4 - Style5" xfId="283" xr:uid="{00000000-0005-0000-0000-0000CF040000}"/>
    <cellStyle name="STYL5 - Style6" xfId="284" xr:uid="{00000000-0005-0000-0000-0000D0040000}"/>
    <cellStyle name="STYL6 - Style7" xfId="285" xr:uid="{00000000-0005-0000-0000-0000D1040000}"/>
    <cellStyle name="STYL7 - Style8" xfId="286" xr:uid="{00000000-0005-0000-0000-0000D2040000}"/>
    <cellStyle name="Style 1" xfId="287" xr:uid="{00000000-0005-0000-0000-0000D3040000}"/>
    <cellStyle name="Style 1 2" xfId="288" xr:uid="{00000000-0005-0000-0000-0000D4040000}"/>
    <cellStyle name="STYLE1" xfId="289" xr:uid="{00000000-0005-0000-0000-0000D5040000}"/>
    <cellStyle name="STYLE1 2" xfId="1252" xr:uid="{00000000-0005-0000-0000-0000D6040000}"/>
    <cellStyle name="sub heading" xfId="290" xr:uid="{00000000-0005-0000-0000-0000D7040000}"/>
    <cellStyle name="Tax_Rate" xfId="1253" xr:uid="{00000000-0005-0000-0000-0000D8040000}"/>
    <cellStyle name="Title 2" xfId="291" xr:uid="{00000000-0005-0000-0000-0000D9040000}"/>
    <cellStyle name="Title 2 2" xfId="1254" xr:uid="{00000000-0005-0000-0000-0000DA040000}"/>
    <cellStyle name="Title 2 2 2" xfId="1255" xr:uid="{00000000-0005-0000-0000-0000DB040000}"/>
    <cellStyle name="Title 2 3" xfId="1256" xr:uid="{00000000-0005-0000-0000-0000DC040000}"/>
    <cellStyle name="Title 3" xfId="292" xr:uid="{00000000-0005-0000-0000-0000DD040000}"/>
    <cellStyle name="Title 3 2" xfId="548" xr:uid="{00000000-0005-0000-0000-0000DE040000}"/>
    <cellStyle name="Title 4" xfId="1257" xr:uid="{00000000-0005-0000-0000-0000DF040000}"/>
    <cellStyle name="Total 2" xfId="293" xr:uid="{00000000-0005-0000-0000-0000E0040000}"/>
    <cellStyle name="Total 2 2" xfId="549" xr:uid="{00000000-0005-0000-0000-0000E1040000}"/>
    <cellStyle name="Total 2 3" xfId="550" xr:uid="{00000000-0005-0000-0000-0000E2040000}"/>
    <cellStyle name="Total 2 4" xfId="1258" xr:uid="{00000000-0005-0000-0000-0000E3040000}"/>
    <cellStyle name="Total 3" xfId="294" xr:uid="{00000000-0005-0000-0000-0000E4040000}"/>
    <cellStyle name="Total 3 2" xfId="551" xr:uid="{00000000-0005-0000-0000-0000E5040000}"/>
    <cellStyle name="Total 3 3" xfId="552" xr:uid="{00000000-0005-0000-0000-0000E6040000}"/>
    <cellStyle name="Total 4" xfId="295" xr:uid="{00000000-0005-0000-0000-0000E7040000}"/>
    <cellStyle name="Total 4 2" xfId="1259" xr:uid="{00000000-0005-0000-0000-0000E8040000}"/>
    <cellStyle name="Transcript_Date" xfId="1260" xr:uid="{00000000-0005-0000-0000-0000E9040000}"/>
    <cellStyle name="Warning Text 2" xfId="296" xr:uid="{00000000-0005-0000-0000-0000EA040000}"/>
    <cellStyle name="Warning Text 3" xfId="330" xr:uid="{00000000-0005-0000-0000-0000EB040000}"/>
    <cellStyle name="Warning Text 4" xfId="1261" xr:uid="{00000000-0005-0000-0000-0000EC040000}"/>
    <cellStyle name="WM_STANDARD" xfId="331" xr:uid="{00000000-0005-0000-0000-0000E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hon/Rate%20Incr%201-1-2012/Vashon%20Pro%20For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"/>
  <sheetViews>
    <sheetView showGridLines="0" view="pageBreakPreview" topLeftCell="A19" zoomScaleNormal="85" zoomScaleSheetLayoutView="100" workbookViewId="0">
      <selection activeCell="D49" sqref="D49"/>
    </sheetView>
  </sheetViews>
  <sheetFormatPr defaultColWidth="9.140625" defaultRowHeight="15"/>
  <cols>
    <col min="1" max="1" width="36.28515625" bestFit="1" customWidth="1"/>
    <col min="2" max="2" width="19" bestFit="1" customWidth="1"/>
    <col min="3" max="3" width="16" bestFit="1" customWidth="1"/>
    <col min="4" max="4" width="13.140625" customWidth="1"/>
    <col min="5" max="5" width="7" bestFit="1" customWidth="1"/>
    <col min="6" max="6" width="11.42578125" bestFit="1" customWidth="1"/>
    <col min="7" max="7" width="11.28515625" bestFit="1" customWidth="1"/>
    <col min="8" max="8" width="8" bestFit="1" customWidth="1"/>
    <col min="9" max="9" width="15.85546875" bestFit="1" customWidth="1"/>
    <col min="10" max="10" width="12" bestFit="1" customWidth="1"/>
  </cols>
  <sheetData>
    <row r="1" spans="1:8">
      <c r="A1" s="5" t="s">
        <v>404</v>
      </c>
    </row>
    <row r="2" spans="1:8">
      <c r="A2" s="5" t="s">
        <v>440</v>
      </c>
    </row>
    <row r="4" spans="1:8">
      <c r="A4" s="218" t="s">
        <v>186</v>
      </c>
      <c r="B4" s="218"/>
      <c r="C4" s="218"/>
      <c r="D4" s="218"/>
      <c r="E4" s="218"/>
      <c r="F4" s="218"/>
      <c r="G4" s="218"/>
      <c r="H4" s="218"/>
    </row>
    <row r="5" spans="1:8">
      <c r="A5" t="s">
        <v>187</v>
      </c>
      <c r="B5" s="1" t="s">
        <v>188</v>
      </c>
      <c r="C5" s="1" t="s">
        <v>189</v>
      </c>
      <c r="D5" s="1" t="s">
        <v>190</v>
      </c>
      <c r="E5" s="1" t="s">
        <v>191</v>
      </c>
      <c r="F5" s="1" t="s">
        <v>192</v>
      </c>
      <c r="G5" s="1" t="s">
        <v>193</v>
      </c>
      <c r="H5" s="1" t="s">
        <v>194</v>
      </c>
    </row>
    <row r="6" spans="1:8">
      <c r="A6" t="s">
        <v>195</v>
      </c>
      <c r="B6" s="2">
        <f>52*5/12</f>
        <v>21.666666666666668</v>
      </c>
      <c r="C6" s="3">
        <f>$B$6*2</f>
        <v>43.333333333333336</v>
      </c>
      <c r="D6" s="3">
        <f>$B$6*3</f>
        <v>65</v>
      </c>
      <c r="E6" s="3">
        <f>$B$6*4</f>
        <v>86.666666666666671</v>
      </c>
      <c r="F6" s="3">
        <f>$B$6*5</f>
        <v>108.33333333333334</v>
      </c>
      <c r="G6" s="3">
        <f>$B$6*6</f>
        <v>130</v>
      </c>
      <c r="H6" s="3">
        <f>$B$6*7</f>
        <v>151.66666666666669</v>
      </c>
    </row>
    <row r="7" spans="1:8">
      <c r="A7" t="s">
        <v>196</v>
      </c>
      <c r="B7" s="2">
        <f>52*4/12</f>
        <v>17.333333333333332</v>
      </c>
      <c r="C7" s="3">
        <f>$B$7*2</f>
        <v>34.666666666666664</v>
      </c>
      <c r="D7" s="3">
        <f>$B$7*3</f>
        <v>52</v>
      </c>
      <c r="E7" s="3">
        <f>$B$7*4</f>
        <v>69.333333333333329</v>
      </c>
      <c r="F7" s="3">
        <f>$B$7*5</f>
        <v>86.666666666666657</v>
      </c>
      <c r="G7" s="3">
        <f>$B$7*6</f>
        <v>104</v>
      </c>
      <c r="H7" s="3">
        <f>$B$7*7</f>
        <v>121.33333333333333</v>
      </c>
    </row>
    <row r="8" spans="1:8">
      <c r="A8" t="s">
        <v>197</v>
      </c>
      <c r="B8" s="2">
        <f>52*3/12</f>
        <v>13</v>
      </c>
      <c r="C8" s="3">
        <f>$B$8*2</f>
        <v>26</v>
      </c>
      <c r="D8" s="3">
        <f>$B$8*3</f>
        <v>39</v>
      </c>
      <c r="E8" s="3">
        <f>$B$8*4</f>
        <v>52</v>
      </c>
      <c r="F8" s="3">
        <f>$B$8*5</f>
        <v>65</v>
      </c>
      <c r="G8" s="3">
        <f>$B$8*6</f>
        <v>78</v>
      </c>
      <c r="H8" s="3">
        <f>$B$8*7</f>
        <v>91</v>
      </c>
    </row>
    <row r="9" spans="1:8">
      <c r="A9" t="s">
        <v>198</v>
      </c>
      <c r="B9" s="2">
        <f>52*2/12</f>
        <v>8.6666666666666661</v>
      </c>
      <c r="C9" s="4">
        <f>$B$9*2</f>
        <v>17.333333333333332</v>
      </c>
      <c r="D9" s="4">
        <f>$B$9*3</f>
        <v>26</v>
      </c>
      <c r="E9" s="4">
        <f>$B$9*4</f>
        <v>34.666666666666664</v>
      </c>
      <c r="F9" s="4">
        <f>$B$9*5</f>
        <v>43.333333333333329</v>
      </c>
      <c r="G9" s="4">
        <f>$B$9*6</f>
        <v>52</v>
      </c>
      <c r="H9" s="4">
        <f>$B$9*7</f>
        <v>60.666666666666664</v>
      </c>
    </row>
    <row r="10" spans="1:8">
      <c r="A10" t="s">
        <v>199</v>
      </c>
      <c r="B10" s="2">
        <f>52/12</f>
        <v>4.333333333333333</v>
      </c>
      <c r="C10" s="4">
        <f>$B$10*2</f>
        <v>8.6666666666666661</v>
      </c>
      <c r="D10" s="4">
        <f>$B$10*3</f>
        <v>13</v>
      </c>
      <c r="E10" s="4">
        <f>$B$10*4</f>
        <v>17.333333333333332</v>
      </c>
      <c r="F10" s="4">
        <f>$B$10*5</f>
        <v>21.666666666666664</v>
      </c>
      <c r="G10" s="4">
        <f>$B$10*6</f>
        <v>26</v>
      </c>
      <c r="H10" s="4">
        <f>$B$10*7</f>
        <v>30.333333333333332</v>
      </c>
    </row>
    <row r="11" spans="1:8">
      <c r="A11" t="s">
        <v>200</v>
      </c>
      <c r="B11" s="2">
        <f>26/12</f>
        <v>2.1666666666666665</v>
      </c>
      <c r="C11" s="4">
        <f>$B$11*2</f>
        <v>4.333333333333333</v>
      </c>
      <c r="D11" s="4">
        <f>$B$11*3</f>
        <v>6.5</v>
      </c>
      <c r="E11" s="4">
        <f>$B$11*4</f>
        <v>8.6666666666666661</v>
      </c>
      <c r="F11" s="4">
        <f>$B$11*5</f>
        <v>10.833333333333332</v>
      </c>
      <c r="G11" s="4">
        <f>$B$11*6</f>
        <v>13</v>
      </c>
      <c r="H11" s="4">
        <f>$B$11*7</f>
        <v>15.166666666666666</v>
      </c>
    </row>
    <row r="12" spans="1:8">
      <c r="A12" t="s">
        <v>201</v>
      </c>
      <c r="B12" s="2">
        <f>12/12</f>
        <v>1</v>
      </c>
      <c r="C12" s="4">
        <f>$B$12*2</f>
        <v>2</v>
      </c>
      <c r="D12" s="4">
        <f>$B$12*3</f>
        <v>3</v>
      </c>
      <c r="E12" s="4">
        <f>$B$12*4</f>
        <v>4</v>
      </c>
      <c r="F12" s="4">
        <f>$B$12*5</f>
        <v>5</v>
      </c>
      <c r="G12" s="4">
        <f>$B$12*6</f>
        <v>6</v>
      </c>
      <c r="H12" s="4">
        <f>$B$12*7</f>
        <v>7</v>
      </c>
    </row>
    <row r="13" spans="1:8">
      <c r="B13" s="2"/>
      <c r="C13" s="4"/>
      <c r="D13" s="4"/>
      <c r="E13" s="4"/>
      <c r="F13" s="4"/>
      <c r="G13" s="4"/>
      <c r="H13" s="4"/>
    </row>
    <row r="14" spans="1:8">
      <c r="A14" s="218" t="s">
        <v>202</v>
      </c>
      <c r="B14" s="218"/>
      <c r="C14" s="4"/>
      <c r="D14" s="4"/>
      <c r="E14" s="4"/>
      <c r="F14" s="4"/>
      <c r="G14" s="4"/>
      <c r="H14" s="4"/>
    </row>
    <row r="15" spans="1:8">
      <c r="A15" s="5" t="s">
        <v>203</v>
      </c>
      <c r="B15" s="6" t="s">
        <v>204</v>
      </c>
      <c r="C15" s="4"/>
      <c r="D15" s="4"/>
      <c r="E15" s="4"/>
      <c r="F15" s="4"/>
      <c r="G15" s="4"/>
      <c r="H15" s="4"/>
    </row>
    <row r="16" spans="1:8">
      <c r="A16" s="7" t="s">
        <v>205</v>
      </c>
      <c r="B16" s="8">
        <v>20</v>
      </c>
      <c r="C16" s="4"/>
      <c r="D16" s="4"/>
      <c r="E16" s="4"/>
      <c r="F16" s="4"/>
      <c r="G16" s="4"/>
      <c r="H16" s="4"/>
    </row>
    <row r="17" spans="1:8">
      <c r="A17" s="7" t="s">
        <v>206</v>
      </c>
      <c r="B17" s="8">
        <v>34</v>
      </c>
      <c r="C17" s="4"/>
      <c r="D17" s="4"/>
      <c r="E17" s="4"/>
      <c r="F17" s="4"/>
      <c r="G17" s="4"/>
      <c r="H17" s="4"/>
    </row>
    <row r="18" spans="1:8">
      <c r="A18" s="7" t="s">
        <v>207</v>
      </c>
      <c r="B18" s="8">
        <v>51</v>
      </c>
      <c r="C18" s="4"/>
      <c r="D18" s="4"/>
      <c r="E18" s="4"/>
      <c r="F18" s="4"/>
      <c r="G18" s="4"/>
      <c r="H18" s="4"/>
    </row>
    <row r="19" spans="1:8">
      <c r="A19" s="7" t="s">
        <v>208</v>
      </c>
      <c r="B19" s="8">
        <v>77</v>
      </c>
      <c r="C19" s="4"/>
      <c r="D19" s="4"/>
      <c r="E19" s="4"/>
      <c r="F19" t="s">
        <v>209</v>
      </c>
      <c r="G19" s="8">
        <v>2000</v>
      </c>
      <c r="H19" s="4"/>
    </row>
    <row r="20" spans="1:8">
      <c r="A20" s="7" t="s">
        <v>210</v>
      </c>
      <c r="B20" s="8">
        <v>97</v>
      </c>
      <c r="C20" s="4"/>
      <c r="D20" s="4"/>
      <c r="E20" s="4"/>
      <c r="F20" t="s">
        <v>211</v>
      </c>
      <c r="G20" s="9" t="s">
        <v>212</v>
      </c>
      <c r="H20" s="4"/>
    </row>
    <row r="21" spans="1:8">
      <c r="A21" s="7" t="s">
        <v>213</v>
      </c>
      <c r="B21" s="8">
        <v>117</v>
      </c>
      <c r="C21" s="4"/>
      <c r="D21" s="4"/>
      <c r="E21" s="4"/>
      <c r="H21" s="4"/>
    </row>
    <row r="22" spans="1:8">
      <c r="A22" s="7" t="s">
        <v>214</v>
      </c>
      <c r="B22" s="8">
        <v>157</v>
      </c>
      <c r="C22" s="4"/>
      <c r="D22" s="4"/>
      <c r="E22" s="4"/>
      <c r="F22" s="10"/>
      <c r="G22" s="11"/>
      <c r="H22" s="4"/>
    </row>
    <row r="23" spans="1:8">
      <c r="A23" s="7" t="s">
        <v>215</v>
      </c>
      <c r="B23" s="8">
        <v>47</v>
      </c>
      <c r="C23" s="4"/>
      <c r="D23" s="4" t="s">
        <v>324</v>
      </c>
      <c r="E23" s="4"/>
      <c r="F23" s="4" t="s">
        <v>325</v>
      </c>
      <c r="G23" s="4"/>
      <c r="H23" s="4"/>
    </row>
    <row r="24" spans="1:8">
      <c r="A24" s="7" t="s">
        <v>216</v>
      </c>
      <c r="B24" s="8">
        <v>68</v>
      </c>
      <c r="C24" s="4"/>
      <c r="D24" s="31">
        <v>2</v>
      </c>
      <c r="E24" s="4"/>
      <c r="F24" s="31">
        <v>2</v>
      </c>
      <c r="G24" s="4"/>
      <c r="H24" s="4"/>
    </row>
    <row r="25" spans="1:8">
      <c r="A25" s="7" t="s">
        <v>217</v>
      </c>
      <c r="B25" s="8">
        <v>34</v>
      </c>
      <c r="C25" s="4"/>
      <c r="D25" s="31">
        <v>3</v>
      </c>
      <c r="E25" s="4"/>
      <c r="F25" s="31">
        <v>3</v>
      </c>
      <c r="G25" s="4"/>
      <c r="H25" s="4"/>
    </row>
    <row r="26" spans="1:8">
      <c r="A26" s="7" t="s">
        <v>218</v>
      </c>
      <c r="B26" s="8">
        <v>34</v>
      </c>
      <c r="C26" s="4"/>
      <c r="D26" s="31">
        <v>4</v>
      </c>
      <c r="E26" s="4"/>
      <c r="F26" s="31">
        <v>4</v>
      </c>
      <c r="G26" s="4"/>
      <c r="H26" s="4"/>
    </row>
    <row r="27" spans="1:8">
      <c r="A27" s="5" t="s">
        <v>219</v>
      </c>
      <c r="B27" s="8"/>
      <c r="C27" s="4"/>
      <c r="D27" s="31">
        <v>5</v>
      </c>
      <c r="E27" s="4"/>
      <c r="F27" s="31">
        <v>5</v>
      </c>
      <c r="G27" s="4"/>
      <c r="H27" s="4"/>
    </row>
    <row r="28" spans="1:8">
      <c r="A28" s="7" t="s">
        <v>220</v>
      </c>
      <c r="B28" s="8">
        <v>29</v>
      </c>
      <c r="C28" s="4"/>
      <c r="D28" s="4"/>
      <c r="E28" s="4"/>
      <c r="F28" s="4"/>
      <c r="G28" s="4"/>
      <c r="H28" s="4"/>
    </row>
    <row r="29" spans="1:8">
      <c r="A29" s="7" t="s">
        <v>221</v>
      </c>
      <c r="B29" s="8">
        <v>175</v>
      </c>
      <c r="C29" s="4"/>
      <c r="D29" s="4"/>
      <c r="E29" s="4"/>
      <c r="F29" s="4"/>
      <c r="G29" s="4"/>
      <c r="H29" s="4"/>
    </row>
    <row r="30" spans="1:8">
      <c r="A30" s="7" t="s">
        <v>222</v>
      </c>
      <c r="B30" s="8">
        <v>250</v>
      </c>
      <c r="C30" s="4"/>
      <c r="D30" s="4"/>
      <c r="E30" s="4"/>
      <c r="F30" s="4"/>
      <c r="G30" s="4"/>
      <c r="H30" s="4"/>
    </row>
    <row r="31" spans="1:8">
      <c r="A31" s="7" t="s">
        <v>223</v>
      </c>
      <c r="B31" s="8">
        <v>375</v>
      </c>
      <c r="C31" s="4" t="s">
        <v>224</v>
      </c>
      <c r="D31" s="4"/>
      <c r="E31" s="4"/>
      <c r="F31" s="4"/>
      <c r="G31" s="4"/>
      <c r="H31" s="4"/>
    </row>
    <row r="32" spans="1:8">
      <c r="A32" s="7" t="s">
        <v>225</v>
      </c>
      <c r="B32" s="8">
        <v>324</v>
      </c>
      <c r="C32" s="4"/>
      <c r="D32" s="4"/>
      <c r="E32" s="4"/>
      <c r="F32" s="4"/>
      <c r="G32" s="4"/>
      <c r="H32" s="4"/>
    </row>
    <row r="33" spans="1:8">
      <c r="A33" s="7" t="s">
        <v>226</v>
      </c>
      <c r="B33" s="8">
        <v>473</v>
      </c>
      <c r="C33" s="4"/>
      <c r="D33" s="4"/>
      <c r="E33" s="4"/>
      <c r="F33" s="4"/>
      <c r="G33" s="4"/>
      <c r="H33" s="4"/>
    </row>
    <row r="34" spans="1:8">
      <c r="A34" s="7" t="s">
        <v>227</v>
      </c>
      <c r="B34" s="8">
        <v>710</v>
      </c>
      <c r="C34" s="4" t="s">
        <v>224</v>
      </c>
      <c r="D34" s="4"/>
      <c r="E34" s="4"/>
      <c r="F34" s="4"/>
      <c r="G34" s="4"/>
      <c r="H34" s="4"/>
    </row>
    <row r="35" spans="1:8">
      <c r="A35" s="7" t="s">
        <v>228</v>
      </c>
      <c r="B35" s="8">
        <v>613</v>
      </c>
      <c r="C35" s="4"/>
      <c r="D35" s="4"/>
      <c r="E35" s="4"/>
      <c r="F35" s="4"/>
      <c r="G35" s="4"/>
      <c r="H35" s="4"/>
    </row>
    <row r="36" spans="1:8">
      <c r="A36" s="7" t="s">
        <v>229</v>
      </c>
      <c r="B36" s="8">
        <v>920</v>
      </c>
      <c r="C36" s="4" t="s">
        <v>224</v>
      </c>
      <c r="D36" s="4"/>
      <c r="E36" s="4"/>
      <c r="F36" s="4"/>
      <c r="G36" s="4"/>
      <c r="H36" s="4"/>
    </row>
    <row r="37" spans="1:8">
      <c r="A37" s="7" t="s">
        <v>230</v>
      </c>
      <c r="B37" s="8">
        <v>840</v>
      </c>
      <c r="C37" s="4"/>
      <c r="D37" s="4"/>
      <c r="E37" s="4"/>
      <c r="F37" s="4"/>
      <c r="G37" s="4"/>
      <c r="H37" s="4"/>
    </row>
    <row r="38" spans="1:8">
      <c r="A38" s="7" t="s">
        <v>231</v>
      </c>
      <c r="B38" s="8">
        <v>1260</v>
      </c>
      <c r="C38" s="4" t="s">
        <v>224</v>
      </c>
      <c r="D38" s="4"/>
      <c r="E38" s="4"/>
      <c r="F38" s="4"/>
      <c r="G38" s="4"/>
      <c r="H38" s="4"/>
    </row>
    <row r="39" spans="1:8">
      <c r="A39" s="7" t="s">
        <v>232</v>
      </c>
      <c r="B39" s="8">
        <v>980</v>
      </c>
      <c r="C39" s="4"/>
      <c r="D39" s="4"/>
      <c r="E39" s="4"/>
      <c r="F39" s="4"/>
      <c r="G39" s="4"/>
      <c r="H39" s="4"/>
    </row>
    <row r="40" spans="1:8">
      <c r="A40" s="7" t="s">
        <v>233</v>
      </c>
      <c r="B40" s="8">
        <v>482</v>
      </c>
      <c r="C40" s="4" t="s">
        <v>224</v>
      </c>
      <c r="D40" s="4"/>
      <c r="E40" s="4"/>
      <c r="F40" s="4"/>
      <c r="G40" s="4"/>
      <c r="H40" s="4"/>
    </row>
    <row r="41" spans="1:8">
      <c r="A41" s="7" t="s">
        <v>234</v>
      </c>
      <c r="B41" s="8">
        <v>689</v>
      </c>
      <c r="C41" s="4" t="s">
        <v>224</v>
      </c>
      <c r="D41" s="4"/>
      <c r="E41" s="4"/>
      <c r="F41" s="4"/>
      <c r="G41" s="4"/>
      <c r="H41" s="4"/>
    </row>
    <row r="42" spans="1:8">
      <c r="A42" s="7" t="s">
        <v>235</v>
      </c>
      <c r="B42" s="8">
        <v>892</v>
      </c>
      <c r="C42" s="4" t="s">
        <v>224</v>
      </c>
      <c r="D42" s="4"/>
      <c r="E42" s="4"/>
      <c r="F42" s="4"/>
      <c r="G42" s="4"/>
      <c r="H42" s="4"/>
    </row>
    <row r="43" spans="1:8">
      <c r="A43" s="7" t="s">
        <v>236</v>
      </c>
      <c r="B43" s="8">
        <v>1301</v>
      </c>
      <c r="C43" s="4"/>
      <c r="D43" s="4"/>
      <c r="E43" s="4"/>
      <c r="F43" s="4"/>
      <c r="G43" s="4"/>
      <c r="H43" s="4"/>
    </row>
    <row r="44" spans="1:8">
      <c r="A44" s="7" t="s">
        <v>237</v>
      </c>
      <c r="B44" s="8">
        <v>1686</v>
      </c>
      <c r="C44" s="4"/>
      <c r="D44" s="4"/>
      <c r="E44" s="4"/>
      <c r="F44" s="4"/>
      <c r="G44" s="4"/>
      <c r="H44" s="4"/>
    </row>
    <row r="45" spans="1:8">
      <c r="A45" s="7" t="s">
        <v>238</v>
      </c>
      <c r="B45" s="8">
        <v>2046</v>
      </c>
      <c r="C45" s="4"/>
      <c r="D45" s="4"/>
      <c r="E45" s="4"/>
      <c r="F45" s="4"/>
      <c r="G45" s="4"/>
      <c r="H45" s="4"/>
    </row>
    <row r="46" spans="1:8">
      <c r="A46" s="7" t="s">
        <v>239</v>
      </c>
      <c r="B46" s="8">
        <v>2310</v>
      </c>
      <c r="C46" s="4"/>
      <c r="D46" s="4"/>
      <c r="E46" s="4"/>
      <c r="F46" s="4"/>
      <c r="G46" s="4"/>
      <c r="H46" s="4"/>
    </row>
    <row r="47" spans="1:8">
      <c r="A47" s="7" t="s">
        <v>240</v>
      </c>
      <c r="B47" s="8">
        <v>2800</v>
      </c>
      <c r="C47" s="4" t="s">
        <v>224</v>
      </c>
      <c r="D47" s="4"/>
      <c r="E47" s="4"/>
      <c r="F47" s="4"/>
      <c r="G47" s="4"/>
      <c r="H47" s="4"/>
    </row>
    <row r="48" spans="1:8">
      <c r="A48" s="7" t="s">
        <v>241</v>
      </c>
      <c r="B48" s="8">
        <v>125</v>
      </c>
      <c r="C48" s="4"/>
      <c r="D48" s="4"/>
      <c r="E48" s="4"/>
      <c r="F48" s="4"/>
      <c r="G48" s="4"/>
      <c r="H48" s="4"/>
    </row>
    <row r="49" spans="1:10">
      <c r="B49" s="219" t="s">
        <v>242</v>
      </c>
      <c r="C49" s="219"/>
    </row>
    <row r="50" spans="1:10">
      <c r="A50" s="7" t="s">
        <v>264</v>
      </c>
      <c r="B50" s="19">
        <v>12</v>
      </c>
    </row>
    <row r="52" spans="1:10">
      <c r="A52" s="53" t="s">
        <v>265</v>
      </c>
      <c r="B52" s="12" t="s">
        <v>243</v>
      </c>
      <c r="C52" s="12" t="s">
        <v>244</v>
      </c>
      <c r="F52" s="220" t="s">
        <v>245</v>
      </c>
      <c r="G52" s="220"/>
    </row>
    <row r="53" spans="1:10">
      <c r="A53" s="18" t="s">
        <v>246</v>
      </c>
      <c r="B53" s="129">
        <v>114</v>
      </c>
      <c r="C53" s="130">
        <f>B53/2000</f>
        <v>5.7000000000000002E-2</v>
      </c>
      <c r="F53" t="s">
        <v>247</v>
      </c>
      <c r="G53" s="13">
        <f>0.0175</f>
        <v>1.7500000000000002E-2</v>
      </c>
      <c r="I53" s="20"/>
      <c r="J53" s="21"/>
    </row>
    <row r="54" spans="1:10">
      <c r="A54" s="18" t="s">
        <v>248</v>
      </c>
      <c r="B54" s="131">
        <v>119</v>
      </c>
      <c r="C54" s="132">
        <f>B54/2000</f>
        <v>5.9499999999999997E-2</v>
      </c>
      <c r="F54" t="s">
        <v>249</v>
      </c>
      <c r="G54" s="14">
        <v>5.1000000000000004E-3</v>
      </c>
      <c r="I54" s="20"/>
      <c r="J54" s="21"/>
    </row>
    <row r="55" spans="1:10">
      <c r="A55" s="7" t="s">
        <v>250</v>
      </c>
      <c r="B55" s="129">
        <f>B54-B53</f>
        <v>5</v>
      </c>
      <c r="C55" s="133">
        <f>C54-C53</f>
        <v>2.4999999999999953E-3</v>
      </c>
      <c r="D55" s="47">
        <f>B55/B53</f>
        <v>4.3859649122807015E-2</v>
      </c>
      <c r="F55" t="s">
        <v>251</v>
      </c>
      <c r="G55" s="15"/>
      <c r="I55" s="20"/>
      <c r="J55" s="22"/>
    </row>
    <row r="56" spans="1:10">
      <c r="A56" s="5"/>
      <c r="B56" s="20"/>
      <c r="C56" s="21"/>
      <c r="F56" t="s">
        <v>0</v>
      </c>
      <c r="G56" s="16">
        <f>SUM(G53:G55)</f>
        <v>2.2600000000000002E-2</v>
      </c>
      <c r="I56" s="20"/>
      <c r="J56" s="21"/>
    </row>
    <row r="57" spans="1:10">
      <c r="A57" s="5"/>
      <c r="B57" s="12" t="s">
        <v>396</v>
      </c>
      <c r="C57" s="21"/>
      <c r="I57" s="20"/>
      <c r="J57" s="21"/>
    </row>
    <row r="58" spans="1:10">
      <c r="A58" t="s">
        <v>266</v>
      </c>
      <c r="B58" s="20">
        <f>B55</f>
        <v>5</v>
      </c>
      <c r="C58" s="21"/>
      <c r="F58" t="s">
        <v>252</v>
      </c>
      <c r="G58" s="17">
        <f>1-G56</f>
        <v>0.97740000000000005</v>
      </c>
      <c r="I58" s="20"/>
      <c r="J58" s="21"/>
    </row>
    <row r="59" spans="1:10">
      <c r="A59" t="s">
        <v>405</v>
      </c>
      <c r="B59" s="20">
        <f>B58/G58</f>
        <v>5.1156128504194802</v>
      </c>
      <c r="C59" s="25"/>
      <c r="I59" s="20"/>
      <c r="J59" s="22"/>
    </row>
    <row r="60" spans="1:10">
      <c r="A60" t="s">
        <v>406</v>
      </c>
      <c r="B60" s="25">
        <f>'Disposal Schedule'!D22*'Disposal Schedule'!C28</f>
        <v>6064.5400623769829</v>
      </c>
    </row>
    <row r="61" spans="1:10">
      <c r="A61" s="5" t="s">
        <v>407</v>
      </c>
      <c r="B61" s="49">
        <f>B60*B59</f>
        <v>31023.839074979449</v>
      </c>
    </row>
    <row r="62" spans="1:10">
      <c r="B62" s="54"/>
    </row>
    <row r="63" spans="1:10">
      <c r="B63" s="54"/>
    </row>
    <row r="64" spans="1:10" ht="15.75" thickBot="1">
      <c r="B64" s="54"/>
    </row>
    <row r="65" spans="1:11">
      <c r="A65" s="119" t="s">
        <v>408</v>
      </c>
      <c r="B65" s="124" t="s">
        <v>409</v>
      </c>
    </row>
    <row r="66" spans="1:11">
      <c r="A66" s="120" t="s">
        <v>410</v>
      </c>
      <c r="B66" s="112">
        <f>'Whitman DF Calc'!R82</f>
        <v>31022.864566531644</v>
      </c>
    </row>
    <row r="67" spans="1:11">
      <c r="A67" s="120" t="s">
        <v>411</v>
      </c>
      <c r="B67" s="112">
        <f>B66-B61</f>
        <v>-0.97450844780541956</v>
      </c>
      <c r="C67" s="135"/>
    </row>
    <row r="68" spans="1:11" ht="15.75" thickBot="1">
      <c r="A68" s="122"/>
      <c r="B68" s="123"/>
    </row>
    <row r="69" spans="1:11">
      <c r="B69" s="30"/>
      <c r="C69" s="19"/>
      <c r="I69" s="19"/>
      <c r="J69" s="19"/>
    </row>
    <row r="70" spans="1:11">
      <c r="B70" s="19"/>
      <c r="C70" s="24"/>
      <c r="D70" s="23"/>
      <c r="I70" s="24"/>
      <c r="J70" s="24"/>
      <c r="K70" s="23"/>
    </row>
    <row r="71" spans="1:11">
      <c r="A71" s="5"/>
      <c r="B71" s="24"/>
      <c r="C71" s="23"/>
      <c r="D71" s="23"/>
    </row>
    <row r="75" spans="1:11">
      <c r="A75" s="5"/>
      <c r="B75" s="26"/>
    </row>
    <row r="76" spans="1:11">
      <c r="B76" s="20"/>
    </row>
    <row r="77" spans="1:11">
      <c r="B77" s="20"/>
    </row>
    <row r="79" spans="1:11">
      <c r="A79" s="5"/>
      <c r="B79" s="26"/>
    </row>
    <row r="80" spans="1:11">
      <c r="B80" s="20"/>
    </row>
    <row r="81" spans="1:2">
      <c r="A81" s="18"/>
      <c r="B81" s="20"/>
    </row>
  </sheetData>
  <mergeCells count="4">
    <mergeCell ref="A4:H4"/>
    <mergeCell ref="A14:B14"/>
    <mergeCell ref="B49:C49"/>
    <mergeCell ref="F52:G52"/>
  </mergeCells>
  <printOptions horizontalCentered="1" verticalCentered="1"/>
  <pageMargins left="0.7" right="0.7" top="0.75" bottom="0.75" header="0.3" footer="0.3"/>
  <pageSetup scale="69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01"/>
  <sheetViews>
    <sheetView showGridLines="0" tabSelected="1" view="pageBreakPreview" zoomScale="85" zoomScaleNormal="85" zoomScaleSheetLayoutView="85" workbookViewId="0">
      <pane xSplit="3" ySplit="5" topLeftCell="F54" activePane="bottomRight" state="frozen"/>
      <selection activeCell="D49" sqref="D49"/>
      <selection pane="topRight" activeCell="D49" sqref="D49"/>
      <selection pane="bottomLeft" activeCell="D49" sqref="D49"/>
      <selection pane="bottomRight" activeCell="G67" activeCellId="1" sqref="G21:G22 G67"/>
    </sheetView>
  </sheetViews>
  <sheetFormatPr defaultColWidth="9.140625" defaultRowHeight="15"/>
  <cols>
    <col min="1" max="1" width="4.140625" customWidth="1"/>
    <col min="2" max="2" width="8.140625" style="26" customWidth="1"/>
    <col min="3" max="3" width="26.140625" customWidth="1"/>
    <col min="4" max="4" width="12.42578125" style="57" customWidth="1"/>
    <col min="5" max="5" width="13" style="66" customWidth="1"/>
    <col min="6" max="6" width="13" style="57" customWidth="1"/>
    <col min="7" max="7" width="9.42578125" style="57" customWidth="1"/>
    <col min="8" max="8" width="14.140625" style="57" customWidth="1"/>
    <col min="9" max="9" width="13" style="57" customWidth="1"/>
    <col min="10" max="15" width="12.85546875" style="74" customWidth="1"/>
    <col min="16" max="19" width="14" style="74" customWidth="1"/>
    <col min="20" max="21" width="12.85546875" style="74" customWidth="1"/>
    <col min="22" max="23" width="14" style="74" customWidth="1"/>
    <col min="24" max="24" width="12.140625" bestFit="1" customWidth="1"/>
    <col min="25" max="25" width="11.7109375" customWidth="1"/>
    <col min="27" max="31" width="8.85546875" customWidth="1"/>
  </cols>
  <sheetData>
    <row r="1" spans="1:28">
      <c r="A1" s="5" t="s">
        <v>404</v>
      </c>
    </row>
    <row r="2" spans="1:28">
      <c r="A2" s="5" t="s">
        <v>412</v>
      </c>
    </row>
    <row r="3" spans="1:28">
      <c r="A3" s="5" t="s">
        <v>489</v>
      </c>
    </row>
    <row r="4" spans="1:28">
      <c r="A4" s="117" t="s">
        <v>486</v>
      </c>
    </row>
    <row r="5" spans="1:28" ht="45" customHeight="1">
      <c r="A5" s="55"/>
      <c r="B5" s="55" t="s">
        <v>413</v>
      </c>
      <c r="C5" s="55" t="s">
        <v>414</v>
      </c>
      <c r="D5" s="55" t="s">
        <v>255</v>
      </c>
      <c r="E5" s="55" t="s">
        <v>256</v>
      </c>
      <c r="F5" s="55" t="s">
        <v>257</v>
      </c>
      <c r="G5" s="55" t="s">
        <v>202</v>
      </c>
      <c r="H5" s="55" t="s">
        <v>258</v>
      </c>
      <c r="I5" s="55" t="s">
        <v>259</v>
      </c>
      <c r="J5" s="55" t="s">
        <v>250</v>
      </c>
      <c r="K5" s="55" t="s">
        <v>260</v>
      </c>
      <c r="L5" s="55" t="s">
        <v>415</v>
      </c>
      <c r="M5" s="55" t="s">
        <v>261</v>
      </c>
      <c r="N5" s="55" t="s">
        <v>416</v>
      </c>
      <c r="O5" s="55" t="s">
        <v>262</v>
      </c>
      <c r="P5" s="55" t="s">
        <v>263</v>
      </c>
      <c r="Q5" s="55" t="s">
        <v>326</v>
      </c>
      <c r="R5" s="55" t="s">
        <v>417</v>
      </c>
      <c r="S5" s="55" t="s">
        <v>418</v>
      </c>
      <c r="T5" s="55" t="s">
        <v>422</v>
      </c>
      <c r="U5" s="55" t="s">
        <v>419</v>
      </c>
      <c r="V5" s="55" t="s">
        <v>420</v>
      </c>
      <c r="W5" s="55" t="s">
        <v>421</v>
      </c>
    </row>
    <row r="6" spans="1:28" ht="15" customHeight="1">
      <c r="A6" s="223" t="s">
        <v>253</v>
      </c>
      <c r="B6" s="31">
        <v>26</v>
      </c>
      <c r="C6" t="s">
        <v>9</v>
      </c>
      <c r="D6" s="57">
        <f>+VLOOKUP(C6,'Whitman Reg - Price Out'!B:G,6,FALSE)</f>
        <v>21.564733707077789</v>
      </c>
      <c r="E6" s="66">
        <f>+References!B10</f>
        <v>4.333333333333333</v>
      </c>
      <c r="F6" s="57">
        <f>D6*E6*References!$B$50</f>
        <v>1121.3661527680449</v>
      </c>
      <c r="G6" s="57">
        <f>+References!B16</f>
        <v>20</v>
      </c>
      <c r="H6" s="57">
        <f>F6*G6</f>
        <v>22427.323055360899</v>
      </c>
      <c r="I6" s="57">
        <f t="shared" ref="I6:I23" si="0">H6*$D$101</f>
        <v>14783.168763194155</v>
      </c>
      <c r="J6" s="74">
        <f>I6*References!$C$55</f>
        <v>36.957921907985316</v>
      </c>
      <c r="K6" s="74">
        <f>J6/References!$G$58</f>
        <v>37.812484047457865</v>
      </c>
      <c r="L6" s="74">
        <f>K6/F6*E6</f>
        <v>0.14612006714712869</v>
      </c>
      <c r="M6" s="74">
        <f>+'Proposed Rates'!B10</f>
        <v>16.526881153093395</v>
      </c>
      <c r="N6" s="74">
        <f>L6+M6</f>
        <v>16.673001220240526</v>
      </c>
      <c r="O6" s="74">
        <f>+'Proposed Rates'!D10</f>
        <v>16.673001220240526</v>
      </c>
      <c r="P6" s="74">
        <f>D6*M6*References!$B$50</f>
        <v>4276.7734928997816</v>
      </c>
      <c r="Q6" s="74">
        <f>D6*O6*References!$B$50</f>
        <v>4314.5859769472399</v>
      </c>
      <c r="R6" s="74">
        <f>Q6-P6</f>
        <v>37.812484047458383</v>
      </c>
      <c r="S6" s="74">
        <f>D6*N6*References!$B$50</f>
        <v>4314.5859769472399</v>
      </c>
      <c r="T6" s="74">
        <f>Q6-S6</f>
        <v>0</v>
      </c>
      <c r="U6" s="86">
        <f>N6</f>
        <v>16.673001220240526</v>
      </c>
      <c r="V6" s="86">
        <f>D6*U6*References!$B$50</f>
        <v>4314.5859769472399</v>
      </c>
      <c r="W6" s="86">
        <f>V6-P6</f>
        <v>37.812484047458383</v>
      </c>
      <c r="X6" s="23">
        <f>I6*(References!$C$55/References!$G$58)</f>
        <v>37.812484047457865</v>
      </c>
      <c r="Y6" s="74">
        <f>W6-X6</f>
        <v>5.1869619710487314E-13</v>
      </c>
      <c r="AA6" s="214">
        <f>(G6*$D$101*References!$C$55*'Whitman DF Calc'!E6)/References!$G$58</f>
        <v>0.14612006714712866</v>
      </c>
      <c r="AB6" s="74">
        <f>L6-AA6</f>
        <v>0</v>
      </c>
    </row>
    <row r="7" spans="1:28">
      <c r="A7" s="224"/>
      <c r="B7" s="31">
        <v>26</v>
      </c>
      <c r="C7" t="s">
        <v>11</v>
      </c>
      <c r="D7" s="57">
        <f>+VLOOKUP(C7,'Whitman Reg - Price Out'!B:G,6,FALSE)</f>
        <v>42.868746364165212</v>
      </c>
      <c r="E7" s="66">
        <f>+References!B12</f>
        <v>1</v>
      </c>
      <c r="F7" s="57">
        <f>D7*E7*References!$B$50</f>
        <v>514.42495636998251</v>
      </c>
      <c r="G7" s="57">
        <f>+References!B17</f>
        <v>34</v>
      </c>
      <c r="H7" s="57">
        <f t="shared" ref="H7:H23" si="1">F7*G7</f>
        <v>17490.448516579407</v>
      </c>
      <c r="I7" s="57">
        <f t="shared" si="0"/>
        <v>11528.984155902035</v>
      </c>
      <c r="J7" s="74">
        <f>I7*References!$C$55</f>
        <v>28.822460389755033</v>
      </c>
      <c r="K7" s="74">
        <f>J7/References!$G$58</f>
        <v>29.48890975010746</v>
      </c>
      <c r="L7" s="74">
        <f t="shared" ref="L7:L23" si="2">K7/F7*E7</f>
        <v>5.7324026342335098E-2</v>
      </c>
      <c r="M7" s="74">
        <f>+'Proposed Rates'!B19</f>
        <v>13.185853375444333</v>
      </c>
      <c r="N7" s="74">
        <f t="shared" ref="N7:N23" si="3">L7+M7</f>
        <v>13.243177401786669</v>
      </c>
      <c r="O7" s="74">
        <f>+'Proposed Rates'!D19</f>
        <v>13.243177401786669</v>
      </c>
      <c r="P7" s="74">
        <f>D7*M7*References!$B$50</f>
        <v>6783.132047363938</v>
      </c>
      <c r="Q7" s="74">
        <f>D7*O7*References!$B$50</f>
        <v>6812.6209571140462</v>
      </c>
      <c r="R7" s="74">
        <f t="shared" ref="R7:R23" si="4">Q7-P7</f>
        <v>29.488909750108178</v>
      </c>
      <c r="S7" s="74">
        <f>D7*N7*References!$B$50</f>
        <v>6812.6209571140462</v>
      </c>
      <c r="T7" s="74">
        <f t="shared" ref="T7:T24" si="5">Q7-S7</f>
        <v>0</v>
      </c>
      <c r="U7" s="86">
        <f t="shared" ref="U7:U23" si="6">N7</f>
        <v>13.243177401786669</v>
      </c>
      <c r="V7" s="86">
        <f>D7*U7*References!$B$50</f>
        <v>6812.6209571140462</v>
      </c>
      <c r="W7" s="86">
        <f t="shared" ref="W7:W23" si="7">V7-P7</f>
        <v>29.488909750108178</v>
      </c>
      <c r="X7" s="23">
        <f>I7*(References!$C$55/References!$G$58)</f>
        <v>29.48890975010746</v>
      </c>
      <c r="Y7" s="74">
        <f t="shared" ref="Y7:Y23" si="8">W7-X7</f>
        <v>7.1764816311770119E-13</v>
      </c>
      <c r="AA7" s="214">
        <f>(G7*$D$101*References!$C$55*'Whitman DF Calc'!E7)/References!$G$58</f>
        <v>5.7324026342335098E-2</v>
      </c>
      <c r="AB7" s="74">
        <f t="shared" ref="AB7:AB23" si="9">L7-AA7</f>
        <v>0</v>
      </c>
    </row>
    <row r="8" spans="1:28">
      <c r="A8" s="224"/>
      <c r="B8" s="31">
        <v>26</v>
      </c>
      <c r="C8" t="s">
        <v>13</v>
      </c>
      <c r="D8" s="57">
        <f>+VLOOKUP(C8,'Whitman Reg - Price Out'!B:G,6,FALSE)</f>
        <v>969.38484432234429</v>
      </c>
      <c r="E8" s="66">
        <f>+References!B10</f>
        <v>4.333333333333333</v>
      </c>
      <c r="F8" s="57">
        <f>D8*E8*References!$B$50</f>
        <v>50408.011904761894</v>
      </c>
      <c r="G8" s="57">
        <f>+References!B17</f>
        <v>34</v>
      </c>
      <c r="H8" s="57">
        <f t="shared" si="1"/>
        <v>1713872.4047619044</v>
      </c>
      <c r="I8" s="57">
        <f t="shared" si="0"/>
        <v>1129714.1854885954</v>
      </c>
      <c r="J8" s="74">
        <f>I8*References!$C$55</f>
        <v>2824.2854637214832</v>
      </c>
      <c r="K8" s="74">
        <f>J8/References!$G$58</f>
        <v>2889.5902022933119</v>
      </c>
      <c r="L8" s="74">
        <f t="shared" si="2"/>
        <v>0.24840411415011873</v>
      </c>
      <c r="M8" s="74">
        <f>+'Proposed Rates'!B11</f>
        <v>21.178697960258773</v>
      </c>
      <c r="N8" s="74">
        <f t="shared" si="3"/>
        <v>21.427102074408893</v>
      </c>
      <c r="O8" s="74">
        <f>+'Proposed Rates'!D11</f>
        <v>21.427102074408893</v>
      </c>
      <c r="P8" s="74">
        <f>D8*M8*References!$B$50</f>
        <v>246363.7059018648</v>
      </c>
      <c r="Q8" s="74">
        <f>D8*O8*References!$B$50</f>
        <v>249253.29610415816</v>
      </c>
      <c r="R8" s="74">
        <f t="shared" si="4"/>
        <v>2889.5902022933587</v>
      </c>
      <c r="S8" s="74">
        <f>D8*N8*References!$B$50</f>
        <v>249253.29610415816</v>
      </c>
      <c r="T8" s="74">
        <f t="shared" si="5"/>
        <v>0</v>
      </c>
      <c r="U8" s="86">
        <f t="shared" si="6"/>
        <v>21.427102074408893</v>
      </c>
      <c r="V8" s="86">
        <f>D8*U8*References!$B$50</f>
        <v>249253.29610415816</v>
      </c>
      <c r="W8" s="86">
        <f t="shared" si="7"/>
        <v>2889.5902022933587</v>
      </c>
      <c r="X8" s="23">
        <f>I8*(References!$C$55/References!$G$58)</f>
        <v>2889.5902022933119</v>
      </c>
      <c r="Y8" s="74">
        <f t="shared" si="8"/>
        <v>4.6838977141305804E-11</v>
      </c>
      <c r="AA8" s="214">
        <f>(G8*$D$101*References!$C$55*'Whitman DF Calc'!E8)/References!$G$58</f>
        <v>0.24840411415011873</v>
      </c>
      <c r="AB8" s="74">
        <f t="shared" si="9"/>
        <v>0</v>
      </c>
    </row>
    <row r="9" spans="1:28">
      <c r="A9" s="224"/>
      <c r="B9" s="31">
        <v>26</v>
      </c>
      <c r="C9" t="s">
        <v>15</v>
      </c>
      <c r="D9" s="57">
        <f>+VLOOKUP(C9,'Whitman Reg - Price Out'!B:G,6,FALSE)</f>
        <v>166.39654816039686</v>
      </c>
      <c r="E9" s="66">
        <f>+References!B10</f>
        <v>4.333333333333333</v>
      </c>
      <c r="F9" s="57">
        <f>D9*E9*References!$B$50</f>
        <v>8652.6205043406353</v>
      </c>
      <c r="G9" s="57">
        <f>+References!B18</f>
        <v>51</v>
      </c>
      <c r="H9" s="57">
        <f t="shared" si="1"/>
        <v>441283.64572137239</v>
      </c>
      <c r="I9" s="57">
        <f t="shared" si="0"/>
        <v>290876.02613265393</v>
      </c>
      <c r="J9" s="74">
        <f>I9*References!$C$55</f>
        <v>727.19006533163349</v>
      </c>
      <c r="K9" s="74">
        <f>J9/References!$G$58</f>
        <v>744.00456858157713</v>
      </c>
      <c r="L9" s="74">
        <f t="shared" si="2"/>
        <v>0.37260617122517814</v>
      </c>
      <c r="M9" s="74">
        <f>+'Proposed Rates'!B12</f>
        <v>28.218046940388163</v>
      </c>
      <c r="N9" s="74">
        <f t="shared" si="3"/>
        <v>28.590653111613342</v>
      </c>
      <c r="O9" s="74">
        <f>+'Proposed Rates'!D12</f>
        <v>28.590653111613342</v>
      </c>
      <c r="P9" s="74">
        <f>D9*M9*References!$B$50</f>
        <v>56344.627280503657</v>
      </c>
      <c r="Q9" s="74">
        <f>D9*O9*References!$B$50</f>
        <v>57088.631849085235</v>
      </c>
      <c r="R9" s="74">
        <f t="shared" si="4"/>
        <v>744.0045685815785</v>
      </c>
      <c r="S9" s="74">
        <f>D9*N9*References!$B$50</f>
        <v>57088.631849085235</v>
      </c>
      <c r="T9" s="74">
        <f t="shared" si="5"/>
        <v>0</v>
      </c>
      <c r="U9" s="86">
        <f t="shared" si="6"/>
        <v>28.590653111613342</v>
      </c>
      <c r="V9" s="86">
        <f>D9*U9*References!$B$50</f>
        <v>57088.631849085235</v>
      </c>
      <c r="W9" s="86">
        <f t="shared" si="7"/>
        <v>744.0045685815785</v>
      </c>
      <c r="X9" s="23">
        <f>I9*(References!$C$55/References!$G$58)</f>
        <v>744.00456858157702</v>
      </c>
      <c r="Y9" s="74">
        <f t="shared" si="8"/>
        <v>1.4779288903810084E-12</v>
      </c>
      <c r="AA9" s="214">
        <f>(G9*$D$101*References!$C$55*'Whitman DF Calc'!E9)/References!$G$58</f>
        <v>0.37260617122517808</v>
      </c>
      <c r="AB9" s="74">
        <f t="shared" si="9"/>
        <v>0</v>
      </c>
    </row>
    <row r="10" spans="1:28">
      <c r="A10" s="224"/>
      <c r="B10" s="31">
        <v>26</v>
      </c>
      <c r="C10" t="s">
        <v>17</v>
      </c>
      <c r="D10" s="57">
        <f>+VLOOKUP(C10,'Whitman Reg - Price Out'!B:G,6,FALSE)</f>
        <v>11.144113983182811</v>
      </c>
      <c r="E10" s="66">
        <f>+References!B10</f>
        <v>4.333333333333333</v>
      </c>
      <c r="F10" s="57">
        <f>D10*E10*References!$B$50</f>
        <v>579.49392712550616</v>
      </c>
      <c r="G10" s="57">
        <f>+References!B19</f>
        <v>77</v>
      </c>
      <c r="H10" s="57">
        <f t="shared" si="1"/>
        <v>44621.032388663974</v>
      </c>
      <c r="I10" s="57">
        <f t="shared" si="0"/>
        <v>29412.348970997471</v>
      </c>
      <c r="J10" s="74">
        <f>I10*References!$C$55</f>
        <v>73.530872427493534</v>
      </c>
      <c r="K10" s="74">
        <f>J10/References!$G$58</f>
        <v>75.231095178528264</v>
      </c>
      <c r="L10" s="74">
        <f t="shared" si="2"/>
        <v>0.56256225851644537</v>
      </c>
      <c r="M10" s="74">
        <f>+'Proposed Rates'!B13</f>
        <v>37.549992439409579</v>
      </c>
      <c r="N10" s="74">
        <f t="shared" si="3"/>
        <v>38.112554697926022</v>
      </c>
      <c r="O10" s="74">
        <f>+'Proposed Rates'!D13</f>
        <v>38.112554697926022</v>
      </c>
      <c r="P10" s="74">
        <f>D10*M10*References!$B$50</f>
        <v>5021.536749749197</v>
      </c>
      <c r="Q10" s="74">
        <f>D10*O10*References!$B$50</f>
        <v>5096.7678449277246</v>
      </c>
      <c r="R10" s="74">
        <f t="shared" si="4"/>
        <v>75.231095178527539</v>
      </c>
      <c r="S10" s="74">
        <f>D10*N10*References!$B$50</f>
        <v>5096.7678449277246</v>
      </c>
      <c r="T10" s="74">
        <f t="shared" si="5"/>
        <v>0</v>
      </c>
      <c r="U10" s="86">
        <f t="shared" si="6"/>
        <v>38.112554697926022</v>
      </c>
      <c r="V10" s="86">
        <f>D10*U10*References!$B$50</f>
        <v>5096.7678449277246</v>
      </c>
      <c r="W10" s="86">
        <f t="shared" si="7"/>
        <v>75.231095178527539</v>
      </c>
      <c r="X10" s="23">
        <f>I10*(References!$C$55/References!$G$58)</f>
        <v>75.231095178528278</v>
      </c>
      <c r="Y10" s="74">
        <f t="shared" si="8"/>
        <v>-7.3896444519050419E-13</v>
      </c>
      <c r="AA10" s="214">
        <f>(G10*$D$101*References!$C$55*'Whitman DF Calc'!E10)/References!$G$58</f>
        <v>0.56256225851644537</v>
      </c>
      <c r="AB10" s="74">
        <f t="shared" si="9"/>
        <v>0</v>
      </c>
    </row>
    <row r="11" spans="1:28">
      <c r="A11" s="224"/>
      <c r="B11" s="31">
        <v>26</v>
      </c>
      <c r="C11" t="s">
        <v>19</v>
      </c>
      <c r="D11" s="57">
        <f>+VLOOKUP(C11,'Whitman Reg - Price Out'!B:G,6,FALSE)</f>
        <v>0.99945345416964793</v>
      </c>
      <c r="E11" s="66">
        <f>+References!B10</f>
        <v>4.333333333333333</v>
      </c>
      <c r="F11" s="57">
        <f>D11*E11*References!$B$50</f>
        <v>51.971579616821685</v>
      </c>
      <c r="G11" s="57">
        <f>+References!B20</f>
        <v>97</v>
      </c>
      <c r="H11" s="57">
        <f t="shared" si="1"/>
        <v>5041.2432228317039</v>
      </c>
      <c r="I11" s="57">
        <f t="shared" si="0"/>
        <v>3322.9801503936387</v>
      </c>
      <c r="J11" s="74">
        <f>I11*References!$C$55</f>
        <v>8.3074503759840805</v>
      </c>
      <c r="K11" s="74">
        <f>J11/References!$G$58</f>
        <v>8.4995399795212609</v>
      </c>
      <c r="L11" s="74">
        <f t="shared" si="2"/>
        <v>0.70868232566357403</v>
      </c>
      <c r="M11" s="74">
        <f>+'Proposed Rates'!B14</f>
        <v>49.00687359250297</v>
      </c>
      <c r="N11" s="74">
        <f t="shared" si="3"/>
        <v>49.715555918166544</v>
      </c>
      <c r="O11" s="74">
        <f>+'Proposed Rates'!D14</f>
        <v>49.715555918166544</v>
      </c>
      <c r="P11" s="74">
        <f>D11*M11*References!$B$50</f>
        <v>587.7610690809887</v>
      </c>
      <c r="Q11" s="74">
        <f>D11*O11*References!$B$50</f>
        <v>596.26060906050998</v>
      </c>
      <c r="R11" s="74">
        <f t="shared" si="4"/>
        <v>8.4995399795212734</v>
      </c>
      <c r="S11" s="74">
        <f>D11*N11*References!$B$50</f>
        <v>596.26060906050998</v>
      </c>
      <c r="T11" s="74">
        <f t="shared" si="5"/>
        <v>0</v>
      </c>
      <c r="U11" s="86">
        <f t="shared" si="6"/>
        <v>49.715555918166544</v>
      </c>
      <c r="V11" s="86">
        <f>D11*U11*References!$B$50</f>
        <v>596.26060906050998</v>
      </c>
      <c r="W11" s="86">
        <f t="shared" si="7"/>
        <v>8.4995399795212734</v>
      </c>
      <c r="X11" s="23">
        <f>I11*(References!$C$55/References!$G$58)</f>
        <v>8.4995399795212609</v>
      </c>
      <c r="Y11" s="74">
        <f t="shared" si="8"/>
        <v>0</v>
      </c>
      <c r="AA11" s="214">
        <f>(G11*$D$101*References!$C$55*'Whitman DF Calc'!E11)/References!$G$58</f>
        <v>0.70868232566357403</v>
      </c>
      <c r="AB11" s="74">
        <f t="shared" si="9"/>
        <v>0</v>
      </c>
    </row>
    <row r="12" spans="1:28">
      <c r="A12" s="224"/>
      <c r="B12" s="31">
        <v>26</v>
      </c>
      <c r="C12" t="s">
        <v>21</v>
      </c>
      <c r="D12" s="57">
        <f>+VLOOKUP(C12,'Whitman Reg - Price Out'!B:G,6,FALSE)</f>
        <v>869.90060144088523</v>
      </c>
      <c r="E12" s="66">
        <f>+References!$B$10</f>
        <v>4.333333333333333</v>
      </c>
      <c r="F12" s="57">
        <f>D12*E12*References!$B$50</f>
        <v>45234.831274926029</v>
      </c>
      <c r="G12" s="57">
        <f>+References!B23</f>
        <v>47</v>
      </c>
      <c r="H12" s="57">
        <f t="shared" si="1"/>
        <v>2126037.0699215233</v>
      </c>
      <c r="I12" s="57">
        <f t="shared" si="0"/>
        <v>1401396.1775051861</v>
      </c>
      <c r="J12" s="74">
        <f>I12*References!$C$55</f>
        <v>3503.4904437629584</v>
      </c>
      <c r="K12" s="74">
        <f>J12/References!$G$58</f>
        <v>3584.5001470871275</v>
      </c>
      <c r="L12" s="74">
        <f t="shared" si="2"/>
        <v>0.34338215779575237</v>
      </c>
      <c r="M12" s="74">
        <f>+'Proposed Rates'!B17</f>
        <v>30.114670709769481</v>
      </c>
      <c r="N12" s="74">
        <f t="shared" si="3"/>
        <v>30.458052867565232</v>
      </c>
      <c r="O12" s="74">
        <f>+'Proposed Rates'!D17</f>
        <v>30.458052867565232</v>
      </c>
      <c r="P12" s="74">
        <f>D12*M12*References!$B$50</f>
        <v>314361.24195147218</v>
      </c>
      <c r="Q12" s="74">
        <f>D12*O12*References!$B$50</f>
        <v>317945.74209855928</v>
      </c>
      <c r="R12" s="74">
        <f t="shared" si="4"/>
        <v>3584.500147087092</v>
      </c>
      <c r="S12" s="74">
        <f>D12*N12*References!$B$50</f>
        <v>317945.74209855928</v>
      </c>
      <c r="T12" s="74">
        <f t="shared" si="5"/>
        <v>0</v>
      </c>
      <c r="U12" s="86">
        <f t="shared" si="6"/>
        <v>30.458052867565232</v>
      </c>
      <c r="V12" s="86">
        <f>D12*U12*References!$B$50</f>
        <v>317945.74209855928</v>
      </c>
      <c r="W12" s="86">
        <f t="shared" si="7"/>
        <v>3584.500147087092</v>
      </c>
      <c r="X12" s="23">
        <f>I12*(References!$C$55/References!$G$58)</f>
        <v>3584.5001470871275</v>
      </c>
      <c r="Y12" s="74">
        <f t="shared" si="8"/>
        <v>-3.5470293369144201E-11</v>
      </c>
      <c r="AA12" s="214">
        <f>(G12*$D$101*References!$C$55*'Whitman DF Calc'!E12)/References!$G$58</f>
        <v>0.34338215779575232</v>
      </c>
      <c r="AB12" s="74">
        <f t="shared" si="9"/>
        <v>0</v>
      </c>
    </row>
    <row r="13" spans="1:28">
      <c r="A13" s="224"/>
      <c r="B13" s="31">
        <v>26</v>
      </c>
      <c r="C13" t="s">
        <v>333</v>
      </c>
      <c r="D13" s="57">
        <f>+VLOOKUP(C13,'Whitman Reg - Price Out'!B:G,6,FALSE)</f>
        <v>4.9532194776791458</v>
      </c>
      <c r="E13" s="134">
        <f>+References!$B$10</f>
        <v>4.333333333333333</v>
      </c>
      <c r="F13" s="60">
        <f>D13*E13*References!$B$50</f>
        <v>257.56741283931558</v>
      </c>
      <c r="G13" s="60">
        <f>+References!B23*2</f>
        <v>94</v>
      </c>
      <c r="H13" s="57">
        <f t="shared" ref="H13" si="10">F13*G13</f>
        <v>24211.336806895666</v>
      </c>
      <c r="I13" s="57">
        <f t="shared" si="0"/>
        <v>15959.117239064237</v>
      </c>
      <c r="J13" s="74">
        <f>I13*References!$C$55</f>
        <v>39.897793097660518</v>
      </c>
      <c r="K13" s="74">
        <f>J13/References!$G$58</f>
        <v>40.820332614753958</v>
      </c>
      <c r="L13" s="74">
        <f t="shared" si="2"/>
        <v>0.68676431559150486</v>
      </c>
      <c r="M13" s="74">
        <f>+'Proposed Rates'!B17*2</f>
        <v>60.229341419538962</v>
      </c>
      <c r="N13" s="74">
        <f>L13+M13</f>
        <v>60.916105735130465</v>
      </c>
      <c r="O13" s="74">
        <f>+'Proposed Rates'!D17*2</f>
        <v>60.916105735130465</v>
      </c>
      <c r="P13" s="74">
        <f>D13*M13*References!$B$50</f>
        <v>3579.9497645645729</v>
      </c>
      <c r="Q13" s="74">
        <f>D13*O13*References!$B$50</f>
        <v>3620.7700971793265</v>
      </c>
      <c r="R13" s="74">
        <f t="shared" si="4"/>
        <v>40.820332614753625</v>
      </c>
      <c r="S13" s="74">
        <f>D13*N13*References!$B$50</f>
        <v>3620.7700971793265</v>
      </c>
      <c r="T13" s="74">
        <f t="shared" si="5"/>
        <v>0</v>
      </c>
      <c r="U13" s="86">
        <f t="shared" si="6"/>
        <v>60.916105735130465</v>
      </c>
      <c r="V13" s="86">
        <f>D13*U13*References!$B$50</f>
        <v>3620.7700971793265</v>
      </c>
      <c r="W13" s="86">
        <f t="shared" si="7"/>
        <v>40.820332614753625</v>
      </c>
      <c r="X13" s="23">
        <f>I13*(References!$C$55/References!$G$58)</f>
        <v>40.820332614753951</v>
      </c>
      <c r="Y13" s="74">
        <f t="shared" si="8"/>
        <v>-3.2684965844964609E-13</v>
      </c>
      <c r="AA13" s="214">
        <f>(G13*$D$101*References!$C$55*'Whitman DF Calc'!E13)/References!$G$58</f>
        <v>0.68676431559150464</v>
      </c>
      <c r="AB13" s="74">
        <f t="shared" si="9"/>
        <v>0</v>
      </c>
    </row>
    <row r="14" spans="1:28">
      <c r="A14" s="224"/>
      <c r="B14" s="31">
        <v>26</v>
      </c>
      <c r="C14" t="s">
        <v>23</v>
      </c>
      <c r="D14" s="57">
        <f>+VLOOKUP(C14,'Whitman Reg - Price Out'!B:G,6,FALSE)</f>
        <v>1.9948861443458126</v>
      </c>
      <c r="E14" s="134">
        <f>+References!$B$10</f>
        <v>4.333333333333333</v>
      </c>
      <c r="F14" s="60">
        <f>D14*E14*References!$B$50</f>
        <v>103.73407950598224</v>
      </c>
      <c r="G14" s="60">
        <f>+References!B23*3</f>
        <v>141</v>
      </c>
      <c r="H14" s="57">
        <f t="shared" si="1"/>
        <v>14626.505210343495</v>
      </c>
      <c r="I14" s="57">
        <f t="shared" si="0"/>
        <v>9641.1905427367128</v>
      </c>
      <c r="J14" s="74">
        <f>I14*References!$C$55</f>
        <v>24.102976356841737</v>
      </c>
      <c r="K14" s="74">
        <f>J14/References!$G$58</f>
        <v>24.660299116883298</v>
      </c>
      <c r="L14" s="74">
        <f t="shared" si="2"/>
        <v>1.0301464733872572</v>
      </c>
      <c r="M14" s="74">
        <f>+'Proposed Rates'!B17*3</f>
        <v>90.344012129308439</v>
      </c>
      <c r="N14" s="74">
        <f t="shared" si="3"/>
        <v>91.374158602695701</v>
      </c>
      <c r="O14" s="74">
        <f>+'Proposed Rates'!D17*3</f>
        <v>91.374158602695701</v>
      </c>
      <c r="P14" s="74">
        <f>D14*M14*References!$B$50</f>
        <v>2162.7122162564092</v>
      </c>
      <c r="Q14" s="74">
        <f>D14*O14*References!$B$50</f>
        <v>2187.3725153732926</v>
      </c>
      <c r="R14" s="74">
        <f t="shared" si="4"/>
        <v>24.66029911688338</v>
      </c>
      <c r="S14" s="74">
        <f>D14*N14*References!$B$50</f>
        <v>2187.3725153732926</v>
      </c>
      <c r="T14" s="74">
        <f t="shared" si="5"/>
        <v>0</v>
      </c>
      <c r="U14" s="86">
        <f t="shared" si="6"/>
        <v>91.374158602695701</v>
      </c>
      <c r="V14" s="86">
        <f>D14*U14*References!$B$50</f>
        <v>2187.3725153732926</v>
      </c>
      <c r="W14" s="86">
        <f t="shared" si="7"/>
        <v>24.66029911688338</v>
      </c>
      <c r="X14" s="23">
        <f>I14*(References!$C$55/References!$G$58)</f>
        <v>24.660299116883298</v>
      </c>
      <c r="Y14" s="74">
        <f t="shared" si="8"/>
        <v>8.1712414612411521E-14</v>
      </c>
      <c r="AA14" s="214">
        <f>(G14*$D$101*References!$C$55*'Whitman DF Calc'!E14)/References!$G$58</f>
        <v>1.0301464733872572</v>
      </c>
      <c r="AB14" s="74">
        <f t="shared" si="9"/>
        <v>0</v>
      </c>
    </row>
    <row r="15" spans="1:28">
      <c r="A15" s="224"/>
      <c r="B15" s="31">
        <v>26</v>
      </c>
      <c r="C15" t="s">
        <v>25</v>
      </c>
      <c r="D15" s="57">
        <f>+VLOOKUP(C15,'Whitman Reg - Price Out'!B:G,6,FALSE)</f>
        <v>1248.3961842378872</v>
      </c>
      <c r="E15" s="66">
        <f>+References!B10</f>
        <v>4.333333333333333</v>
      </c>
      <c r="F15" s="57">
        <f>D15*E15*References!$B$50</f>
        <v>64916.60158037013</v>
      </c>
      <c r="G15" s="57">
        <f>+References!B24</f>
        <v>68</v>
      </c>
      <c r="H15" s="57">
        <f t="shared" si="1"/>
        <v>4414328.9074651692</v>
      </c>
      <c r="I15" s="57">
        <f t="shared" si="0"/>
        <v>2909744.0231372253</v>
      </c>
      <c r="J15" s="74">
        <f>I15*References!$C$55</f>
        <v>7274.3600578430496</v>
      </c>
      <c r="K15" s="74">
        <f>J15/References!$G$58</f>
        <v>7442.5619580960192</v>
      </c>
      <c r="L15" s="74">
        <f t="shared" si="2"/>
        <v>0.49680822830023746</v>
      </c>
      <c r="M15" s="74">
        <f>+'Proposed Rates'!B18</f>
        <v>37.387395920517548</v>
      </c>
      <c r="N15" s="74">
        <f t="shared" si="3"/>
        <v>37.884204148817787</v>
      </c>
      <c r="O15" s="74">
        <f>+'Proposed Rates'!D18</f>
        <v>37.884204148817787</v>
      </c>
      <c r="P15" s="74">
        <f>D15*M15*References!$B$50</f>
        <v>560091.38886918302</v>
      </c>
      <c r="Q15" s="74">
        <f>D15*O15*References!$B$50</f>
        <v>567533.95082727913</v>
      </c>
      <c r="R15" s="74">
        <f t="shared" si="4"/>
        <v>7442.5619580961065</v>
      </c>
      <c r="S15" s="74">
        <f>D15*N15*References!$B$50</f>
        <v>567533.95082727913</v>
      </c>
      <c r="T15" s="74">
        <f t="shared" si="5"/>
        <v>0</v>
      </c>
      <c r="U15" s="86">
        <f t="shared" si="6"/>
        <v>37.884204148817787</v>
      </c>
      <c r="V15" s="86">
        <f>D15*U15*References!$B$50</f>
        <v>567533.95082727913</v>
      </c>
      <c r="W15" s="86">
        <f t="shared" si="7"/>
        <v>7442.5619580961065</v>
      </c>
      <c r="X15" s="23">
        <f>I15*(References!$C$55/References!$G$58)</f>
        <v>7442.5619580960192</v>
      </c>
      <c r="Y15" s="74">
        <f t="shared" si="8"/>
        <v>8.7311491370201111E-11</v>
      </c>
      <c r="AA15" s="214">
        <f>(G15*$D$101*References!$C$55*'Whitman DF Calc'!E15)/References!$G$58</f>
        <v>0.49680822830023746</v>
      </c>
      <c r="AB15" s="74">
        <f t="shared" si="9"/>
        <v>0</v>
      </c>
    </row>
    <row r="16" spans="1:28">
      <c r="A16" s="224"/>
      <c r="B16" s="31">
        <v>26</v>
      </c>
      <c r="C16" t="s">
        <v>27</v>
      </c>
      <c r="D16" s="57">
        <f>+VLOOKUP(C16,'Whitman Reg - Price Out'!B:G,6,FALSE)</f>
        <v>12.561486275732998</v>
      </c>
      <c r="E16" s="134">
        <f>+References!$B$10</f>
        <v>4.333333333333333</v>
      </c>
      <c r="F16" s="57">
        <f>D16*E16*References!$B$50</f>
        <v>653.19728633811587</v>
      </c>
      <c r="G16" s="60">
        <f>+References!B24*2</f>
        <v>136</v>
      </c>
      <c r="H16" s="57">
        <f t="shared" si="1"/>
        <v>88834.830941983761</v>
      </c>
      <c r="I16" s="57">
        <f t="shared" si="0"/>
        <v>58556.266150152667</v>
      </c>
      <c r="J16" s="74">
        <f>I16*References!$C$55</f>
        <v>146.39066537538139</v>
      </c>
      <c r="K16" s="74">
        <f>J16/References!$G$58</f>
        <v>149.77559379515182</v>
      </c>
      <c r="L16" s="74">
        <f t="shared" si="2"/>
        <v>0.99361645660047493</v>
      </c>
      <c r="M16" s="74">
        <f>+'Proposed Rates'!B18*2</f>
        <v>74.774791841035096</v>
      </c>
      <c r="N16" s="74">
        <f t="shared" si="3"/>
        <v>75.768408297635574</v>
      </c>
      <c r="O16" s="74">
        <f>+'Proposed Rates'!D18*2</f>
        <v>75.768408297635574</v>
      </c>
      <c r="P16" s="74">
        <f>D16*M16*References!$B$50</f>
        <v>11271.390257783449</v>
      </c>
      <c r="Q16" s="74">
        <f>D16*O16*References!$B$50</f>
        <v>11421.1658515786</v>
      </c>
      <c r="R16" s="74">
        <f t="shared" si="4"/>
        <v>149.77559379515151</v>
      </c>
      <c r="S16" s="74">
        <f>D16*N16*References!$B$50</f>
        <v>11421.1658515786</v>
      </c>
      <c r="T16" s="74">
        <f>Q16-S16</f>
        <v>0</v>
      </c>
      <c r="U16" s="86">
        <f t="shared" si="6"/>
        <v>75.768408297635574</v>
      </c>
      <c r="V16" s="86">
        <f>D16*U16*References!$B$50</f>
        <v>11421.1658515786</v>
      </c>
      <c r="W16" s="86">
        <f t="shared" si="7"/>
        <v>149.77559379515151</v>
      </c>
      <c r="X16" s="23">
        <f>I16*(References!$C$55/References!$G$58)</f>
        <v>149.77559379515182</v>
      </c>
      <c r="Y16" s="74">
        <f t="shared" si="8"/>
        <v>-3.1263880373444408E-13</v>
      </c>
      <c r="AA16" s="214">
        <f>(G16*$D$101*References!$C$55*'Whitman DF Calc'!E16)/References!$G$58</f>
        <v>0.99361645660047493</v>
      </c>
      <c r="AB16" s="74">
        <f t="shared" si="9"/>
        <v>0</v>
      </c>
    </row>
    <row r="17" spans="1:28">
      <c r="A17" s="224"/>
      <c r="B17" s="31">
        <v>27</v>
      </c>
      <c r="C17" t="s">
        <v>29</v>
      </c>
      <c r="D17" s="57">
        <f>+VLOOKUP(C17,'Whitman Reg - Price Out'!B:G,6,FALSE)</f>
        <v>1.1666666666666667</v>
      </c>
      <c r="E17" s="66">
        <f>+References!$B$12</f>
        <v>1</v>
      </c>
      <c r="F17" s="57">
        <f>D17*E17*References!$B$50</f>
        <v>14</v>
      </c>
      <c r="G17" s="57">
        <f>+References!B17</f>
        <v>34</v>
      </c>
      <c r="H17" s="57">
        <f t="shared" si="1"/>
        <v>476</v>
      </c>
      <c r="I17" s="57">
        <f t="shared" si="0"/>
        <v>313.7596187431912</v>
      </c>
      <c r="J17" s="74">
        <f>I17*References!$C$55</f>
        <v>0.78439904685797657</v>
      </c>
      <c r="K17" s="74">
        <f>J17/References!$G$58</f>
        <v>0.8025363687926913</v>
      </c>
      <c r="L17" s="74">
        <f t="shared" si="2"/>
        <v>5.7324026342335091E-2</v>
      </c>
      <c r="M17" s="74">
        <f>+'Proposed Rates'!B24</f>
        <v>14.485853375444332</v>
      </c>
      <c r="N17" s="74">
        <f t="shared" si="3"/>
        <v>14.543177401786668</v>
      </c>
      <c r="O17" s="74">
        <f>+'Proposed Rates'!D24</f>
        <v>14.543177401786668</v>
      </c>
      <c r="P17" s="74">
        <f>F17*M17</f>
        <v>202.80194725622064</v>
      </c>
      <c r="Q17" s="74">
        <f>F17*O17</f>
        <v>203.60448362501336</v>
      </c>
      <c r="R17" s="74">
        <f t="shared" si="4"/>
        <v>0.80253636879271539</v>
      </c>
      <c r="S17" s="74">
        <f>F17*N17</f>
        <v>203.60448362501336</v>
      </c>
      <c r="T17" s="74">
        <f t="shared" si="5"/>
        <v>0</v>
      </c>
      <c r="U17" s="86">
        <f t="shared" si="6"/>
        <v>14.543177401786668</v>
      </c>
      <c r="V17" s="86">
        <f>F17*U17</f>
        <v>203.60448362501336</v>
      </c>
      <c r="W17" s="86">
        <f t="shared" si="7"/>
        <v>0.80253636879271539</v>
      </c>
      <c r="X17" s="23">
        <f>I17*(References!$C$55/References!$G$58)</f>
        <v>0.8025363687926913</v>
      </c>
      <c r="Y17" s="74">
        <f t="shared" si="8"/>
        <v>2.4091839634365897E-14</v>
      </c>
      <c r="AA17" s="214">
        <f>(G17*$D$101*References!$C$55*'Whitman DF Calc'!E17)/References!$G$58</f>
        <v>5.7324026342335098E-2</v>
      </c>
      <c r="AB17" s="74">
        <f t="shared" si="9"/>
        <v>0</v>
      </c>
    </row>
    <row r="18" spans="1:28">
      <c r="A18" s="224"/>
      <c r="B18" s="31">
        <v>27</v>
      </c>
      <c r="C18" t="s">
        <v>31</v>
      </c>
      <c r="D18" s="57">
        <f>+VLOOKUP(C18,'Whitman Reg - Price Out'!B:G,6,FALSE)</f>
        <v>1.4166666666666667</v>
      </c>
      <c r="E18" s="134">
        <f>+References!$B$12</f>
        <v>1</v>
      </c>
      <c r="F18" s="60">
        <f>D18*E18*References!$B$50</f>
        <v>17</v>
      </c>
      <c r="G18" s="60">
        <f>+References!B24</f>
        <v>68</v>
      </c>
      <c r="H18" s="60">
        <f t="shared" si="1"/>
        <v>1156</v>
      </c>
      <c r="I18" s="60">
        <f t="shared" si="0"/>
        <v>761.98764551917861</v>
      </c>
      <c r="J18" s="74">
        <f>I18*References!$C$55</f>
        <v>1.904969113797943</v>
      </c>
      <c r="K18" s="74">
        <f>J18/References!$G$58</f>
        <v>1.9490168956393932</v>
      </c>
      <c r="L18" s="74">
        <f t="shared" si="2"/>
        <v>0.11464805268467018</v>
      </c>
      <c r="M18" s="74">
        <f>+'Proposed Rates'!B24</f>
        <v>14.485853375444332</v>
      </c>
      <c r="N18" s="74">
        <f t="shared" si="3"/>
        <v>14.600501428129002</v>
      </c>
      <c r="O18" s="74">
        <f>+'Proposed Rates'!D24</f>
        <v>14.543177401786668</v>
      </c>
      <c r="P18" s="74">
        <f t="shared" ref="P18:P23" si="11">F18*M18</f>
        <v>246.25950738255364</v>
      </c>
      <c r="Q18" s="74">
        <f t="shared" ref="Q18:Q23" si="12">F18*O18</f>
        <v>247.23401583037335</v>
      </c>
      <c r="R18" s="74">
        <f t="shared" si="4"/>
        <v>0.97450844781971568</v>
      </c>
      <c r="S18" s="74">
        <f>F18*O18</f>
        <v>247.23401583037335</v>
      </c>
      <c r="T18" s="74">
        <f t="shared" si="5"/>
        <v>0</v>
      </c>
      <c r="U18" s="86">
        <f t="shared" si="6"/>
        <v>14.600501428129002</v>
      </c>
      <c r="V18" s="86">
        <f t="shared" ref="V18:V23" si="13">F18*U18</f>
        <v>248.20852427819304</v>
      </c>
      <c r="W18" s="86">
        <f t="shared" si="7"/>
        <v>1.9490168956394029</v>
      </c>
      <c r="X18" s="23">
        <f>I18*(References!$C$55/References!$G$58)</f>
        <v>1.9490168956393932</v>
      </c>
      <c r="Y18" s="74">
        <f t="shared" si="8"/>
        <v>9.7699626167013776E-15</v>
      </c>
      <c r="AA18" s="214">
        <f>(G18*$D$101*References!$C$55*'Whitman DF Calc'!E18)/References!$G$58</f>
        <v>0.1146480526846702</v>
      </c>
      <c r="AB18" s="74">
        <f t="shared" si="9"/>
        <v>0</v>
      </c>
    </row>
    <row r="19" spans="1:28">
      <c r="A19" s="224"/>
      <c r="B19" s="31">
        <v>27</v>
      </c>
      <c r="C19" t="s">
        <v>33</v>
      </c>
      <c r="D19" s="57">
        <f>+VLOOKUP(C19,'Whitman Reg - Price Out'!B:G,6,FALSE)</f>
        <v>339.52724358974359</v>
      </c>
      <c r="E19" s="66">
        <f>+References!$B$12</f>
        <v>1</v>
      </c>
      <c r="F19" s="57">
        <f>D19*E19*References!$B$50</f>
        <v>4074.3269230769229</v>
      </c>
      <c r="G19" s="57">
        <f>+References!B26</f>
        <v>34</v>
      </c>
      <c r="H19" s="57">
        <f t="shared" si="1"/>
        <v>138527.11538461538</v>
      </c>
      <c r="I19" s="57">
        <f t="shared" si="0"/>
        <v>91311.375858552477</v>
      </c>
      <c r="J19" s="74">
        <f>I19*References!$C$55</f>
        <v>228.27843964638078</v>
      </c>
      <c r="K19" s="74">
        <f>J19/References!$G$58</f>
        <v>233.55682386574665</v>
      </c>
      <c r="L19" s="74">
        <f t="shared" si="2"/>
        <v>5.7324026342335105E-2</v>
      </c>
      <c r="M19" s="74">
        <f>+'Proposed Rates'!B22</f>
        <v>4.8458533754443325</v>
      </c>
      <c r="N19" s="74">
        <f t="shared" si="3"/>
        <v>4.9031774017866674</v>
      </c>
      <c r="O19" s="74">
        <f>+'Proposed Rates'!D22</f>
        <v>4.9031774017866674</v>
      </c>
      <c r="P19" s="74">
        <f t="shared" si="11"/>
        <v>19743.590872856028</v>
      </c>
      <c r="Q19" s="74">
        <f t="shared" si="12"/>
        <v>19977.147696721775</v>
      </c>
      <c r="R19" s="74">
        <f t="shared" si="4"/>
        <v>233.55682386574699</v>
      </c>
      <c r="S19" s="74">
        <f t="shared" ref="S19:S23" si="14">F19*N19</f>
        <v>19977.147696721775</v>
      </c>
      <c r="T19" s="74">
        <f t="shared" si="5"/>
        <v>0</v>
      </c>
      <c r="U19" s="86">
        <f t="shared" si="6"/>
        <v>4.9031774017866674</v>
      </c>
      <c r="V19" s="86">
        <f t="shared" si="13"/>
        <v>19977.147696721775</v>
      </c>
      <c r="W19" s="86">
        <f t="shared" si="7"/>
        <v>233.55682386574699</v>
      </c>
      <c r="X19" s="23">
        <f>I19*(References!$C$55/References!$G$58)</f>
        <v>233.55682386574662</v>
      </c>
      <c r="Y19" s="74">
        <f t="shared" si="8"/>
        <v>3.694822225952521E-13</v>
      </c>
      <c r="AA19" s="214">
        <f>(G19*$D$101*References!$C$55*'Whitman DF Calc'!E19)/References!$G$58</f>
        <v>5.7324026342335098E-2</v>
      </c>
      <c r="AB19" s="74">
        <f t="shared" si="9"/>
        <v>0</v>
      </c>
    </row>
    <row r="20" spans="1:28">
      <c r="A20" s="224"/>
      <c r="B20" s="31">
        <v>30</v>
      </c>
      <c r="C20" t="s">
        <v>35</v>
      </c>
      <c r="D20" s="57">
        <f>+VLOOKUP(C20,'Whitman Reg - Price Out'!B:G,6,FALSE)</f>
        <v>5.2484359961501452</v>
      </c>
      <c r="E20" s="66">
        <f>+References!$B$12</f>
        <v>1</v>
      </c>
      <c r="F20" s="57">
        <f>D20*E20*References!$B$50</f>
        <v>62.981231953801739</v>
      </c>
      <c r="G20" s="57">
        <f>+References!B48</f>
        <v>125</v>
      </c>
      <c r="H20" s="57">
        <f t="shared" si="1"/>
        <v>7872.6539942252175</v>
      </c>
      <c r="I20" s="57">
        <f t="shared" si="0"/>
        <v>5189.329654884802</v>
      </c>
      <c r="J20" s="74">
        <f>I20*References!$C$55</f>
        <v>12.97332413721198</v>
      </c>
      <c r="K20" s="74">
        <f>J20/References!$G$58</f>
        <v>13.273300733795764</v>
      </c>
      <c r="L20" s="74">
        <f t="shared" si="2"/>
        <v>0.21075009684682022</v>
      </c>
      <c r="M20" s="74">
        <f>+'Proposed Rates'!B27</f>
        <v>24.0585785861924</v>
      </c>
      <c r="N20" s="74">
        <f t="shared" si="3"/>
        <v>24.26932868303922</v>
      </c>
      <c r="O20" s="74">
        <f>+'Proposed Rates'!D27</f>
        <v>24.26932868303922</v>
      </c>
      <c r="P20" s="74">
        <f t="shared" si="11"/>
        <v>1515.238918415751</v>
      </c>
      <c r="Q20" s="74">
        <f t="shared" si="12"/>
        <v>1528.5122191495468</v>
      </c>
      <c r="R20" s="74">
        <f t="shared" si="4"/>
        <v>13.27330073379585</v>
      </c>
      <c r="S20" s="74">
        <f t="shared" si="14"/>
        <v>1528.5122191495468</v>
      </c>
      <c r="T20" s="74">
        <f t="shared" si="5"/>
        <v>0</v>
      </c>
      <c r="U20" s="86">
        <f t="shared" si="6"/>
        <v>24.26932868303922</v>
      </c>
      <c r="V20" s="86">
        <f t="shared" si="13"/>
        <v>1528.5122191495468</v>
      </c>
      <c r="W20" s="86">
        <f t="shared" si="7"/>
        <v>13.27330073379585</v>
      </c>
      <c r="X20" s="23">
        <f>I20*(References!$C$55/References!$G$58)</f>
        <v>13.273300733795764</v>
      </c>
      <c r="Y20" s="74">
        <f t="shared" si="8"/>
        <v>8.5265128291212022E-14</v>
      </c>
      <c r="AA20" s="214">
        <f>(G20*$D$101*References!$C$55*'Whitman DF Calc'!E20)/References!$G$58</f>
        <v>0.2107500968468202</v>
      </c>
      <c r="AB20" s="74">
        <f t="shared" si="9"/>
        <v>0</v>
      </c>
    </row>
    <row r="21" spans="1:28">
      <c r="A21" s="224"/>
      <c r="B21" s="31">
        <v>21</v>
      </c>
      <c r="C21" t="s">
        <v>37</v>
      </c>
      <c r="D21" s="57">
        <f>+VLOOKUP(C21,'Whitman Reg - Price Out'!B:G,6,FALSE)</f>
        <v>3.333733974358974</v>
      </c>
      <c r="E21" s="66">
        <f>+References!$B$12</f>
        <v>1</v>
      </c>
      <c r="F21" s="57">
        <f>D21*E21*References!$B$50</f>
        <v>40.004807692307686</v>
      </c>
      <c r="G21" s="217">
        <v>0</v>
      </c>
      <c r="H21" s="57">
        <f t="shared" si="1"/>
        <v>0</v>
      </c>
      <c r="I21" s="57">
        <f t="shared" si="0"/>
        <v>0</v>
      </c>
      <c r="J21" s="74">
        <f>I21*References!$C$55</f>
        <v>0</v>
      </c>
      <c r="K21" s="74">
        <f>J21/References!$G$58</f>
        <v>0</v>
      </c>
      <c r="L21" s="74">
        <f t="shared" si="2"/>
        <v>0</v>
      </c>
      <c r="M21" s="74">
        <f>+'Proposed Rates'!B7</f>
        <v>4.8458533754443325</v>
      </c>
      <c r="N21" s="74">
        <f t="shared" si="3"/>
        <v>4.8458533754443325</v>
      </c>
      <c r="O21" s="74">
        <f>+'Proposed Rates'!D7</f>
        <v>4.8458533754443325</v>
      </c>
      <c r="P21" s="74">
        <f t="shared" si="11"/>
        <v>193.85743238977059</v>
      </c>
      <c r="Q21" s="74">
        <f t="shared" si="12"/>
        <v>193.85743238977059</v>
      </c>
      <c r="R21" s="74">
        <f t="shared" si="4"/>
        <v>0</v>
      </c>
      <c r="S21" s="74">
        <f t="shared" si="14"/>
        <v>193.85743238977059</v>
      </c>
      <c r="T21" s="74">
        <f t="shared" si="5"/>
        <v>0</v>
      </c>
      <c r="U21" s="86">
        <f t="shared" si="6"/>
        <v>4.8458533754443325</v>
      </c>
      <c r="V21" s="86">
        <f t="shared" si="13"/>
        <v>193.85743238977059</v>
      </c>
      <c r="W21" s="86">
        <f t="shared" si="7"/>
        <v>0</v>
      </c>
      <c r="X21" s="23">
        <f>I21*(References!$C$55/References!$G$58)</f>
        <v>0</v>
      </c>
      <c r="Y21" s="74">
        <f t="shared" si="8"/>
        <v>0</v>
      </c>
      <c r="AA21" s="214">
        <f>(G21*$D$101*References!$C$55*'Whitman DF Calc'!E21)/References!$G$58</f>
        <v>0</v>
      </c>
      <c r="AB21" s="74">
        <f t="shared" si="9"/>
        <v>0</v>
      </c>
    </row>
    <row r="22" spans="1:28">
      <c r="A22" s="224"/>
      <c r="B22" s="31">
        <v>21</v>
      </c>
      <c r="C22" t="s">
        <v>39</v>
      </c>
      <c r="D22" s="57">
        <f>+VLOOKUP(C22,'Whitman Reg - Price Out'!B:G,6,FALSE)</f>
        <v>1.9158653846153844</v>
      </c>
      <c r="E22" s="66">
        <f>+References!$B$12</f>
        <v>1</v>
      </c>
      <c r="F22" s="57">
        <f>D22*E22*References!$B$50</f>
        <v>22.990384615384613</v>
      </c>
      <c r="G22" s="217">
        <v>0</v>
      </c>
      <c r="H22" s="57">
        <f t="shared" si="1"/>
        <v>0</v>
      </c>
      <c r="I22" s="57">
        <f t="shared" si="0"/>
        <v>0</v>
      </c>
      <c r="J22" s="74">
        <f>I22*References!$C$55</f>
        <v>0</v>
      </c>
      <c r="K22" s="74">
        <f>J22/References!$G$58</f>
        <v>0</v>
      </c>
      <c r="L22" s="74">
        <f t="shared" si="2"/>
        <v>0</v>
      </c>
      <c r="M22" s="74">
        <f>+'Proposed Rates'!B7</f>
        <v>4.8458533754443325</v>
      </c>
      <c r="N22" s="74">
        <f t="shared" si="3"/>
        <v>4.8458533754443325</v>
      </c>
      <c r="O22" s="74">
        <f>+'Proposed Rates'!D7</f>
        <v>4.8458533754443325</v>
      </c>
      <c r="P22" s="74">
        <f t="shared" si="11"/>
        <v>111.40803289122498</v>
      </c>
      <c r="Q22" s="74">
        <f t="shared" si="12"/>
        <v>111.40803289122498</v>
      </c>
      <c r="R22" s="74">
        <f t="shared" si="4"/>
        <v>0</v>
      </c>
      <c r="S22" s="74">
        <f t="shared" si="14"/>
        <v>111.40803289122498</v>
      </c>
      <c r="T22" s="74">
        <f t="shared" si="5"/>
        <v>0</v>
      </c>
      <c r="U22" s="86">
        <f t="shared" si="6"/>
        <v>4.8458533754443325</v>
      </c>
      <c r="V22" s="86">
        <f t="shared" si="13"/>
        <v>111.40803289122498</v>
      </c>
      <c r="W22" s="86">
        <f t="shared" si="7"/>
        <v>0</v>
      </c>
      <c r="X22" s="23">
        <f>I22*(References!$C$55/References!$G$58)</f>
        <v>0</v>
      </c>
      <c r="Y22" s="74">
        <f t="shared" si="8"/>
        <v>0</v>
      </c>
      <c r="AA22" s="214">
        <f>(G22*$D$101*References!$C$55*'Whitman DF Calc'!E22)/References!$G$58</f>
        <v>0</v>
      </c>
      <c r="AB22" s="74">
        <f t="shared" si="9"/>
        <v>0</v>
      </c>
    </row>
    <row r="23" spans="1:28">
      <c r="A23" s="224"/>
      <c r="B23" s="31">
        <v>30</v>
      </c>
      <c r="C23" t="s">
        <v>41</v>
      </c>
      <c r="D23" s="57">
        <f>+VLOOKUP(C23,'Whitman Reg - Price Out'!B:G,6,FALSE)</f>
        <v>1.0410250240615977</v>
      </c>
      <c r="E23" s="66">
        <f>+References!$B$12</f>
        <v>1</v>
      </c>
      <c r="F23" s="57">
        <f>D23*E23*References!$B$50</f>
        <v>12.492300288739173</v>
      </c>
      <c r="G23" s="57">
        <f>+References!B48</f>
        <v>125</v>
      </c>
      <c r="H23" s="57">
        <f t="shared" si="1"/>
        <v>1561.5375360923967</v>
      </c>
      <c r="I23" s="57">
        <f t="shared" si="0"/>
        <v>1029.3013066754886</v>
      </c>
      <c r="J23" s="74">
        <f>I23*References!$C$55</f>
        <v>2.5732532666887167</v>
      </c>
      <c r="K23" s="74">
        <f>J23/References!$G$58</f>
        <v>2.632753495691341</v>
      </c>
      <c r="L23" s="74">
        <f t="shared" si="2"/>
        <v>0.21075009684682022</v>
      </c>
      <c r="M23" s="74">
        <f>+'Proposed Rates'!B27</f>
        <v>24.0585785861924</v>
      </c>
      <c r="N23" s="74">
        <f t="shared" si="3"/>
        <v>24.26932868303922</v>
      </c>
      <c r="O23" s="74">
        <f>+'Proposed Rates'!D27</f>
        <v>24.26932868303922</v>
      </c>
      <c r="P23" s="74">
        <f t="shared" si="11"/>
        <v>300.54698821894539</v>
      </c>
      <c r="Q23" s="74">
        <f t="shared" si="12"/>
        <v>303.17974171463675</v>
      </c>
      <c r="R23" s="74">
        <f t="shared" si="4"/>
        <v>2.632753495691361</v>
      </c>
      <c r="S23" s="74">
        <f t="shared" si="14"/>
        <v>303.17974171463675</v>
      </c>
      <c r="T23" s="74">
        <f t="shared" si="5"/>
        <v>0</v>
      </c>
      <c r="U23" s="86">
        <f t="shared" si="6"/>
        <v>24.26932868303922</v>
      </c>
      <c r="V23" s="86">
        <f t="shared" si="13"/>
        <v>303.17974171463675</v>
      </c>
      <c r="W23" s="86">
        <f t="shared" si="7"/>
        <v>2.632753495691361</v>
      </c>
      <c r="X23" s="23">
        <f>I23*(References!$C$55/References!$G$58)</f>
        <v>2.632753495691341</v>
      </c>
      <c r="Y23" s="74">
        <f t="shared" si="8"/>
        <v>1.9984014443252818E-14</v>
      </c>
      <c r="AA23" s="214">
        <f>(G23*$D$101*References!$C$55*'Whitman DF Calc'!E23)/References!$G$58</f>
        <v>0.2107500968468202</v>
      </c>
      <c r="AB23" s="74">
        <f t="shared" si="9"/>
        <v>0</v>
      </c>
    </row>
    <row r="24" spans="1:28">
      <c r="A24" s="52"/>
      <c r="B24" s="50"/>
      <c r="C24" s="208" t="s">
        <v>0</v>
      </c>
      <c r="D24" s="209">
        <f>SUM(D6:D23)</f>
        <v>3703.8144548701293</v>
      </c>
      <c r="E24" s="210"/>
      <c r="F24" s="209">
        <f>SUM(F6:F23)</f>
        <v>176737.61630658963</v>
      </c>
      <c r="G24" s="211"/>
      <c r="H24" s="209">
        <f>SUM(H6:H23)</f>
        <v>9062368.0549275614</v>
      </c>
      <c r="I24" s="209">
        <f>SUM(I6:I23)</f>
        <v>5973540.2223204756</v>
      </c>
      <c r="J24" s="212"/>
      <c r="K24" s="212"/>
      <c r="L24" s="213"/>
      <c r="M24" s="213"/>
      <c r="N24" s="213"/>
      <c r="O24" s="213"/>
      <c r="P24" s="212">
        <f>SUM(P6:P23)</f>
        <v>1233157.9233001329</v>
      </c>
      <c r="Q24" s="212">
        <f>SUM(Q6:Q23)</f>
        <v>1248436.1083535852</v>
      </c>
      <c r="R24" s="212">
        <f>SUM(R6:R23)</f>
        <v>15278.185053452386</v>
      </c>
      <c r="S24" s="212">
        <f>SUM(S6:S23)</f>
        <v>1248436.1083535852</v>
      </c>
      <c r="T24" s="212">
        <f t="shared" si="5"/>
        <v>0</v>
      </c>
      <c r="U24" s="212"/>
      <c r="V24" s="212">
        <f>SUM(V6:V23)</f>
        <v>1248437.082862033</v>
      </c>
      <c r="W24" s="212">
        <f>SUM(W6:W23)</f>
        <v>15279.159561900206</v>
      </c>
    </row>
    <row r="25" spans="1:28" ht="15" customHeight="1">
      <c r="A25" s="225" t="s">
        <v>254</v>
      </c>
      <c r="B25" s="31">
        <v>37</v>
      </c>
      <c r="C25" t="s">
        <v>52</v>
      </c>
      <c r="D25" s="57">
        <f>+VLOOKUP(C25,'Whitman Reg - Price Out'!B:G,6,FALSE)</f>
        <v>255.90043956043959</v>
      </c>
      <c r="E25" s="66">
        <f>+References!B10</f>
        <v>4.333333333333333</v>
      </c>
      <c r="F25" s="57">
        <f>D25*E25*References!$B$50</f>
        <v>13306.822857142859</v>
      </c>
      <c r="G25" s="57">
        <f>+References!B29</f>
        <v>175</v>
      </c>
      <c r="H25" s="57">
        <f t="shared" ref="H25:H80" si="15">F25*G25</f>
        <v>2328694.0000000005</v>
      </c>
      <c r="I25" s="57">
        <f t="shared" ref="I25:I56" si="16">H25*$D$101</f>
        <v>1534979.2890957082</v>
      </c>
      <c r="J25" s="74">
        <f>I25*References!$C$55</f>
        <v>3837.4482227392632</v>
      </c>
      <c r="K25" s="74">
        <f>J25/References!$G$58</f>
        <v>3926.1798882128742</v>
      </c>
      <c r="L25" s="74">
        <f>K25/F25</f>
        <v>0.29505013558554832</v>
      </c>
      <c r="M25" s="74">
        <f>+'Proposed Rates'!B35</f>
        <v>18.456010020669357</v>
      </c>
      <c r="N25" s="74">
        <f t="shared" ref="N25:N80" si="17">L25+M25</f>
        <v>18.751060156254905</v>
      </c>
      <c r="O25" s="74">
        <f>+'Proposed Rates'!D35</f>
        <v>18.751060156254905</v>
      </c>
      <c r="P25" s="74">
        <f>F25*M25</f>
        <v>245590.85599470066</v>
      </c>
      <c r="Q25" s="74">
        <f>F25*O25</f>
        <v>249517.03588291351</v>
      </c>
      <c r="R25" s="74">
        <f>Q25-P25</f>
        <v>3926.1798882128496</v>
      </c>
      <c r="S25" s="74">
        <f>F25*N25</f>
        <v>249517.03588291351</v>
      </c>
      <c r="T25" s="74">
        <f>Q25-S25</f>
        <v>0</v>
      </c>
      <c r="U25" s="86">
        <f>N25</f>
        <v>18.751060156254905</v>
      </c>
      <c r="V25" s="86">
        <f>F25*U25</f>
        <v>249517.03588291351</v>
      </c>
      <c r="W25" s="86">
        <f>V25-P25</f>
        <v>3926.1798882128496</v>
      </c>
      <c r="X25" s="23">
        <f>I25*(References!$C$55/References!$G$58)</f>
        <v>3926.1798882128742</v>
      </c>
      <c r="Y25" s="74">
        <f t="shared" ref="Y25:Y80" si="18">W25-X25</f>
        <v>-2.4556356947869062E-11</v>
      </c>
      <c r="AA25" s="214">
        <f>(G25*$D$101*References!$C$55)/References!$G$58</f>
        <v>0.29505013558554827</v>
      </c>
      <c r="AB25" s="74">
        <f t="shared" ref="AB25" si="19">L25-AA25</f>
        <v>0</v>
      </c>
    </row>
    <row r="26" spans="1:28" ht="15" customHeight="1">
      <c r="A26" s="221"/>
      <c r="B26" s="31">
        <v>37</v>
      </c>
      <c r="C26" t="s">
        <v>459</v>
      </c>
      <c r="D26" s="57">
        <f>+VLOOKUP(C26,'Whitman Reg - Price Out'!B:G,6,FALSE)</f>
        <v>0.83333333333333337</v>
      </c>
      <c r="E26" s="66">
        <f>+References!B10</f>
        <v>4.333333333333333</v>
      </c>
      <c r="F26" s="57">
        <f>D26*E26*References!$B$50</f>
        <v>43.333333333333336</v>
      </c>
      <c r="G26" s="57">
        <f>+References!B29*2</f>
        <v>350</v>
      </c>
      <c r="H26" s="57">
        <f t="shared" ref="H26" si="20">F26*G26</f>
        <v>15166.666666666668</v>
      </c>
      <c r="I26" s="57">
        <f t="shared" si="16"/>
        <v>9997.2427540722692</v>
      </c>
      <c r="J26" s="74">
        <f>I26*References!$C$55</f>
        <v>24.993106885180627</v>
      </c>
      <c r="K26" s="74">
        <f>J26/References!$G$58</f>
        <v>25.57101175074752</v>
      </c>
      <c r="L26" s="74">
        <f>K26/(F26*2)</f>
        <v>0.29505013558554827</v>
      </c>
      <c r="M26" s="74">
        <f>+'Proposed Rates'!B35</f>
        <v>18.456010020669357</v>
      </c>
      <c r="N26" s="74">
        <f t="shared" si="17"/>
        <v>18.751060156254905</v>
      </c>
      <c r="O26" s="74">
        <f>+'Proposed Rates'!D35</f>
        <v>18.751060156254905</v>
      </c>
      <c r="P26" s="74">
        <f>F26*M26*2</f>
        <v>1599.5208684580109</v>
      </c>
      <c r="Q26" s="74">
        <f>F26*O26*2</f>
        <v>1625.0918802087585</v>
      </c>
      <c r="R26" s="74">
        <f>Q26-P26</f>
        <v>25.57101175074763</v>
      </c>
      <c r="S26" s="74">
        <f>F26*N26*2</f>
        <v>1625.0918802087585</v>
      </c>
      <c r="T26" s="74">
        <f>Q26-S26</f>
        <v>0</v>
      </c>
      <c r="U26" s="86">
        <f>N26</f>
        <v>18.751060156254905</v>
      </c>
      <c r="V26" s="86">
        <f>F26*U26*2</f>
        <v>1625.0918802087585</v>
      </c>
      <c r="W26" s="86">
        <f>V26-P26</f>
        <v>25.57101175074763</v>
      </c>
      <c r="X26" s="23">
        <f>I26*(References!$C$55/References!$G$58)</f>
        <v>25.57101175074752</v>
      </c>
      <c r="Y26" s="74">
        <f t="shared" ref="Y26" si="21">W26-X26</f>
        <v>1.1013412404281553E-13</v>
      </c>
      <c r="AA26" s="214">
        <f>(G26*$D$101*References!$C$55)/2/References!$G$58</f>
        <v>0.29505013558554827</v>
      </c>
      <c r="AB26" s="74">
        <f t="shared" ref="AB26:AB80" si="22">L26-AA26</f>
        <v>0</v>
      </c>
    </row>
    <row r="27" spans="1:28" ht="15" customHeight="1">
      <c r="A27" s="221"/>
      <c r="B27" s="31">
        <v>37</v>
      </c>
      <c r="C27" t="s">
        <v>345</v>
      </c>
      <c r="D27" s="57">
        <f>+VLOOKUP(C27,'Whitman Reg - Price Out'!B:G,6,FALSE)</f>
        <v>1</v>
      </c>
      <c r="E27" s="66">
        <f>+References!B12</f>
        <v>1</v>
      </c>
      <c r="F27" s="57">
        <f>D27*E27*References!$B$50</f>
        <v>12</v>
      </c>
      <c r="G27" s="57">
        <f>+References!B29</f>
        <v>175</v>
      </c>
      <c r="H27" s="57">
        <f t="shared" ref="H27" si="23">F27*G27</f>
        <v>2100</v>
      </c>
      <c r="I27" s="57">
        <f t="shared" si="16"/>
        <v>1384.2336121023143</v>
      </c>
      <c r="J27" s="74">
        <f>I27*References!$C$55</f>
        <v>3.4605840302557791</v>
      </c>
      <c r="K27" s="74">
        <f>J27/References!$G$58</f>
        <v>3.5406016270265797</v>
      </c>
      <c r="L27" s="74">
        <f t="shared" ref="L27:L55" si="24">K27/F27</f>
        <v>0.29505013558554832</v>
      </c>
      <c r="M27" s="74">
        <f>+'Proposed Rates'!B35</f>
        <v>18.456010020669357</v>
      </c>
      <c r="N27" s="74">
        <f t="shared" si="17"/>
        <v>18.751060156254905</v>
      </c>
      <c r="O27" s="74">
        <f>+'Proposed Rates'!D35</f>
        <v>18.751060156254905</v>
      </c>
      <c r="P27" s="74">
        <f t="shared" ref="P27:P80" si="25">F27*M27</f>
        <v>221.4721202480323</v>
      </c>
      <c r="Q27" s="74">
        <f t="shared" ref="Q27:Q80" si="26">F27*O27</f>
        <v>225.01272187505884</v>
      </c>
      <c r="R27" s="74">
        <f t="shared" ref="R27:R80" si="27">Q27-P27</f>
        <v>3.5406016270265468</v>
      </c>
      <c r="S27" s="74">
        <f t="shared" ref="S27:S80" si="28">F27*N27</f>
        <v>225.01272187505884</v>
      </c>
      <c r="T27" s="74">
        <f t="shared" ref="T27:T80" si="29">Q27-S27</f>
        <v>0</v>
      </c>
      <c r="U27" s="86">
        <f t="shared" ref="U27:U80" si="30">N27</f>
        <v>18.751060156254905</v>
      </c>
      <c r="V27" s="86">
        <f t="shared" ref="V27:V80" si="31">F27*U27</f>
        <v>225.01272187505884</v>
      </c>
      <c r="W27" s="86">
        <f t="shared" ref="W27:W80" si="32">V27-P27</f>
        <v>3.5406016270265468</v>
      </c>
      <c r="X27" s="23">
        <f>I27*(References!$C$55/References!$G$58)</f>
        <v>3.5406016270265797</v>
      </c>
      <c r="Y27" s="74">
        <f t="shared" si="18"/>
        <v>-3.2862601528904634E-14</v>
      </c>
      <c r="AA27" s="214">
        <f>(G27*$D$101*References!$C$55)/References!$G$58</f>
        <v>0.29505013558554827</v>
      </c>
      <c r="AB27" s="74">
        <f t="shared" si="22"/>
        <v>0</v>
      </c>
    </row>
    <row r="28" spans="1:28">
      <c r="A28" s="221"/>
      <c r="B28" s="31">
        <v>37</v>
      </c>
      <c r="C28" t="s">
        <v>54</v>
      </c>
      <c r="D28" s="57">
        <f>+VLOOKUP(C28,'Whitman Reg - Price Out'!B:G,6,FALSE)</f>
        <v>1</v>
      </c>
      <c r="E28" s="66">
        <f>+References!B8</f>
        <v>13</v>
      </c>
      <c r="F28" s="57">
        <f>D28*E28*References!$B$50</f>
        <v>156</v>
      </c>
      <c r="G28" s="57">
        <f>+References!B29</f>
        <v>175</v>
      </c>
      <c r="H28" s="57">
        <f t="shared" si="15"/>
        <v>27300</v>
      </c>
      <c r="I28" s="57">
        <f t="shared" si="16"/>
        <v>17995.036957330085</v>
      </c>
      <c r="J28" s="74">
        <f>I28*References!$C$55</f>
        <v>44.98759239332513</v>
      </c>
      <c r="K28" s="74">
        <f>J28/References!$G$58</f>
        <v>46.027821151345535</v>
      </c>
      <c r="L28" s="74">
        <f t="shared" si="24"/>
        <v>0.29505013558554832</v>
      </c>
      <c r="M28" s="74">
        <f>+'Proposed Rates'!B35</f>
        <v>18.456010020669357</v>
      </c>
      <c r="N28" s="74">
        <f t="shared" si="17"/>
        <v>18.751060156254905</v>
      </c>
      <c r="O28" s="74">
        <f>+'Proposed Rates'!D35</f>
        <v>18.751060156254905</v>
      </c>
      <c r="P28" s="74">
        <f t="shared" si="25"/>
        <v>2879.1375632244199</v>
      </c>
      <c r="Q28" s="74">
        <f t="shared" si="26"/>
        <v>2925.1653843757654</v>
      </c>
      <c r="R28" s="74">
        <f t="shared" si="27"/>
        <v>46.027821151345506</v>
      </c>
      <c r="S28" s="74">
        <f t="shared" si="28"/>
        <v>2925.1653843757654</v>
      </c>
      <c r="T28" s="74">
        <f t="shared" si="29"/>
        <v>0</v>
      </c>
      <c r="U28" s="86">
        <f t="shared" si="30"/>
        <v>18.751060156254905</v>
      </c>
      <c r="V28" s="86">
        <f t="shared" si="31"/>
        <v>2925.1653843757654</v>
      </c>
      <c r="W28" s="86">
        <f t="shared" si="32"/>
        <v>46.027821151345506</v>
      </c>
      <c r="X28" s="23">
        <f>I28*(References!$C$55/References!$G$58)</f>
        <v>46.027821151345535</v>
      </c>
      <c r="Y28" s="74">
        <f t="shared" si="18"/>
        <v>0</v>
      </c>
      <c r="AA28" s="214">
        <f>(G28*$D$101*References!$C$55)/References!$G$58</f>
        <v>0.29505013558554827</v>
      </c>
      <c r="AB28" s="74">
        <f t="shared" si="22"/>
        <v>0</v>
      </c>
    </row>
    <row r="29" spans="1:28">
      <c r="A29" s="221"/>
      <c r="B29" s="31">
        <v>37</v>
      </c>
      <c r="C29" t="s">
        <v>56</v>
      </c>
      <c r="D29" s="57">
        <f>+VLOOKUP(C29,'Whitman Reg - Price Out'!B:G,6,FALSE)</f>
        <v>5.0000000000000009</v>
      </c>
      <c r="E29" s="66">
        <f>+References!B12</f>
        <v>1</v>
      </c>
      <c r="F29" s="57">
        <f>D29*E29*References!$B$50</f>
        <v>60.000000000000014</v>
      </c>
      <c r="G29" s="57">
        <f>+References!B30</f>
        <v>250</v>
      </c>
      <c r="H29" s="57">
        <f t="shared" si="15"/>
        <v>15000.000000000004</v>
      </c>
      <c r="I29" s="57">
        <f t="shared" si="16"/>
        <v>9887.3829435879616</v>
      </c>
      <c r="J29" s="74">
        <f>I29*References!$C$55</f>
        <v>24.718457358969857</v>
      </c>
      <c r="K29" s="74">
        <f>J29/References!$G$58</f>
        <v>25.290011621618433</v>
      </c>
      <c r="L29" s="74">
        <f t="shared" si="24"/>
        <v>0.42150019369364045</v>
      </c>
      <c r="M29" s="74">
        <f>+'Proposed Rates'!B36</f>
        <v>27.777157172384801</v>
      </c>
      <c r="N29" s="74">
        <f t="shared" si="17"/>
        <v>28.198657366078439</v>
      </c>
      <c r="O29" s="74">
        <f>+'Proposed Rates'!D36</f>
        <v>28.198657366078439</v>
      </c>
      <c r="P29" s="74">
        <f t="shared" si="25"/>
        <v>1666.6294303430884</v>
      </c>
      <c r="Q29" s="74">
        <f t="shared" si="26"/>
        <v>1691.9194419647067</v>
      </c>
      <c r="R29" s="74">
        <f t="shared" si="27"/>
        <v>25.290011621618305</v>
      </c>
      <c r="S29" s="74">
        <f t="shared" si="28"/>
        <v>1691.9194419647067</v>
      </c>
      <c r="T29" s="74">
        <f t="shared" si="29"/>
        <v>0</v>
      </c>
      <c r="U29" s="86">
        <f t="shared" si="30"/>
        <v>28.198657366078439</v>
      </c>
      <c r="V29" s="86">
        <f t="shared" si="31"/>
        <v>1691.9194419647067</v>
      </c>
      <c r="W29" s="86">
        <f t="shared" si="32"/>
        <v>25.290011621618305</v>
      </c>
      <c r="X29" s="23">
        <f>I29*(References!$C$55/References!$G$58)</f>
        <v>25.290011621618433</v>
      </c>
      <c r="Y29" s="74">
        <f t="shared" si="18"/>
        <v>-1.2789769243681803E-13</v>
      </c>
      <c r="AA29" s="214">
        <f>(G29*$D$101*References!$C$55)/References!$G$58</f>
        <v>0.42150019369364039</v>
      </c>
      <c r="AB29" s="74">
        <f t="shared" si="22"/>
        <v>0</v>
      </c>
    </row>
    <row r="30" spans="1:28">
      <c r="A30" s="221"/>
      <c r="B30" s="31">
        <v>37</v>
      </c>
      <c r="C30" t="s">
        <v>58</v>
      </c>
      <c r="D30" s="57">
        <f>+VLOOKUP(C30,'Whitman Reg - Price Out'!B:G,6,FALSE)</f>
        <v>89.815307213688513</v>
      </c>
      <c r="E30" s="66">
        <f>+References!$B$10</f>
        <v>4.333333333333333</v>
      </c>
      <c r="F30" s="57">
        <f>D30*E30*References!$B$50</f>
        <v>4670.3959751118027</v>
      </c>
      <c r="G30" s="57">
        <f>+References!B30</f>
        <v>250</v>
      </c>
      <c r="H30" s="57">
        <f t="shared" si="15"/>
        <v>1167598.9937779508</v>
      </c>
      <c r="I30" s="57">
        <f t="shared" si="16"/>
        <v>769633.22506870492</v>
      </c>
      <c r="J30" s="74">
        <f>I30*References!$C$55</f>
        <v>1924.0830626717586</v>
      </c>
      <c r="K30" s="74">
        <f>J30/References!$G$58</f>
        <v>1968.5728081356235</v>
      </c>
      <c r="L30" s="74">
        <f t="shared" si="24"/>
        <v>0.42150019369364045</v>
      </c>
      <c r="M30" s="74">
        <f>+'Proposed Rates'!B36</f>
        <v>27.777157172384801</v>
      </c>
      <c r="N30" s="74">
        <f t="shared" si="17"/>
        <v>28.198657366078439</v>
      </c>
      <c r="O30" s="74">
        <f>+'Proposed Rates'!D36</f>
        <v>28.198657366078439</v>
      </c>
      <c r="P30" s="74">
        <f t="shared" si="25"/>
        <v>129730.32305795391</v>
      </c>
      <c r="Q30" s="74">
        <f t="shared" si="26"/>
        <v>131698.89586608953</v>
      </c>
      <c r="R30" s="74">
        <f t="shared" si="27"/>
        <v>1968.572808135621</v>
      </c>
      <c r="S30" s="74">
        <f t="shared" si="28"/>
        <v>131698.89586608953</v>
      </c>
      <c r="T30" s="74">
        <f t="shared" si="29"/>
        <v>0</v>
      </c>
      <c r="U30" s="86">
        <f t="shared" si="30"/>
        <v>28.198657366078439</v>
      </c>
      <c r="V30" s="86">
        <f t="shared" si="31"/>
        <v>131698.89586608953</v>
      </c>
      <c r="W30" s="86">
        <f t="shared" si="32"/>
        <v>1968.572808135621</v>
      </c>
      <c r="X30" s="23">
        <f>I30*(References!$C$55/References!$G$58)</f>
        <v>1968.5728081356237</v>
      </c>
      <c r="Y30" s="74">
        <f t="shared" si="18"/>
        <v>-2.7284841053187847E-12</v>
      </c>
      <c r="AA30" s="214">
        <f>(G30*$D$101*References!$C$55)/References!$G$58</f>
        <v>0.42150019369364039</v>
      </c>
      <c r="AB30" s="74">
        <f t="shared" si="22"/>
        <v>0</v>
      </c>
    </row>
    <row r="31" spans="1:28">
      <c r="A31" s="221"/>
      <c r="B31" s="31">
        <v>37</v>
      </c>
      <c r="C31" t="s">
        <v>60</v>
      </c>
      <c r="D31" s="57">
        <f>+VLOOKUP(C31,'Whitman Reg - Price Out'!B:G,6,FALSE)</f>
        <v>1.3750020253082518</v>
      </c>
      <c r="E31" s="134">
        <f>+References!$B$10</f>
        <v>4.333333333333333</v>
      </c>
      <c r="F31" s="60">
        <f>D31*E31*References!$B$50</f>
        <v>71.500105316029092</v>
      </c>
      <c r="G31" s="60">
        <f>+References!B30*2</f>
        <v>500</v>
      </c>
      <c r="H31" s="57">
        <f t="shared" si="15"/>
        <v>35750.052658014545</v>
      </c>
      <c r="I31" s="57">
        <f t="shared" si="16"/>
        <v>23564.964058881626</v>
      </c>
      <c r="J31" s="74">
        <f>I31*References!$C$55</f>
        <v>58.91241014720395</v>
      </c>
      <c r="K31" s="74">
        <f>J31/References!$G$58</f>
        <v>60.274616479643896</v>
      </c>
      <c r="L31" s="74">
        <f>K31/(F31*2)</f>
        <v>0.42150019369364039</v>
      </c>
      <c r="M31" s="74">
        <f>+'Proposed Rates'!B36</f>
        <v>27.777157172384801</v>
      </c>
      <c r="N31" s="74">
        <f>L31+M31</f>
        <v>28.198657366078439</v>
      </c>
      <c r="O31" s="74">
        <f>+'Proposed Rates'!D36</f>
        <v>28.198657366078439</v>
      </c>
      <c r="P31" s="74">
        <f>F31*2*M31</f>
        <v>3972.1393264108124</v>
      </c>
      <c r="Q31" s="74">
        <f>F31*2*O31</f>
        <v>4032.4139428904559</v>
      </c>
      <c r="R31" s="74">
        <f t="shared" si="27"/>
        <v>60.274616479643555</v>
      </c>
      <c r="S31" s="74">
        <f>F31*2*N31</f>
        <v>4032.4139428904559</v>
      </c>
      <c r="T31" s="74">
        <f t="shared" si="29"/>
        <v>0</v>
      </c>
      <c r="U31" s="86">
        <f t="shared" si="30"/>
        <v>28.198657366078439</v>
      </c>
      <c r="V31" s="86">
        <f>F31*2*U31</f>
        <v>4032.4139428904559</v>
      </c>
      <c r="W31" s="86">
        <f t="shared" si="32"/>
        <v>60.274616479643555</v>
      </c>
      <c r="X31" s="23">
        <f>I31*(References!$C$55/References!$G$58)</f>
        <v>60.274616479643903</v>
      </c>
      <c r="Y31" s="74">
        <f t="shared" si="18"/>
        <v>-3.4816594052244909E-13</v>
      </c>
      <c r="AA31" s="214">
        <f>(G31*$D$101*References!$C$55)/2/References!$G$58</f>
        <v>0.42150019369364039</v>
      </c>
      <c r="AB31" s="74">
        <f t="shared" si="22"/>
        <v>0</v>
      </c>
    </row>
    <row r="32" spans="1:28">
      <c r="A32" s="221"/>
      <c r="B32" s="31">
        <v>37</v>
      </c>
      <c r="C32" t="s">
        <v>62</v>
      </c>
      <c r="D32" s="57">
        <f>+VLOOKUP(C32,'Whitman Reg - Price Out'!B:G,6,FALSE)</f>
        <v>0.83333333333333348</v>
      </c>
      <c r="E32" s="134">
        <f>+References!$B$10</f>
        <v>4.333333333333333</v>
      </c>
      <c r="F32" s="60">
        <f>D32*E32*References!$B$50</f>
        <v>43.333333333333343</v>
      </c>
      <c r="G32" s="60">
        <f>+References!B30*3</f>
        <v>750</v>
      </c>
      <c r="H32" s="57">
        <f t="shared" si="15"/>
        <v>32500.000000000007</v>
      </c>
      <c r="I32" s="57">
        <f t="shared" si="16"/>
        <v>21422.663044440582</v>
      </c>
      <c r="J32" s="74">
        <f>I32*References!$C$55</f>
        <v>53.55665761110135</v>
      </c>
      <c r="K32" s="74">
        <f>J32/References!$G$58</f>
        <v>54.795025180173262</v>
      </c>
      <c r="L32" s="74">
        <f>K32/(F32*3)</f>
        <v>0.42150019369364039</v>
      </c>
      <c r="M32" s="74">
        <f>+'Proposed Rates'!B36</f>
        <v>27.777157172384801</v>
      </c>
      <c r="N32" s="74">
        <f t="shared" si="17"/>
        <v>28.198657366078439</v>
      </c>
      <c r="O32" s="74">
        <f>+'Proposed Rates'!D36</f>
        <v>28.198657366078439</v>
      </c>
      <c r="P32" s="74">
        <f>F32*3*M32</f>
        <v>3611.0304324100248</v>
      </c>
      <c r="Q32" s="74">
        <f>F32*3*O32</f>
        <v>3665.8254575901979</v>
      </c>
      <c r="R32" s="74">
        <f t="shared" si="27"/>
        <v>54.79502518017307</v>
      </c>
      <c r="S32" s="74">
        <f>F32*3*N32</f>
        <v>3665.8254575901979</v>
      </c>
      <c r="T32" s="74">
        <f t="shared" si="29"/>
        <v>0</v>
      </c>
      <c r="U32" s="86">
        <f t="shared" si="30"/>
        <v>28.198657366078439</v>
      </c>
      <c r="V32" s="86">
        <f>F32*3*U32</f>
        <v>3665.8254575901979</v>
      </c>
      <c r="W32" s="86">
        <f t="shared" si="32"/>
        <v>54.79502518017307</v>
      </c>
      <c r="X32" s="23">
        <f>I32*(References!$C$55/References!$G$58)</f>
        <v>54.795025180173269</v>
      </c>
      <c r="Y32" s="74">
        <f t="shared" si="18"/>
        <v>-1.9895196601282805E-13</v>
      </c>
      <c r="AA32" s="214">
        <f>(G32*$D$101*References!$C$55)/3/References!$G$58</f>
        <v>0.42150019369364045</v>
      </c>
      <c r="AB32" s="74">
        <f t="shared" si="22"/>
        <v>0</v>
      </c>
    </row>
    <row r="33" spans="1:28">
      <c r="A33" s="221"/>
      <c r="B33" s="31">
        <v>37</v>
      </c>
      <c r="C33" t="s">
        <v>64</v>
      </c>
      <c r="D33" s="57">
        <f>+VLOOKUP(C33,'Whitman Reg - Price Out'!B:G,6,FALSE)</f>
        <v>6.6666666666666687</v>
      </c>
      <c r="E33" s="66">
        <f>+References!B9</f>
        <v>8.6666666666666661</v>
      </c>
      <c r="F33" s="57">
        <f>D33*E33*References!$B$50</f>
        <v>693.33333333333348</v>
      </c>
      <c r="G33" s="57">
        <f>+References!B30</f>
        <v>250</v>
      </c>
      <c r="H33" s="57">
        <f t="shared" si="15"/>
        <v>173333.33333333337</v>
      </c>
      <c r="I33" s="57">
        <f t="shared" si="16"/>
        <v>114254.20290368309</v>
      </c>
      <c r="J33" s="74">
        <f>I33*References!$C$55</f>
        <v>285.6355072592072</v>
      </c>
      <c r="K33" s="74">
        <f>J33/References!$G$58</f>
        <v>292.24013429425742</v>
      </c>
      <c r="L33" s="74">
        <f t="shared" si="24"/>
        <v>0.42150019369364039</v>
      </c>
      <c r="M33" s="74">
        <f>+'Proposed Rates'!B36</f>
        <v>27.777157172384801</v>
      </c>
      <c r="N33" s="74">
        <f t="shared" si="17"/>
        <v>28.198657366078439</v>
      </c>
      <c r="O33" s="74">
        <f>+'Proposed Rates'!D36</f>
        <v>28.198657366078439</v>
      </c>
      <c r="P33" s="74">
        <f t="shared" si="25"/>
        <v>19258.828972853466</v>
      </c>
      <c r="Q33" s="74">
        <f t="shared" si="26"/>
        <v>19551.069107147723</v>
      </c>
      <c r="R33" s="74">
        <f t="shared" si="27"/>
        <v>292.24013429425759</v>
      </c>
      <c r="S33" s="74">
        <f t="shared" si="28"/>
        <v>19551.069107147723</v>
      </c>
      <c r="T33" s="74">
        <f t="shared" si="29"/>
        <v>0</v>
      </c>
      <c r="U33" s="86">
        <f t="shared" si="30"/>
        <v>28.198657366078439</v>
      </c>
      <c r="V33" s="86">
        <f t="shared" si="31"/>
        <v>19551.069107147723</v>
      </c>
      <c r="W33" s="86">
        <f t="shared" si="32"/>
        <v>292.24013429425759</v>
      </c>
      <c r="X33" s="23">
        <f>I33*(References!$C$55/References!$G$58)</f>
        <v>292.24013429425742</v>
      </c>
      <c r="Y33" s="74">
        <f t="shared" si="18"/>
        <v>0</v>
      </c>
      <c r="AA33" s="214">
        <f>(G33*$D$101*References!$C$55)/References!$G$58</f>
        <v>0.42150019369364039</v>
      </c>
      <c r="AB33" s="74">
        <f t="shared" si="22"/>
        <v>0</v>
      </c>
    </row>
    <row r="34" spans="1:28">
      <c r="A34" s="221"/>
      <c r="B34" s="31">
        <v>37</v>
      </c>
      <c r="C34" t="s">
        <v>66</v>
      </c>
      <c r="D34" s="57">
        <f>+VLOOKUP(C34,'Whitman Reg - Price Out'!B:G,6,FALSE)</f>
        <v>2.0000000000000004</v>
      </c>
      <c r="E34" s="66">
        <f>+References!B8</f>
        <v>13</v>
      </c>
      <c r="F34" s="57">
        <f>D34*E34*References!$B$50</f>
        <v>312.00000000000011</v>
      </c>
      <c r="G34" s="57">
        <f>+References!B30</f>
        <v>250</v>
      </c>
      <c r="H34" s="57">
        <f t="shared" si="15"/>
        <v>78000.000000000029</v>
      </c>
      <c r="I34" s="57">
        <f t="shared" si="16"/>
        <v>51414.391306657402</v>
      </c>
      <c r="J34" s="74">
        <f>I34*References!$C$55</f>
        <v>128.53597826664327</v>
      </c>
      <c r="K34" s="74">
        <f>J34/References!$G$58</f>
        <v>131.50806043241587</v>
      </c>
      <c r="L34" s="74">
        <f t="shared" si="24"/>
        <v>0.42150019369364045</v>
      </c>
      <c r="M34" s="74">
        <f>+'Proposed Rates'!B36</f>
        <v>27.777157172384801</v>
      </c>
      <c r="N34" s="74">
        <f t="shared" si="17"/>
        <v>28.198657366078439</v>
      </c>
      <c r="O34" s="74">
        <f>+'Proposed Rates'!D36</f>
        <v>28.198657366078439</v>
      </c>
      <c r="P34" s="74">
        <f t="shared" si="25"/>
        <v>8666.4730377840606</v>
      </c>
      <c r="Q34" s="74">
        <f t="shared" si="26"/>
        <v>8797.9810982164763</v>
      </c>
      <c r="R34" s="74">
        <f t="shared" si="27"/>
        <v>131.50806043241573</v>
      </c>
      <c r="S34" s="74">
        <f t="shared" si="28"/>
        <v>8797.9810982164763</v>
      </c>
      <c r="T34" s="74">
        <f t="shared" si="29"/>
        <v>0</v>
      </c>
      <c r="U34" s="86">
        <f t="shared" si="30"/>
        <v>28.198657366078439</v>
      </c>
      <c r="V34" s="86">
        <f t="shared" si="31"/>
        <v>8797.9810982164763</v>
      </c>
      <c r="W34" s="86">
        <f t="shared" si="32"/>
        <v>131.50806043241573</v>
      </c>
      <c r="X34" s="23">
        <f>I34*(References!$C$55/References!$G$58)</f>
        <v>131.50806043241585</v>
      </c>
      <c r="Y34" s="74">
        <f t="shared" si="18"/>
        <v>0</v>
      </c>
      <c r="AA34" s="214">
        <f>(G34*$D$101*References!$C$55)/References!$G$58</f>
        <v>0.42150019369364039</v>
      </c>
      <c r="AB34" s="74">
        <f t="shared" si="22"/>
        <v>0</v>
      </c>
    </row>
    <row r="35" spans="1:28">
      <c r="A35" s="221"/>
      <c r="B35" s="31">
        <v>37</v>
      </c>
      <c r="C35" t="s">
        <v>68</v>
      </c>
      <c r="D35" s="57">
        <f>+VLOOKUP(C35,'Whitman Reg - Price Out'!B:G,6,FALSE)</f>
        <v>3</v>
      </c>
      <c r="E35" s="66">
        <f>+References!B12</f>
        <v>1</v>
      </c>
      <c r="F35" s="57">
        <f>D35*E35*References!$B$50</f>
        <v>36</v>
      </c>
      <c r="G35" s="57">
        <f>+References!B32</f>
        <v>324</v>
      </c>
      <c r="H35" s="57">
        <f t="shared" si="15"/>
        <v>11664</v>
      </c>
      <c r="I35" s="57">
        <f t="shared" si="16"/>
        <v>7688.4289769339966</v>
      </c>
      <c r="J35" s="74">
        <f>I35*References!$C$55</f>
        <v>19.221072442334954</v>
      </c>
      <c r="K35" s="74">
        <f>J35/References!$G$58</f>
        <v>19.665513036970484</v>
      </c>
      <c r="L35" s="74">
        <f t="shared" si="24"/>
        <v>0.54626425102695786</v>
      </c>
      <c r="M35" s="74">
        <f>+'Proposed Rates'!B37</f>
        <v>36.996955695410698</v>
      </c>
      <c r="N35" s="74">
        <f t="shared" si="17"/>
        <v>37.543219946437652</v>
      </c>
      <c r="O35" s="74">
        <f>+'Proposed Rates'!D37</f>
        <v>37.543219946437652</v>
      </c>
      <c r="P35" s="74">
        <f t="shared" si="25"/>
        <v>1331.8904050347851</v>
      </c>
      <c r="Q35" s="74">
        <f t="shared" si="26"/>
        <v>1351.5559180717555</v>
      </c>
      <c r="R35" s="74">
        <f t="shared" si="27"/>
        <v>19.665513036970424</v>
      </c>
      <c r="S35" s="74">
        <f t="shared" si="28"/>
        <v>1351.5559180717555</v>
      </c>
      <c r="T35" s="74">
        <f t="shared" si="29"/>
        <v>0</v>
      </c>
      <c r="U35" s="86">
        <f t="shared" si="30"/>
        <v>37.543219946437652</v>
      </c>
      <c r="V35" s="86">
        <f t="shared" si="31"/>
        <v>1351.5559180717555</v>
      </c>
      <c r="W35" s="86">
        <f t="shared" si="32"/>
        <v>19.665513036970424</v>
      </c>
      <c r="X35" s="23">
        <f>I35*(References!$C$55/References!$G$58)</f>
        <v>19.665513036970488</v>
      </c>
      <c r="Y35" s="74">
        <f t="shared" si="18"/>
        <v>-6.3948846218409017E-14</v>
      </c>
      <c r="AA35" s="214">
        <f>(G35*$D$101*References!$C$55)/References!$G$58</f>
        <v>0.54626425102695797</v>
      </c>
      <c r="AB35" s="74">
        <f t="shared" si="22"/>
        <v>0</v>
      </c>
    </row>
    <row r="36" spans="1:28">
      <c r="A36" s="221"/>
      <c r="B36" s="31">
        <v>37</v>
      </c>
      <c r="C36" t="s">
        <v>70</v>
      </c>
      <c r="D36" s="57">
        <f>+VLOOKUP(C36,'Whitman Reg - Price Out'!B:G,6,FALSE)</f>
        <v>55.268279491480108</v>
      </c>
      <c r="E36" s="66">
        <f>+References!B10</f>
        <v>4.333333333333333</v>
      </c>
      <c r="F36" s="57">
        <f>D36*E36*References!$B$50</f>
        <v>2873.9505335569656</v>
      </c>
      <c r="G36" s="57">
        <f>+References!B32</f>
        <v>324</v>
      </c>
      <c r="H36" s="57">
        <f t="shared" si="15"/>
        <v>931159.97287245688</v>
      </c>
      <c r="I36" s="57">
        <f t="shared" si="16"/>
        <v>613782.34890206379</v>
      </c>
      <c r="J36" s="74">
        <f>I36*References!$C$55</f>
        <v>1534.4558722551567</v>
      </c>
      <c r="K36" s="74">
        <f>J36/References!$G$58</f>
        <v>1569.9364357020224</v>
      </c>
      <c r="L36" s="74">
        <f t="shared" si="24"/>
        <v>0.54626425102695808</v>
      </c>
      <c r="M36" s="74">
        <f>+'Proposed Rates'!B37</f>
        <v>36.996955695410698</v>
      </c>
      <c r="N36" s="74">
        <f t="shared" si="17"/>
        <v>37.543219946437652</v>
      </c>
      <c r="O36" s="74">
        <f>+'Proposed Rates'!D37</f>
        <v>37.543219946437652</v>
      </c>
      <c r="P36" s="74">
        <f t="shared" si="25"/>
        <v>106327.420560809</v>
      </c>
      <c r="Q36" s="74">
        <f t="shared" si="26"/>
        <v>107897.35699651101</v>
      </c>
      <c r="R36" s="74">
        <f t="shared" si="27"/>
        <v>1569.9364357020095</v>
      </c>
      <c r="S36" s="74">
        <f t="shared" si="28"/>
        <v>107897.35699651101</v>
      </c>
      <c r="T36" s="74">
        <f t="shared" si="29"/>
        <v>0</v>
      </c>
      <c r="U36" s="86">
        <f t="shared" si="30"/>
        <v>37.543219946437652</v>
      </c>
      <c r="V36" s="86">
        <f t="shared" si="31"/>
        <v>107897.35699651101</v>
      </c>
      <c r="W36" s="86">
        <f t="shared" si="32"/>
        <v>1569.9364357020095</v>
      </c>
      <c r="X36" s="23">
        <f>I36*(References!$C$55/References!$G$58)</f>
        <v>1569.9364357020222</v>
      </c>
      <c r="Y36" s="74">
        <f t="shared" si="18"/>
        <v>-1.2732925824820995E-11</v>
      </c>
      <c r="AA36" s="214">
        <f>(G36*$D$101*References!$C$55)/References!$G$58</f>
        <v>0.54626425102695797</v>
      </c>
      <c r="AB36" s="74">
        <f t="shared" si="22"/>
        <v>0</v>
      </c>
    </row>
    <row r="37" spans="1:28">
      <c r="A37" s="221"/>
      <c r="B37" s="31">
        <v>37</v>
      </c>
      <c r="C37" t="s">
        <v>72</v>
      </c>
      <c r="D37" s="57">
        <f>+VLOOKUP(C37,'Whitman Reg - Price Out'!B:G,6,FALSE)</f>
        <v>2</v>
      </c>
      <c r="E37" s="66">
        <f>+References!B9</f>
        <v>8.6666666666666661</v>
      </c>
      <c r="F37" s="57">
        <f>D37*E37*References!$B$50</f>
        <v>208</v>
      </c>
      <c r="G37" s="57">
        <f>+References!B32</f>
        <v>324</v>
      </c>
      <c r="H37" s="57">
        <f t="shared" si="15"/>
        <v>67392</v>
      </c>
      <c r="I37" s="57">
        <f t="shared" si="16"/>
        <v>44422.034088951979</v>
      </c>
      <c r="J37" s="74">
        <f>I37*References!$C$55</f>
        <v>111.05508522237974</v>
      </c>
      <c r="K37" s="74">
        <f>J37/References!$G$58</f>
        <v>113.62296421360726</v>
      </c>
      <c r="L37" s="74">
        <f t="shared" si="24"/>
        <v>0.54626425102695797</v>
      </c>
      <c r="M37" s="74">
        <f>+'Proposed Rates'!B37</f>
        <v>36.996955695410698</v>
      </c>
      <c r="N37" s="74">
        <f t="shared" si="17"/>
        <v>37.543219946437652</v>
      </c>
      <c r="O37" s="74">
        <f>+'Proposed Rates'!D37</f>
        <v>37.543219946437652</v>
      </c>
      <c r="P37" s="74">
        <f t="shared" si="25"/>
        <v>7695.3667846454255</v>
      </c>
      <c r="Q37" s="74">
        <f t="shared" si="26"/>
        <v>7808.9897488590314</v>
      </c>
      <c r="R37" s="74">
        <f t="shared" si="27"/>
        <v>113.62296421360588</v>
      </c>
      <c r="S37" s="74">
        <f t="shared" si="28"/>
        <v>7808.9897488590314</v>
      </c>
      <c r="T37" s="74">
        <f t="shared" si="29"/>
        <v>0</v>
      </c>
      <c r="U37" s="86">
        <f t="shared" si="30"/>
        <v>37.543219946437652</v>
      </c>
      <c r="V37" s="86">
        <f t="shared" si="31"/>
        <v>7808.9897488590314</v>
      </c>
      <c r="W37" s="86">
        <f t="shared" si="32"/>
        <v>113.62296421360588</v>
      </c>
      <c r="X37" s="23">
        <f>I37*(References!$C$55/References!$G$58)</f>
        <v>113.62296421360726</v>
      </c>
      <c r="Y37" s="74">
        <f t="shared" si="18"/>
        <v>-1.3784529073745944E-12</v>
      </c>
      <c r="AA37" s="214">
        <f>(G37*$D$101*References!$C$55)/References!$G$58</f>
        <v>0.54626425102695797</v>
      </c>
      <c r="AB37" s="74">
        <f t="shared" si="22"/>
        <v>0</v>
      </c>
    </row>
    <row r="38" spans="1:28">
      <c r="A38" s="221"/>
      <c r="B38" s="31">
        <v>37</v>
      </c>
      <c r="C38" t="s">
        <v>74</v>
      </c>
      <c r="D38" s="57">
        <f>+VLOOKUP(C38,'Whitman Reg - Price Out'!B:G,6,FALSE)</f>
        <v>2.0000000000000004</v>
      </c>
      <c r="E38" s="66">
        <f>+References!B8</f>
        <v>13</v>
      </c>
      <c r="F38" s="57">
        <f>D38*E38*References!$B$50</f>
        <v>312.00000000000011</v>
      </c>
      <c r="G38" s="57">
        <f>+References!B32</f>
        <v>324</v>
      </c>
      <c r="H38" s="57">
        <f t="shared" si="15"/>
        <v>101088.00000000004</v>
      </c>
      <c r="I38" s="57">
        <f t="shared" si="16"/>
        <v>66633.051133428002</v>
      </c>
      <c r="J38" s="74">
        <f>I38*References!$C$55</f>
        <v>166.58262783356969</v>
      </c>
      <c r="K38" s="74">
        <f>J38/References!$G$58</f>
        <v>170.43444632041096</v>
      </c>
      <c r="L38" s="74">
        <f t="shared" si="24"/>
        <v>0.54626425102695797</v>
      </c>
      <c r="M38" s="74">
        <f>+'Proposed Rates'!B37</f>
        <v>36.996955695410698</v>
      </c>
      <c r="N38" s="74">
        <f t="shared" si="17"/>
        <v>37.543219946437652</v>
      </c>
      <c r="O38" s="74">
        <f>+'Proposed Rates'!D37</f>
        <v>37.543219946437652</v>
      </c>
      <c r="P38" s="74">
        <f t="shared" si="25"/>
        <v>11543.050176968141</v>
      </c>
      <c r="Q38" s="74">
        <f t="shared" si="26"/>
        <v>11713.484623288552</v>
      </c>
      <c r="R38" s="74">
        <f t="shared" si="27"/>
        <v>170.43444632041064</v>
      </c>
      <c r="S38" s="74">
        <f t="shared" si="28"/>
        <v>11713.484623288552</v>
      </c>
      <c r="T38" s="74">
        <f t="shared" si="29"/>
        <v>0</v>
      </c>
      <c r="U38" s="86">
        <f t="shared" si="30"/>
        <v>37.543219946437652</v>
      </c>
      <c r="V38" s="86">
        <f t="shared" si="31"/>
        <v>11713.484623288552</v>
      </c>
      <c r="W38" s="86">
        <f t="shared" si="32"/>
        <v>170.43444632041064</v>
      </c>
      <c r="X38" s="23">
        <f>I38*(References!$C$55/References!$G$58)</f>
        <v>170.43444632041098</v>
      </c>
      <c r="Y38" s="74">
        <f t="shared" si="18"/>
        <v>-3.4106051316484809E-13</v>
      </c>
      <c r="AA38" s="214">
        <f>(G38*$D$101*References!$C$55)/References!$G$58</f>
        <v>0.54626425102695797</v>
      </c>
      <c r="AB38" s="74">
        <f t="shared" si="22"/>
        <v>0</v>
      </c>
    </row>
    <row r="39" spans="1:28">
      <c r="A39" s="221"/>
      <c r="B39" s="31">
        <v>37</v>
      </c>
      <c r="C39" t="s">
        <v>76</v>
      </c>
      <c r="D39" s="57">
        <f>+VLOOKUP(C39,'Whitman Reg - Price Out'!B:G,6,FALSE)</f>
        <v>29.500000000000004</v>
      </c>
      <c r="E39" s="66">
        <f>+References!B10</f>
        <v>4.333333333333333</v>
      </c>
      <c r="F39" s="57">
        <f>D39*E39*References!$B$50</f>
        <v>1534</v>
      </c>
      <c r="G39" s="57">
        <f>+References!B33</f>
        <v>473</v>
      </c>
      <c r="H39" s="57">
        <f t="shared" si="15"/>
        <v>725582</v>
      </c>
      <c r="I39" s="57">
        <f t="shared" si="16"/>
        <v>478273.80606496253</v>
      </c>
      <c r="J39" s="74">
        <f>I39*References!$C$55</f>
        <v>1195.6845151624041</v>
      </c>
      <c r="K39" s="74">
        <f>J39/References!$G$58</f>
        <v>1223.3318141624759</v>
      </c>
      <c r="L39" s="74">
        <f t="shared" si="24"/>
        <v>0.79747836646836756</v>
      </c>
      <c r="M39" s="74">
        <f>+'Proposed Rates'!B38</f>
        <v>52.367901370152033</v>
      </c>
      <c r="N39" s="74">
        <f t="shared" si="17"/>
        <v>53.165379736620402</v>
      </c>
      <c r="O39" s="74">
        <f>+'Proposed Rates'!D38</f>
        <v>53.165379736620402</v>
      </c>
      <c r="P39" s="74">
        <f t="shared" si="25"/>
        <v>80332.360701813217</v>
      </c>
      <c r="Q39" s="74">
        <f t="shared" si="26"/>
        <v>81555.692515975694</v>
      </c>
      <c r="R39" s="74">
        <f t="shared" si="27"/>
        <v>1223.3318141624768</v>
      </c>
      <c r="S39" s="74">
        <f t="shared" si="28"/>
        <v>81555.692515975694</v>
      </c>
      <c r="T39" s="74">
        <f t="shared" si="29"/>
        <v>0</v>
      </c>
      <c r="U39" s="86">
        <f t="shared" si="30"/>
        <v>53.165379736620402</v>
      </c>
      <c r="V39" s="86">
        <f t="shared" si="31"/>
        <v>81555.692515975694</v>
      </c>
      <c r="W39" s="86">
        <f t="shared" si="32"/>
        <v>1223.3318141624768</v>
      </c>
      <c r="X39" s="23">
        <f>I39*(References!$C$55/References!$G$58)</f>
        <v>1223.3318141624759</v>
      </c>
      <c r="Y39" s="74">
        <f t="shared" si="18"/>
        <v>0</v>
      </c>
      <c r="AA39" s="214">
        <f>(G39*$D$101*References!$C$55)/References!$G$58</f>
        <v>0.79747836646836756</v>
      </c>
      <c r="AB39" s="74">
        <f t="shared" si="22"/>
        <v>0</v>
      </c>
    </row>
    <row r="40" spans="1:28">
      <c r="A40" s="221"/>
      <c r="B40" s="31">
        <v>37</v>
      </c>
      <c r="C40" t="s">
        <v>78</v>
      </c>
      <c r="D40" s="57">
        <f>+VLOOKUP(C40,'Whitman Reg - Price Out'!B:G,6,FALSE)</f>
        <v>1.4583322589794498</v>
      </c>
      <c r="E40" s="134">
        <f>+References!$B$10</f>
        <v>4.333333333333333</v>
      </c>
      <c r="F40" s="60">
        <f>D40*E40*References!$B$50</f>
        <v>75.833277466931392</v>
      </c>
      <c r="G40" s="60">
        <f>+References!B33*2</f>
        <v>946</v>
      </c>
      <c r="H40" s="57">
        <f t="shared" si="15"/>
        <v>71738.280483717099</v>
      </c>
      <c r="I40" s="57">
        <f t="shared" si="16"/>
        <v>47286.923390468888</v>
      </c>
      <c r="J40" s="74">
        <f>I40*References!$C$55</f>
        <v>118.21730847617199</v>
      </c>
      <c r="K40" s="74">
        <f>J40/References!$G$58</f>
        <v>120.95079647654184</v>
      </c>
      <c r="L40" s="74">
        <f>K40/(F40*2)</f>
        <v>0.79747836646836767</v>
      </c>
      <c r="M40" s="74">
        <f>+'Proposed Rates'!B38</f>
        <v>52.367901370152033</v>
      </c>
      <c r="N40" s="74">
        <f t="shared" si="17"/>
        <v>53.165379736620402</v>
      </c>
      <c r="O40" s="74">
        <f>+'Proposed Rates'!D38</f>
        <v>53.165379736620402</v>
      </c>
      <c r="P40" s="74">
        <f>(F40*2)*M40</f>
        <v>7942.4591899272718</v>
      </c>
      <c r="Q40" s="74">
        <f>(F40*2)*O40</f>
        <v>8063.4099864038135</v>
      </c>
      <c r="R40" s="74">
        <f t="shared" si="27"/>
        <v>120.95079647654165</v>
      </c>
      <c r="S40" s="74">
        <f>(F40*2)*N40</f>
        <v>8063.4099864038135</v>
      </c>
      <c r="T40" s="74">
        <f t="shared" si="29"/>
        <v>0</v>
      </c>
      <c r="U40" s="86">
        <f t="shared" si="30"/>
        <v>53.165379736620402</v>
      </c>
      <c r="V40" s="86">
        <f>F40*2*U40</f>
        <v>8063.4099864038135</v>
      </c>
      <c r="W40" s="86">
        <f>V40-P40</f>
        <v>120.95079647654165</v>
      </c>
      <c r="X40" s="23">
        <f>I40*(References!$C$55/References!$G$58)</f>
        <v>120.95079647654184</v>
      </c>
      <c r="Y40" s="74">
        <f t="shared" si="18"/>
        <v>-1.8474111129762605E-13</v>
      </c>
      <c r="AA40" s="214">
        <f>(G40*$D$101*References!$C$55)/2/References!$G$58</f>
        <v>0.79747836646836756</v>
      </c>
      <c r="AB40" s="74">
        <f t="shared" si="22"/>
        <v>0</v>
      </c>
    </row>
    <row r="41" spans="1:28">
      <c r="A41" s="221"/>
      <c r="B41" s="31">
        <v>37</v>
      </c>
      <c r="C41" t="s">
        <v>80</v>
      </c>
      <c r="D41" s="57">
        <f>+VLOOKUP(C41,'Whitman Reg - Price Out'!B:G,6,FALSE)</f>
        <v>5.0000000000000009</v>
      </c>
      <c r="E41" s="66">
        <f>+References!$B$9</f>
        <v>8.6666666666666661</v>
      </c>
      <c r="F41" s="57">
        <f>D41*E41*References!$B$50</f>
        <v>520</v>
      </c>
      <c r="G41" s="57">
        <f>+References!B33</f>
        <v>473</v>
      </c>
      <c r="H41" s="57">
        <f t="shared" si="15"/>
        <v>245960</v>
      </c>
      <c r="I41" s="57">
        <f t="shared" si="16"/>
        <v>162126.71392032629</v>
      </c>
      <c r="J41" s="74">
        <f>I41*References!$C$55</f>
        <v>405.31678480081496</v>
      </c>
      <c r="K41" s="74">
        <f>J41/References!$G$58</f>
        <v>414.6887505635512</v>
      </c>
      <c r="L41" s="74">
        <f t="shared" si="24"/>
        <v>0.79747836646836767</v>
      </c>
      <c r="M41" s="74">
        <f>+'Proposed Rates'!B38</f>
        <v>52.367901370152033</v>
      </c>
      <c r="N41" s="74">
        <f t="shared" si="17"/>
        <v>53.165379736620402</v>
      </c>
      <c r="O41" s="74">
        <f>+'Proposed Rates'!D38</f>
        <v>53.165379736620402</v>
      </c>
      <c r="P41" s="74">
        <f t="shared" si="25"/>
        <v>27231.308712479058</v>
      </c>
      <c r="Q41" s="74">
        <f t="shared" si="26"/>
        <v>27645.997463042608</v>
      </c>
      <c r="R41" s="74">
        <f t="shared" si="27"/>
        <v>414.68875056354955</v>
      </c>
      <c r="S41" s="74">
        <f t="shared" si="28"/>
        <v>27645.997463042608</v>
      </c>
      <c r="T41" s="74">
        <f t="shared" si="29"/>
        <v>0</v>
      </c>
      <c r="U41" s="86">
        <f t="shared" si="30"/>
        <v>53.165379736620402</v>
      </c>
      <c r="V41" s="86">
        <f t="shared" si="31"/>
        <v>27645.997463042608</v>
      </c>
      <c r="W41" s="86">
        <f t="shared" si="32"/>
        <v>414.68875056354955</v>
      </c>
      <c r="X41" s="23">
        <f>I41*(References!$C$55/References!$G$58)</f>
        <v>414.6887505635512</v>
      </c>
      <c r="Y41" s="74">
        <f t="shared" si="18"/>
        <v>-1.6484591469634324E-12</v>
      </c>
      <c r="AA41" s="214">
        <f>(G41*$D$101*References!$C$55)/References!$G$58</f>
        <v>0.79747836646836756</v>
      </c>
      <c r="AB41" s="74">
        <f t="shared" si="22"/>
        <v>0</v>
      </c>
    </row>
    <row r="42" spans="1:28">
      <c r="A42" s="221"/>
      <c r="B42" s="31">
        <v>37</v>
      </c>
      <c r="C42" t="s">
        <v>82</v>
      </c>
      <c r="D42" s="57">
        <f>+VLOOKUP(C42,'Whitman Reg - Price Out'!B:G,6,FALSE)</f>
        <v>1</v>
      </c>
      <c r="E42" s="66">
        <f>+References!B8</f>
        <v>13</v>
      </c>
      <c r="F42" s="57">
        <f>D42*E42*References!$B$50</f>
        <v>156</v>
      </c>
      <c r="G42" s="57">
        <f>+References!B33</f>
        <v>473</v>
      </c>
      <c r="H42" s="57">
        <f t="shared" si="15"/>
        <v>73788</v>
      </c>
      <c r="I42" s="57">
        <f t="shared" si="16"/>
        <v>48638.014176097888</v>
      </c>
      <c r="J42" s="74">
        <f>I42*References!$C$55</f>
        <v>121.59503544024449</v>
      </c>
      <c r="K42" s="74">
        <f>J42/References!$G$58</f>
        <v>124.40662516906536</v>
      </c>
      <c r="L42" s="74">
        <f t="shared" si="24"/>
        <v>0.79747836646836767</v>
      </c>
      <c r="M42" s="74">
        <f>+'Proposed Rates'!B38</f>
        <v>52.367901370152033</v>
      </c>
      <c r="N42" s="74">
        <f t="shared" si="17"/>
        <v>53.165379736620402</v>
      </c>
      <c r="O42" s="74">
        <f>+'Proposed Rates'!D38</f>
        <v>53.165379736620402</v>
      </c>
      <c r="P42" s="74">
        <f t="shared" si="25"/>
        <v>8169.3926137437174</v>
      </c>
      <c r="Q42" s="74">
        <f t="shared" si="26"/>
        <v>8293.799238912783</v>
      </c>
      <c r="R42" s="74">
        <f t="shared" si="27"/>
        <v>124.40662516906559</v>
      </c>
      <c r="S42" s="74">
        <f t="shared" si="28"/>
        <v>8293.799238912783</v>
      </c>
      <c r="T42" s="74">
        <f t="shared" si="29"/>
        <v>0</v>
      </c>
      <c r="U42" s="86">
        <f t="shared" si="30"/>
        <v>53.165379736620402</v>
      </c>
      <c r="V42" s="86">
        <f t="shared" si="31"/>
        <v>8293.799238912783</v>
      </c>
      <c r="W42" s="86">
        <f t="shared" si="32"/>
        <v>124.40662516906559</v>
      </c>
      <c r="X42" s="23">
        <f>I42*(References!$C$55/References!$G$58)</f>
        <v>124.40662516906536</v>
      </c>
      <c r="Y42" s="74">
        <f t="shared" si="18"/>
        <v>2.2737367544323206E-13</v>
      </c>
      <c r="AA42" s="214">
        <f>(G42*$D$101*References!$C$55)/References!$G$58</f>
        <v>0.79747836646836756</v>
      </c>
      <c r="AB42" s="74">
        <f t="shared" si="22"/>
        <v>0</v>
      </c>
    </row>
    <row r="43" spans="1:28">
      <c r="A43" s="221"/>
      <c r="B43" s="31">
        <v>37</v>
      </c>
      <c r="C43" t="s">
        <v>461</v>
      </c>
      <c r="D43" s="57">
        <f>+VLOOKUP(C43,'Whitman Reg - Price Out'!B:G,6,FALSE)</f>
        <v>0.79166738289643312</v>
      </c>
      <c r="E43" s="66">
        <f>+References!B8</f>
        <v>13</v>
      </c>
      <c r="F43" s="57">
        <f>D43*E43*References!$B$50</f>
        <v>123.50011173184356</v>
      </c>
      <c r="G43" s="57">
        <f>+References!B33*2</f>
        <v>946</v>
      </c>
      <c r="H43" s="57">
        <f t="shared" ref="H43" si="33">F43*G43</f>
        <v>116831.10569832401</v>
      </c>
      <c r="I43" s="57">
        <f t="shared" si="16"/>
        <v>77010.258784142046</v>
      </c>
      <c r="J43" s="74">
        <f>I43*References!$C$55</f>
        <v>192.52564696035475</v>
      </c>
      <c r="K43" s="74">
        <f>J43/References!$G$58</f>
        <v>196.97733472514298</v>
      </c>
      <c r="L43" s="74">
        <f>K43/(F43*2)</f>
        <v>0.79747836646836767</v>
      </c>
      <c r="M43" s="74">
        <f>+'Proposed Rates'!B38</f>
        <v>52.367901370152033</v>
      </c>
      <c r="N43" s="74">
        <f t="shared" si="17"/>
        <v>53.165379736620402</v>
      </c>
      <c r="O43" s="74">
        <f>+'Proposed Rates'!D38</f>
        <v>53.165379736620402</v>
      </c>
      <c r="P43" s="74">
        <f>F43*M43*2</f>
        <v>12934.88334075188</v>
      </c>
      <c r="Q43" s="74">
        <f>F43*O43*2</f>
        <v>13131.860675477023</v>
      </c>
      <c r="R43" s="74">
        <f>Q43-P43</f>
        <v>196.97733472514301</v>
      </c>
      <c r="S43" s="74">
        <f>F43*N43*2</f>
        <v>13131.860675477023</v>
      </c>
      <c r="T43" s="74">
        <f>Q43-S43</f>
        <v>0</v>
      </c>
      <c r="U43" s="86">
        <f t="shared" ref="U43" si="34">N43</f>
        <v>53.165379736620402</v>
      </c>
      <c r="V43" s="86">
        <f>F43*U43*2</f>
        <v>13131.860675477023</v>
      </c>
      <c r="W43" s="86">
        <f t="shared" ref="W43" si="35">V43-P43</f>
        <v>196.97733472514301</v>
      </c>
      <c r="X43" s="23">
        <f>I43*(References!$C$55/References!$G$58)</f>
        <v>196.97733472514298</v>
      </c>
      <c r="Y43" s="74">
        <f>W43-X43</f>
        <v>0</v>
      </c>
      <c r="AA43" s="214">
        <f>(G43*$D$101*References!$C$55)/2/References!$G$58</f>
        <v>0.79747836646836756</v>
      </c>
      <c r="AB43" s="74">
        <f t="shared" si="22"/>
        <v>0</v>
      </c>
    </row>
    <row r="44" spans="1:28">
      <c r="A44" s="221"/>
      <c r="B44" s="31">
        <v>37</v>
      </c>
      <c r="C44" t="s">
        <v>84</v>
      </c>
      <c r="D44" s="57">
        <f>+VLOOKUP(C44,'Whitman Reg - Price Out'!B:G,6,FALSE)</f>
        <v>13.93752426807486</v>
      </c>
      <c r="E44" s="66">
        <f>+References!B10</f>
        <v>4.333333333333333</v>
      </c>
      <c r="F44" s="57">
        <f>D44*E44*References!$B$50</f>
        <v>724.75126193989263</v>
      </c>
      <c r="G44" s="57">
        <f>+References!B35</f>
        <v>613</v>
      </c>
      <c r="H44" s="57">
        <f t="shared" si="15"/>
        <v>444272.5235691542</v>
      </c>
      <c r="I44" s="57">
        <f t="shared" si="16"/>
        <v>292846.17145616229</v>
      </c>
      <c r="J44" s="74">
        <f>I44*References!$C$55</f>
        <v>732.11542864040439</v>
      </c>
      <c r="K44" s="74">
        <f>J44/References!$G$58</f>
        <v>749.04381894864366</v>
      </c>
      <c r="L44" s="74">
        <f t="shared" si="24"/>
        <v>1.0335184749368063</v>
      </c>
      <c r="M44" s="74">
        <f>+'Proposed Rates'!B39</f>
        <v>69.486709386687522</v>
      </c>
      <c r="N44" s="74">
        <f t="shared" si="17"/>
        <v>70.520227861624335</v>
      </c>
      <c r="O44" s="74">
        <f>+'Proposed Rates'!D39</f>
        <v>70.520227861624335</v>
      </c>
      <c r="P44" s="74">
        <f t="shared" si="25"/>
        <v>50360.580316052365</v>
      </c>
      <c r="Q44" s="74">
        <f t="shared" si="26"/>
        <v>51109.62413500101</v>
      </c>
      <c r="R44" s="74">
        <f t="shared" si="27"/>
        <v>749.04381894864491</v>
      </c>
      <c r="S44" s="74">
        <f t="shared" si="28"/>
        <v>51109.62413500101</v>
      </c>
      <c r="T44" s="74">
        <f t="shared" si="29"/>
        <v>0</v>
      </c>
      <c r="U44" s="86">
        <f t="shared" si="30"/>
        <v>70.520227861624335</v>
      </c>
      <c r="V44" s="86">
        <f t="shared" si="31"/>
        <v>51109.62413500101</v>
      </c>
      <c r="W44" s="86">
        <f t="shared" si="32"/>
        <v>749.04381894864491</v>
      </c>
      <c r="X44" s="23">
        <f>I44*(References!$C$55/References!$G$58)</f>
        <v>749.04381894864366</v>
      </c>
      <c r="Y44" s="74">
        <f t="shared" si="18"/>
        <v>1.2505552149377763E-12</v>
      </c>
      <c r="AA44" s="214">
        <f>(G44*$D$101*References!$C$55)/References!$G$58</f>
        <v>1.0335184749368063</v>
      </c>
      <c r="AB44" s="74">
        <f t="shared" si="22"/>
        <v>0</v>
      </c>
    </row>
    <row r="45" spans="1:28">
      <c r="A45" s="221"/>
      <c r="B45" s="31">
        <v>37</v>
      </c>
      <c r="C45" t="s">
        <v>86</v>
      </c>
      <c r="D45" s="57">
        <f>+VLOOKUP(C45,'Whitman Reg - Price Out'!B:G,6,FALSE)</f>
        <v>3.083334951173581</v>
      </c>
      <c r="E45" s="134">
        <f>+References!$B$10</f>
        <v>4.333333333333333</v>
      </c>
      <c r="F45" s="60">
        <f>D45*E45*References!$B$50</f>
        <v>160.33341746102619</v>
      </c>
      <c r="G45" s="60">
        <f>+References!B35*2</f>
        <v>1226</v>
      </c>
      <c r="H45" s="57">
        <f t="shared" si="15"/>
        <v>196568.76980721811</v>
      </c>
      <c r="I45" s="57">
        <f t="shared" si="16"/>
        <v>129570.0467889304</v>
      </c>
      <c r="J45" s="74">
        <f>I45*References!$C$55</f>
        <v>323.92511697232538</v>
      </c>
      <c r="K45" s="74">
        <f>J45/References!$G$58</f>
        <v>331.41509819145216</v>
      </c>
      <c r="L45" s="74">
        <f>K45/(F45*2)</f>
        <v>1.0335184749368063</v>
      </c>
      <c r="M45" s="74">
        <f>+'Proposed Rates'!B39</f>
        <v>69.486709386687522</v>
      </c>
      <c r="N45" s="74">
        <f t="shared" si="17"/>
        <v>70.520227861624335</v>
      </c>
      <c r="O45" s="74">
        <f>+'Proposed Rates'!D39</f>
        <v>70.520227861624335</v>
      </c>
      <c r="P45" s="74">
        <f>F45*2*M45</f>
        <v>22282.083168177556</v>
      </c>
      <c r="Q45" s="74">
        <f>F45*2*O45</f>
        <v>22613.49826636901</v>
      </c>
      <c r="R45" s="74">
        <f t="shared" si="27"/>
        <v>331.41509819145358</v>
      </c>
      <c r="S45" s="74">
        <f>F45*2*N45</f>
        <v>22613.49826636901</v>
      </c>
      <c r="T45" s="74">
        <f t="shared" si="29"/>
        <v>0</v>
      </c>
      <c r="U45" s="86">
        <f t="shared" si="30"/>
        <v>70.520227861624335</v>
      </c>
      <c r="V45" s="86">
        <f>F45*2*U45</f>
        <v>22613.49826636901</v>
      </c>
      <c r="W45" s="86">
        <f t="shared" si="32"/>
        <v>331.41509819145358</v>
      </c>
      <c r="X45" s="23">
        <f>I45*(References!$C$55/References!$G$58)</f>
        <v>331.41509819145222</v>
      </c>
      <c r="Y45" s="74">
        <f t="shared" si="18"/>
        <v>1.3642420526593924E-12</v>
      </c>
      <c r="AA45" s="214">
        <f>(G45*$D$101*References!$C$55)/2/References!$G$58</f>
        <v>1.0335184749368063</v>
      </c>
      <c r="AB45" s="74">
        <f t="shared" si="22"/>
        <v>0</v>
      </c>
    </row>
    <row r="46" spans="1:28">
      <c r="A46" s="221"/>
      <c r="B46" s="31">
        <v>37</v>
      </c>
      <c r="C46" t="s">
        <v>463</v>
      </c>
      <c r="D46" s="57">
        <f>+VLOOKUP(C46,'Whitman Reg - Price Out'!B:G,6,FALSE)</f>
        <v>0.83333333333333337</v>
      </c>
      <c r="E46" s="134">
        <f>+References!$B$9</f>
        <v>8.6666666666666661</v>
      </c>
      <c r="F46" s="60">
        <f>D46*E46*References!$B$50</f>
        <v>86.666666666666671</v>
      </c>
      <c r="G46" s="57">
        <f>+References!B35</f>
        <v>613</v>
      </c>
      <c r="H46" s="57">
        <f t="shared" ref="H46" si="36">F46*G46</f>
        <v>53126.666666666672</v>
      </c>
      <c r="I46" s="57">
        <f t="shared" si="16"/>
        <v>35018.913189978863</v>
      </c>
      <c r="J46" s="74">
        <f>I46*References!$C$55</f>
        <v>87.547282974946995</v>
      </c>
      <c r="K46" s="74">
        <f>J46/References!$G$58</f>
        <v>89.571601161189889</v>
      </c>
      <c r="L46" s="74">
        <f>K46/(F46)</f>
        <v>1.0335184749368063</v>
      </c>
      <c r="M46" s="74">
        <f>+'Proposed Rates'!B39</f>
        <v>69.486709386687522</v>
      </c>
      <c r="N46" s="74">
        <f t="shared" si="17"/>
        <v>70.520227861624335</v>
      </c>
      <c r="O46" s="74">
        <f>+'Proposed Rates'!D39</f>
        <v>70.520227861624335</v>
      </c>
      <c r="P46" s="74">
        <f>F46*M46</f>
        <v>6022.1814801795854</v>
      </c>
      <c r="Q46" s="74">
        <f>F46*O46</f>
        <v>6111.7530813407757</v>
      </c>
      <c r="R46" s="74">
        <f>Q46-P46</f>
        <v>89.571601161190301</v>
      </c>
      <c r="S46" s="74">
        <f>F46*N46</f>
        <v>6111.7530813407757</v>
      </c>
      <c r="T46" s="74">
        <f t="shared" ref="T46" si="37">Q46-S46</f>
        <v>0</v>
      </c>
      <c r="U46" s="86">
        <f t="shared" ref="U46" si="38">N46</f>
        <v>70.520227861624335</v>
      </c>
      <c r="V46" s="86">
        <f>F46*U46</f>
        <v>6111.7530813407757</v>
      </c>
      <c r="W46" s="86">
        <f t="shared" ref="W46" si="39">V46-P46</f>
        <v>89.571601161190301</v>
      </c>
      <c r="X46" s="23">
        <f>I46*(References!$C$55/References!$G$58)</f>
        <v>89.571601161189875</v>
      </c>
      <c r="Y46" s="74">
        <f t="shared" ref="Y46" si="40">W46-X46</f>
        <v>4.2632564145606011E-13</v>
      </c>
      <c r="AA46" s="214">
        <f>(G46*$D$101*References!$C$55)/References!$G$58</f>
        <v>1.0335184749368063</v>
      </c>
      <c r="AB46" s="74">
        <f t="shared" si="22"/>
        <v>0</v>
      </c>
    </row>
    <row r="47" spans="1:28">
      <c r="A47" s="221"/>
      <c r="B47" s="31">
        <v>37</v>
      </c>
      <c r="C47" t="s">
        <v>88</v>
      </c>
      <c r="D47" s="57">
        <f>+VLOOKUP(C47,'Whitman Reg - Price Out'!B:G,6,FALSE)</f>
        <v>1</v>
      </c>
      <c r="E47" s="66">
        <f>+References!B8</f>
        <v>13</v>
      </c>
      <c r="F47" s="57">
        <f>D47*E47*References!$B$50</f>
        <v>156</v>
      </c>
      <c r="G47" s="57">
        <f>+References!B35</f>
        <v>613</v>
      </c>
      <c r="H47" s="57">
        <f t="shared" si="15"/>
        <v>95628</v>
      </c>
      <c r="I47" s="57">
        <f t="shared" si="16"/>
        <v>63034.043741961956</v>
      </c>
      <c r="J47" s="74">
        <f>I47*References!$C$55</f>
        <v>157.5851093549046</v>
      </c>
      <c r="K47" s="74">
        <f>J47/References!$G$58</f>
        <v>161.22888209014181</v>
      </c>
      <c r="L47" s="74">
        <f t="shared" si="24"/>
        <v>1.0335184749368065</v>
      </c>
      <c r="M47" s="74">
        <f>+'Proposed Rates'!B39</f>
        <v>69.486709386687522</v>
      </c>
      <c r="N47" s="74">
        <f t="shared" si="17"/>
        <v>70.520227861624335</v>
      </c>
      <c r="O47" s="74">
        <f>+'Proposed Rates'!D39</f>
        <v>70.520227861624335</v>
      </c>
      <c r="P47" s="74">
        <f t="shared" si="25"/>
        <v>10839.926664323253</v>
      </c>
      <c r="Q47" s="74">
        <f t="shared" si="26"/>
        <v>11001.155546413396</v>
      </c>
      <c r="R47" s="74">
        <f t="shared" si="27"/>
        <v>161.22888209014309</v>
      </c>
      <c r="S47" s="74">
        <f t="shared" si="28"/>
        <v>11001.155546413396</v>
      </c>
      <c r="T47" s="74">
        <f t="shared" si="29"/>
        <v>0</v>
      </c>
      <c r="U47" s="86">
        <f t="shared" si="30"/>
        <v>70.520227861624335</v>
      </c>
      <c r="V47" s="86">
        <f t="shared" si="31"/>
        <v>11001.155546413396</v>
      </c>
      <c r="W47" s="86">
        <f t="shared" si="32"/>
        <v>161.22888209014309</v>
      </c>
      <c r="X47" s="23">
        <f>I47*(References!$C$55/References!$G$58)</f>
        <v>161.22888209014178</v>
      </c>
      <c r="Y47" s="74">
        <f t="shared" si="18"/>
        <v>1.3073986337985843E-12</v>
      </c>
      <c r="AA47" s="214">
        <f>(G47*$D$101*References!$C$55)/References!$G$58</f>
        <v>1.0335184749368063</v>
      </c>
      <c r="AB47" s="74">
        <f t="shared" si="22"/>
        <v>0</v>
      </c>
    </row>
    <row r="48" spans="1:28">
      <c r="A48" s="221"/>
      <c r="B48" s="31">
        <v>37</v>
      </c>
      <c r="C48" t="s">
        <v>90</v>
      </c>
      <c r="D48" s="57">
        <f>+VLOOKUP(C48,'Whitman Reg - Price Out'!B:G,6,FALSE)</f>
        <v>1</v>
      </c>
      <c r="E48" s="66">
        <f>+References!B7</f>
        <v>17.333333333333332</v>
      </c>
      <c r="F48" s="57">
        <f>D48*E48*References!$B$50</f>
        <v>208</v>
      </c>
      <c r="G48" s="57">
        <f>+References!B35</f>
        <v>613</v>
      </c>
      <c r="H48" s="57">
        <f t="shared" si="15"/>
        <v>127504</v>
      </c>
      <c r="I48" s="57">
        <f t="shared" si="16"/>
        <v>84045.391655949265</v>
      </c>
      <c r="J48" s="74">
        <f>I48*References!$C$55</f>
        <v>210.11347913987277</v>
      </c>
      <c r="K48" s="74">
        <f>J48/References!$G$58</f>
        <v>214.97184278685569</v>
      </c>
      <c r="L48" s="74">
        <f t="shared" si="24"/>
        <v>1.0335184749368063</v>
      </c>
      <c r="M48" s="74">
        <f>+'Proposed Rates'!B39</f>
        <v>69.486709386687522</v>
      </c>
      <c r="N48" s="74">
        <f t="shared" si="17"/>
        <v>70.520227861624335</v>
      </c>
      <c r="O48" s="74">
        <f>+'Proposed Rates'!D39</f>
        <v>70.520227861624335</v>
      </c>
      <c r="P48" s="74">
        <f t="shared" si="25"/>
        <v>14453.235552431004</v>
      </c>
      <c r="Q48" s="74">
        <f t="shared" si="26"/>
        <v>14668.207395217862</v>
      </c>
      <c r="R48" s="74">
        <f t="shared" si="27"/>
        <v>214.97184278685745</v>
      </c>
      <c r="S48" s="74">
        <f t="shared" si="28"/>
        <v>14668.207395217862</v>
      </c>
      <c r="T48" s="74">
        <f t="shared" si="29"/>
        <v>0</v>
      </c>
      <c r="U48" s="86">
        <f t="shared" si="30"/>
        <v>70.520227861624335</v>
      </c>
      <c r="V48" s="86">
        <f t="shared" si="31"/>
        <v>14668.207395217862</v>
      </c>
      <c r="W48" s="86">
        <f t="shared" si="32"/>
        <v>214.97184278685745</v>
      </c>
      <c r="X48" s="23">
        <f>I48*(References!$C$55/References!$G$58)</f>
        <v>214.97184278685569</v>
      </c>
      <c r="Y48" s="74">
        <f t="shared" si="18"/>
        <v>1.7621459846850485E-12</v>
      </c>
      <c r="AA48" s="214">
        <f>(G48*$D$101*References!$C$55)/References!$G$58</f>
        <v>1.0335184749368063</v>
      </c>
      <c r="AB48" s="74">
        <f t="shared" si="22"/>
        <v>0</v>
      </c>
    </row>
    <row r="49" spans="1:28">
      <c r="A49" s="221"/>
      <c r="B49" s="31">
        <v>37</v>
      </c>
      <c r="C49" t="s">
        <v>92</v>
      </c>
      <c r="D49" s="57">
        <f>+VLOOKUP(C49,'Whitman Reg - Price Out'!B:G,6,FALSE)</f>
        <v>8.916668888592632</v>
      </c>
      <c r="E49" s="66">
        <f>+References!B10</f>
        <v>4.333333333333333</v>
      </c>
      <c r="F49" s="57">
        <f>D49*E49*References!$B$50</f>
        <v>463.66678220681683</v>
      </c>
      <c r="G49" s="57">
        <f>+References!B37</f>
        <v>840</v>
      </c>
      <c r="H49" s="57">
        <f t="shared" si="15"/>
        <v>389480.09705372615</v>
      </c>
      <c r="I49" s="57">
        <f t="shared" si="16"/>
        <v>256729.25789839964</v>
      </c>
      <c r="J49" s="74">
        <f>I49*References!$C$55</f>
        <v>641.82314474599787</v>
      </c>
      <c r="K49" s="74">
        <f>J49/References!$G$58</f>
        <v>656.66374539185369</v>
      </c>
      <c r="L49" s="74">
        <f t="shared" si="24"/>
        <v>1.4162406508106318</v>
      </c>
      <c r="M49" s="74">
        <f>+'Proposed Rates'!B40</f>
        <v>101.06284809921293</v>
      </c>
      <c r="N49" s="74">
        <f t="shared" si="17"/>
        <v>102.47908875002356</v>
      </c>
      <c r="O49" s="74">
        <f>+'Proposed Rates'!D40</f>
        <v>102.47908875002356</v>
      </c>
      <c r="P49" s="74">
        <f t="shared" si="25"/>
        <v>46859.48557881837</v>
      </c>
      <c r="Q49" s="74">
        <f t="shared" si="26"/>
        <v>47516.14932421023</v>
      </c>
      <c r="R49" s="74">
        <f t="shared" si="27"/>
        <v>656.66374539185927</v>
      </c>
      <c r="S49" s="74">
        <f t="shared" si="28"/>
        <v>47516.14932421023</v>
      </c>
      <c r="T49" s="74">
        <f t="shared" si="29"/>
        <v>0</v>
      </c>
      <c r="U49" s="86">
        <f t="shared" si="30"/>
        <v>102.47908875002356</v>
      </c>
      <c r="V49" s="86">
        <f t="shared" si="31"/>
        <v>47516.14932421023</v>
      </c>
      <c r="W49" s="86">
        <f t="shared" si="32"/>
        <v>656.66374539185927</v>
      </c>
      <c r="X49" s="23">
        <f>I49*(References!$C$55/References!$G$58)</f>
        <v>656.66374539185369</v>
      </c>
      <c r="Y49" s="74">
        <f t="shared" si="18"/>
        <v>5.5706550483591855E-12</v>
      </c>
      <c r="AA49" s="214">
        <f>(G49*$D$101*References!$C$55)/References!$G$58</f>
        <v>1.4162406508106318</v>
      </c>
      <c r="AB49" s="74">
        <f t="shared" si="22"/>
        <v>0</v>
      </c>
    </row>
    <row r="50" spans="1:28">
      <c r="A50" s="221"/>
      <c r="B50" s="31">
        <v>37</v>
      </c>
      <c r="C50" t="s">
        <v>94</v>
      </c>
      <c r="D50" s="57">
        <f>+VLOOKUP(C50,'Whitman Reg - Price Out'!B:G,6,FALSE)</f>
        <v>0.83333333333333315</v>
      </c>
      <c r="E50" s="134">
        <f>+References!$B$10</f>
        <v>4.333333333333333</v>
      </c>
      <c r="F50" s="60">
        <f>D50*E50*References!$B$50</f>
        <v>43.333333333333321</v>
      </c>
      <c r="G50" s="60">
        <f>+References!B37*2</f>
        <v>1680</v>
      </c>
      <c r="H50" s="57">
        <f t="shared" si="15"/>
        <v>72799.999999999985</v>
      </c>
      <c r="I50" s="57">
        <f t="shared" si="16"/>
        <v>47986.765219546884</v>
      </c>
      <c r="J50" s="74">
        <f>I50*References!$C$55</f>
        <v>119.96691304886699</v>
      </c>
      <c r="K50" s="74">
        <f>J50/References!$G$58</f>
        <v>122.74085640358807</v>
      </c>
      <c r="L50" s="74">
        <f>K50/(F50*2)</f>
        <v>1.416240650810632</v>
      </c>
      <c r="M50" s="74">
        <f>+'Proposed Rates'!B40</f>
        <v>101.06284809921293</v>
      </c>
      <c r="N50" s="74">
        <f t="shared" si="17"/>
        <v>102.47908875002356</v>
      </c>
      <c r="O50" s="74">
        <f>+'Proposed Rates'!D40</f>
        <v>102.47908875002356</v>
      </c>
      <c r="P50" s="74">
        <f>F50*2*M50</f>
        <v>8758.7801685984523</v>
      </c>
      <c r="Q50" s="74">
        <f>F50*2*O50</f>
        <v>8881.5210250020391</v>
      </c>
      <c r="R50" s="74">
        <f t="shared" si="27"/>
        <v>122.7408564035868</v>
      </c>
      <c r="S50" s="74">
        <f>F50*2*N50</f>
        <v>8881.5210250020391</v>
      </c>
      <c r="T50" s="74">
        <f t="shared" si="29"/>
        <v>0</v>
      </c>
      <c r="U50" s="86">
        <f t="shared" si="30"/>
        <v>102.47908875002356</v>
      </c>
      <c r="V50" s="86">
        <f>F50*2*U50</f>
        <v>8881.5210250020391</v>
      </c>
      <c r="W50" s="86">
        <f t="shared" si="32"/>
        <v>122.7408564035868</v>
      </c>
      <c r="X50" s="23">
        <f>I50*(References!$C$55/References!$G$58)</f>
        <v>122.74085640358807</v>
      </c>
      <c r="Y50" s="74">
        <f t="shared" si="18"/>
        <v>-1.2647660696529783E-12</v>
      </c>
      <c r="AA50" s="214">
        <f>(G50*$D$101*References!$C$55)/2/References!$G$58</f>
        <v>1.4162406508106318</v>
      </c>
      <c r="AB50" s="74">
        <f t="shared" si="22"/>
        <v>0</v>
      </c>
    </row>
    <row r="51" spans="1:28">
      <c r="A51" s="221"/>
      <c r="B51" s="31">
        <v>37</v>
      </c>
      <c r="C51" t="s">
        <v>96</v>
      </c>
      <c r="D51" s="57">
        <f>+VLOOKUP(C51,'Whitman Reg - Price Out'!B:G,6,FALSE)</f>
        <v>1</v>
      </c>
      <c r="E51" s="66">
        <f>+References!B9</f>
        <v>8.6666666666666661</v>
      </c>
      <c r="F51" s="57">
        <f>D51*E51*References!$B$50</f>
        <v>104</v>
      </c>
      <c r="G51" s="57">
        <f>+References!B37</f>
        <v>840</v>
      </c>
      <c r="H51" s="57">
        <f t="shared" si="15"/>
        <v>87360</v>
      </c>
      <c r="I51" s="57">
        <f t="shared" si="16"/>
        <v>57584.118263456272</v>
      </c>
      <c r="J51" s="74">
        <f>I51*References!$C$55</f>
        <v>143.9602956586404</v>
      </c>
      <c r="K51" s="74">
        <f>J51/References!$G$58</f>
        <v>147.28902768430569</v>
      </c>
      <c r="L51" s="74">
        <f t="shared" si="24"/>
        <v>1.4162406508106318</v>
      </c>
      <c r="M51" s="74">
        <f>+'Proposed Rates'!B40</f>
        <v>101.06284809921293</v>
      </c>
      <c r="N51" s="74">
        <f t="shared" si="17"/>
        <v>102.47908875002356</v>
      </c>
      <c r="O51" s="74">
        <f>+'Proposed Rates'!D40</f>
        <v>102.47908875002356</v>
      </c>
      <c r="P51" s="74">
        <f t="shared" si="25"/>
        <v>10510.536202318144</v>
      </c>
      <c r="Q51" s="74">
        <f t="shared" si="26"/>
        <v>10657.825230002451</v>
      </c>
      <c r="R51" s="74">
        <f t="shared" si="27"/>
        <v>147.28902768430635</v>
      </c>
      <c r="S51" s="74">
        <f t="shared" si="28"/>
        <v>10657.825230002451</v>
      </c>
      <c r="T51" s="74">
        <f t="shared" si="29"/>
        <v>0</v>
      </c>
      <c r="U51" s="86">
        <f t="shared" si="30"/>
        <v>102.47908875002356</v>
      </c>
      <c r="V51" s="86">
        <f t="shared" si="31"/>
        <v>10657.825230002451</v>
      </c>
      <c r="W51" s="86">
        <f t="shared" si="32"/>
        <v>147.28902768430635</v>
      </c>
      <c r="X51" s="23">
        <f>I51*(References!$C$55/References!$G$58)</f>
        <v>147.28902768430572</v>
      </c>
      <c r="Y51" s="74">
        <f t="shared" si="18"/>
        <v>6.2527760746888816E-13</v>
      </c>
      <c r="AA51" s="214">
        <f>(G51*$D$101*References!$C$55)/References!$G$58</f>
        <v>1.4162406508106318</v>
      </c>
      <c r="AB51" s="74">
        <f t="shared" si="22"/>
        <v>0</v>
      </c>
    </row>
    <row r="52" spans="1:28">
      <c r="A52" s="221"/>
      <c r="B52" s="31">
        <v>37</v>
      </c>
      <c r="C52" t="s">
        <v>98</v>
      </c>
      <c r="D52" s="57">
        <f>+VLOOKUP(C52,'Whitman Reg - Price Out'!B:G,6,FALSE)</f>
        <v>0.99999999999999989</v>
      </c>
      <c r="E52" s="66">
        <f>+References!B7</f>
        <v>17.333333333333332</v>
      </c>
      <c r="F52" s="57">
        <f>D52*E52*References!$B$50</f>
        <v>207.99999999999994</v>
      </c>
      <c r="G52" s="57">
        <f>+References!B37</f>
        <v>840</v>
      </c>
      <c r="H52" s="57">
        <f t="shared" si="15"/>
        <v>174719.99999999994</v>
      </c>
      <c r="I52" s="57">
        <f t="shared" si="16"/>
        <v>115168.2365269125</v>
      </c>
      <c r="J52" s="74">
        <f>I52*References!$C$55</f>
        <v>287.9205913172807</v>
      </c>
      <c r="K52" s="74">
        <f>J52/References!$G$58</f>
        <v>294.57805536861127</v>
      </c>
      <c r="L52" s="74">
        <f t="shared" si="24"/>
        <v>1.4162406508106316</v>
      </c>
      <c r="M52" s="74">
        <f>+'Proposed Rates'!B40</f>
        <v>101.06284809921293</v>
      </c>
      <c r="N52" s="74">
        <f t="shared" si="17"/>
        <v>102.47908875002356</v>
      </c>
      <c r="O52" s="74">
        <f>+'Proposed Rates'!D40</f>
        <v>102.47908875002356</v>
      </c>
      <c r="P52" s="74">
        <f t="shared" si="25"/>
        <v>21021.072404636285</v>
      </c>
      <c r="Q52" s="74">
        <f t="shared" si="26"/>
        <v>21315.650460004894</v>
      </c>
      <c r="R52" s="74">
        <f t="shared" si="27"/>
        <v>294.57805536860906</v>
      </c>
      <c r="S52" s="74">
        <f t="shared" si="28"/>
        <v>21315.650460004894</v>
      </c>
      <c r="T52" s="74">
        <f t="shared" si="29"/>
        <v>0</v>
      </c>
      <c r="U52" s="86">
        <f t="shared" si="30"/>
        <v>102.47908875002356</v>
      </c>
      <c r="V52" s="86">
        <f t="shared" si="31"/>
        <v>21315.650460004894</v>
      </c>
      <c r="W52" s="86">
        <f t="shared" si="32"/>
        <v>294.57805536860906</v>
      </c>
      <c r="X52" s="23">
        <f>I52*(References!$C$55/References!$G$58)</f>
        <v>294.57805536861133</v>
      </c>
      <c r="Y52" s="74">
        <f t="shared" si="18"/>
        <v>-2.2737367544323206E-12</v>
      </c>
      <c r="AA52" s="214">
        <f>(G52*$D$101*References!$C$55)/References!$G$58</f>
        <v>1.4162406508106318</v>
      </c>
      <c r="AB52" s="74">
        <f t="shared" si="22"/>
        <v>0</v>
      </c>
    </row>
    <row r="53" spans="1:28">
      <c r="A53" s="221"/>
      <c r="B53" s="31">
        <v>37</v>
      </c>
      <c r="C53" t="s">
        <v>347</v>
      </c>
      <c r="D53" s="57">
        <f>+VLOOKUP(C53,'Whitman Reg - Price Out'!B:G,6,FALSE)</f>
        <v>0.99999999999999989</v>
      </c>
      <c r="E53" s="66">
        <f>+References!B6</f>
        <v>21.666666666666668</v>
      </c>
      <c r="F53" s="57">
        <f>D53*E53*References!$B$50</f>
        <v>260</v>
      </c>
      <c r="G53" s="57">
        <f>+References!B37</f>
        <v>840</v>
      </c>
      <c r="H53" s="57">
        <f t="shared" ref="H53" si="41">F53*G53</f>
        <v>218400</v>
      </c>
      <c r="I53" s="57">
        <f t="shared" si="16"/>
        <v>143960.29565864068</v>
      </c>
      <c r="J53" s="74">
        <f>I53*References!$C$55</f>
        <v>359.90073914660104</v>
      </c>
      <c r="K53" s="74">
        <f>J53/References!$G$58</f>
        <v>368.22256921076428</v>
      </c>
      <c r="L53" s="74">
        <f t="shared" si="24"/>
        <v>1.4162406508106318</v>
      </c>
      <c r="M53" s="74">
        <f>+'Proposed Rates'!B40</f>
        <v>101.06284809921293</v>
      </c>
      <c r="N53" s="74">
        <f t="shared" si="17"/>
        <v>102.47908875002356</v>
      </c>
      <c r="O53" s="74">
        <f>+'Proposed Rates'!D40</f>
        <v>102.47908875002356</v>
      </c>
      <c r="P53" s="74">
        <f t="shared" si="25"/>
        <v>26276.340505795361</v>
      </c>
      <c r="Q53" s="74">
        <f t="shared" si="26"/>
        <v>26644.563075006128</v>
      </c>
      <c r="R53" s="74">
        <f t="shared" si="27"/>
        <v>368.22256921076769</v>
      </c>
      <c r="S53" s="74">
        <f t="shared" si="28"/>
        <v>26644.563075006128</v>
      </c>
      <c r="T53" s="74">
        <f t="shared" si="29"/>
        <v>0</v>
      </c>
      <c r="U53" s="86">
        <f t="shared" si="30"/>
        <v>102.47908875002356</v>
      </c>
      <c r="V53" s="86">
        <f t="shared" si="31"/>
        <v>26644.563075006128</v>
      </c>
      <c r="W53" s="86">
        <f t="shared" si="32"/>
        <v>368.22256921076769</v>
      </c>
      <c r="X53" s="23">
        <f>I53*(References!$C$55/References!$G$58)</f>
        <v>368.22256921076428</v>
      </c>
      <c r="Y53" s="74">
        <f t="shared" si="18"/>
        <v>3.4106051316484809E-12</v>
      </c>
      <c r="AA53" s="214">
        <f>(G53*$D$101*References!$C$55)/References!$G$58</f>
        <v>1.4162406508106318</v>
      </c>
      <c r="AB53" s="74">
        <f t="shared" si="22"/>
        <v>0</v>
      </c>
    </row>
    <row r="54" spans="1:28" ht="15" customHeight="1">
      <c r="A54" s="225" t="s">
        <v>254</v>
      </c>
      <c r="B54" s="31">
        <v>37</v>
      </c>
      <c r="C54" t="s">
        <v>100</v>
      </c>
      <c r="D54" s="57">
        <f>+VLOOKUP(C54,'Whitman Reg - Price Out'!B:G,6,FALSE)</f>
        <v>1</v>
      </c>
      <c r="E54" s="66">
        <f>+References!B10</f>
        <v>4.333333333333333</v>
      </c>
      <c r="F54" s="57">
        <f>D54*E54*References!$B$50</f>
        <v>52</v>
      </c>
      <c r="G54" s="57">
        <f>+References!B39</f>
        <v>980</v>
      </c>
      <c r="H54" s="57">
        <f t="shared" si="15"/>
        <v>50960</v>
      </c>
      <c r="I54" s="57">
        <f t="shared" si="16"/>
        <v>33590.735653682823</v>
      </c>
      <c r="J54" s="74">
        <f>I54*References!$C$55</f>
        <v>83.976839134206898</v>
      </c>
      <c r="K54" s="74">
        <f>J54/References!$G$58</f>
        <v>85.918599482511652</v>
      </c>
      <c r="L54" s="74">
        <f t="shared" si="24"/>
        <v>1.6522807592790703</v>
      </c>
      <c r="M54" s="74">
        <f>+'Proposed Rates'!B41</f>
        <v>131.23165611574839</v>
      </c>
      <c r="N54" s="74">
        <f t="shared" si="17"/>
        <v>132.88393687502747</v>
      </c>
      <c r="O54" s="74">
        <f>+'Proposed Rates'!D41</f>
        <v>132.88393687502747</v>
      </c>
      <c r="P54" s="74">
        <f t="shared" si="25"/>
        <v>6824.0461180189168</v>
      </c>
      <c r="Q54" s="74">
        <f t="shared" si="26"/>
        <v>6909.9647175014288</v>
      </c>
      <c r="R54" s="74">
        <f t="shared" si="27"/>
        <v>85.918599482512036</v>
      </c>
      <c r="S54" s="74">
        <f t="shared" si="28"/>
        <v>6909.9647175014288</v>
      </c>
      <c r="T54" s="74">
        <f t="shared" si="29"/>
        <v>0</v>
      </c>
      <c r="U54" s="86">
        <f t="shared" si="30"/>
        <v>132.88393687502747</v>
      </c>
      <c r="V54" s="86">
        <f t="shared" si="31"/>
        <v>6909.9647175014288</v>
      </c>
      <c r="W54" s="86">
        <f t="shared" si="32"/>
        <v>85.918599482512036</v>
      </c>
      <c r="X54" s="23">
        <f>I54*(References!$C$55/References!$G$58)</f>
        <v>85.918599482511652</v>
      </c>
      <c r="Y54" s="74">
        <f t="shared" si="18"/>
        <v>3.836930773104541E-13</v>
      </c>
      <c r="AA54" s="214">
        <f>(G54*$D$101*References!$C$55)/References!$G$58</f>
        <v>1.6522807592790707</v>
      </c>
      <c r="AB54" s="74">
        <f t="shared" si="22"/>
        <v>0</v>
      </c>
    </row>
    <row r="55" spans="1:28">
      <c r="A55" s="221"/>
      <c r="B55" s="31">
        <v>37</v>
      </c>
      <c r="C55" t="s">
        <v>102</v>
      </c>
      <c r="D55" s="57">
        <f>+VLOOKUP(C55,'Whitman Reg - Price Out'!B:G,6,FALSE)</f>
        <v>1</v>
      </c>
      <c r="E55" s="66">
        <f>+References!B9</f>
        <v>8.6666666666666661</v>
      </c>
      <c r="F55" s="57">
        <f>D55*E55*References!$B$50</f>
        <v>104</v>
      </c>
      <c r="G55" s="57">
        <f>+References!B39</f>
        <v>980</v>
      </c>
      <c r="H55" s="57">
        <f t="shared" si="15"/>
        <v>101920</v>
      </c>
      <c r="I55" s="57">
        <f t="shared" si="16"/>
        <v>67181.471307365646</v>
      </c>
      <c r="J55" s="74">
        <f>I55*References!$C$55</f>
        <v>167.9536782684138</v>
      </c>
      <c r="K55" s="74">
        <f>J55/References!$G$58</f>
        <v>171.8371989650233</v>
      </c>
      <c r="L55" s="74">
        <f t="shared" si="24"/>
        <v>1.6522807592790703</v>
      </c>
      <c r="M55" s="74">
        <f>+'Proposed Rates'!B41</f>
        <v>131.23165611574839</v>
      </c>
      <c r="N55" s="74">
        <f t="shared" si="17"/>
        <v>132.88393687502747</v>
      </c>
      <c r="O55" s="74">
        <f>+'Proposed Rates'!D41</f>
        <v>132.88393687502747</v>
      </c>
      <c r="P55" s="74">
        <f t="shared" si="25"/>
        <v>13648.092236037834</v>
      </c>
      <c r="Q55" s="74">
        <f t="shared" si="26"/>
        <v>13819.929435002858</v>
      </c>
      <c r="R55" s="74">
        <f t="shared" si="27"/>
        <v>171.83719896502407</v>
      </c>
      <c r="S55" s="74">
        <f t="shared" si="28"/>
        <v>13819.929435002858</v>
      </c>
      <c r="T55" s="74">
        <f t="shared" si="29"/>
        <v>0</v>
      </c>
      <c r="U55" s="86">
        <f t="shared" si="30"/>
        <v>132.88393687502747</v>
      </c>
      <c r="V55" s="86">
        <f t="shared" si="31"/>
        <v>13819.929435002858</v>
      </c>
      <c r="W55" s="86">
        <f t="shared" si="32"/>
        <v>171.83719896502407</v>
      </c>
      <c r="X55" s="23">
        <f>I55*(References!$C$55/References!$G$58)</f>
        <v>171.8371989650233</v>
      </c>
      <c r="Y55" s="74">
        <f t="shared" si="18"/>
        <v>7.673861546209082E-13</v>
      </c>
      <c r="AA55" s="214">
        <f>(G55*$D$101*References!$C$55)/References!$G$58</f>
        <v>1.6522807592790707</v>
      </c>
      <c r="AB55" s="74">
        <f t="shared" si="22"/>
        <v>0</v>
      </c>
    </row>
    <row r="56" spans="1:28">
      <c r="A56" s="221"/>
      <c r="B56" s="31">
        <v>38</v>
      </c>
      <c r="C56" t="s">
        <v>104</v>
      </c>
      <c r="D56" s="57">
        <f>+VLOOKUP(C56,'Whitman Reg - Price Out'!B:G,6,FALSE)</f>
        <v>47.812702702702701</v>
      </c>
      <c r="E56" s="66">
        <f>+References!B10</f>
        <v>4.333333333333333</v>
      </c>
      <c r="F56" s="57">
        <f>D56*E56*References!$B$50</f>
        <v>2486.2605405405402</v>
      </c>
      <c r="G56" s="60">
        <f>+References!B28</f>
        <v>29</v>
      </c>
      <c r="H56" s="60">
        <f t="shared" si="15"/>
        <v>72101.55567567567</v>
      </c>
      <c r="I56" s="57">
        <f t="shared" si="16"/>
        <v>47526.379452922214</v>
      </c>
      <c r="J56" s="74">
        <f>I56*References!$C$55</f>
        <v>118.81594863230531</v>
      </c>
      <c r="K56" s="74">
        <f>J56/References!$G$58</f>
        <v>121.56327873164038</v>
      </c>
      <c r="L56" s="74">
        <f>K56/F56*E56</f>
        <v>0.21187409736333659</v>
      </c>
      <c r="M56" s="74">
        <f>+'Proposed Rates'!B62</f>
        <v>21.459477671985425</v>
      </c>
      <c r="N56" s="74">
        <f t="shared" si="17"/>
        <v>21.67135176934876</v>
      </c>
      <c r="O56" s="74">
        <f>+'Proposed Rates'!D62</f>
        <v>21.67135176934876</v>
      </c>
      <c r="P56" s="74">
        <f>D56*M56*References!$B$50</f>
        <v>12312.427513031109</v>
      </c>
      <c r="Q56" s="74">
        <f>D56*O56*References!$B$50</f>
        <v>12433.99079176275</v>
      </c>
      <c r="R56" s="74">
        <f t="shared" si="27"/>
        <v>121.56327873164082</v>
      </c>
      <c r="S56" s="74">
        <f>D56*N56*References!$B$50</f>
        <v>12433.99079176275</v>
      </c>
      <c r="T56" s="74">
        <f t="shared" si="29"/>
        <v>0</v>
      </c>
      <c r="U56" s="86">
        <f t="shared" si="30"/>
        <v>21.67135176934876</v>
      </c>
      <c r="V56" s="86">
        <f>D56*U56*References!$B$50</f>
        <v>12433.99079176275</v>
      </c>
      <c r="W56" s="86">
        <f t="shared" si="32"/>
        <v>121.56327873164082</v>
      </c>
      <c r="X56" s="23">
        <f>I56*(References!$C$55/References!$G$58)</f>
        <v>121.56327873164038</v>
      </c>
      <c r="Y56" s="74">
        <f t="shared" si="18"/>
        <v>4.4053649617126212E-13</v>
      </c>
      <c r="AA56" s="214">
        <f>(G56*$D$101*References!$C$55)*E56/References!$G$58</f>
        <v>0.21187409736333657</v>
      </c>
      <c r="AB56" s="74">
        <f t="shared" si="22"/>
        <v>0</v>
      </c>
    </row>
    <row r="57" spans="1:28">
      <c r="A57" s="221"/>
      <c r="B57" s="31">
        <v>38</v>
      </c>
      <c r="C57" t="s">
        <v>106</v>
      </c>
      <c r="D57" s="57">
        <f>+VLOOKUP(C57,'Whitman Reg - Price Out'!B:G,6,FALSE)</f>
        <v>6.5208446251129182</v>
      </c>
      <c r="E57" s="134">
        <f>+References!$B$10</f>
        <v>4.333333333333333</v>
      </c>
      <c r="F57" s="60">
        <f>D57*E57*References!$B$50</f>
        <v>339.08392050587167</v>
      </c>
      <c r="G57" s="60">
        <f>+References!B28*2</f>
        <v>58</v>
      </c>
      <c r="H57" s="60">
        <f t="shared" si="15"/>
        <v>19666.867389340558</v>
      </c>
      <c r="I57" s="57">
        <f t="shared" ref="I57:I73" si="42">H57*$D$101</f>
        <v>12963.589945278138</v>
      </c>
      <c r="J57" s="74">
        <f>I57*References!$C$55</f>
        <v>32.408974863195283</v>
      </c>
      <c r="K57" s="74">
        <f>J57/References!$G$58</f>
        <v>33.15835365581674</v>
      </c>
      <c r="L57" s="74">
        <f t="shared" ref="L57:L64" si="43">K57/F57*E57</f>
        <v>0.42374819472667313</v>
      </c>
      <c r="M57" s="74">
        <f>+'Proposed Rates'!B62*2</f>
        <v>42.91895534397085</v>
      </c>
      <c r="N57" s="74">
        <f t="shared" si="17"/>
        <v>43.342703538697521</v>
      </c>
      <c r="O57" s="74">
        <f>+'Proposed Rates'!D62*2</f>
        <v>43.342703538697521</v>
      </c>
      <c r="P57" s="74">
        <f>D57*M57*References!$B$50</f>
        <v>3358.4140712423241</v>
      </c>
      <c r="Q57" s="74">
        <f>D57*O57*References!$B$50</f>
        <v>3391.5724248981405</v>
      </c>
      <c r="R57" s="74">
        <f t="shared" si="27"/>
        <v>33.158353655816427</v>
      </c>
      <c r="S57" s="74">
        <f>D57*N57*References!$B$50</f>
        <v>3391.5724248981405</v>
      </c>
      <c r="T57" s="74">
        <f t="shared" si="29"/>
        <v>0</v>
      </c>
      <c r="U57" s="86">
        <f t="shared" si="30"/>
        <v>43.342703538697521</v>
      </c>
      <c r="V57" s="86">
        <f>D57*U57*References!$B$50</f>
        <v>3391.5724248981405</v>
      </c>
      <c r="W57" s="86">
        <f t="shared" si="32"/>
        <v>33.158353655816427</v>
      </c>
      <c r="X57" s="23">
        <f>I57*(References!$C$55/References!$G$58)</f>
        <v>33.15835365581674</v>
      </c>
      <c r="Y57" s="74">
        <f t="shared" si="18"/>
        <v>-3.1263880373444408E-13</v>
      </c>
      <c r="AA57" s="214">
        <f>(G57*$D$101*References!$C$55)*E57/References!$G$58</f>
        <v>0.42374819472667313</v>
      </c>
      <c r="AB57" s="74">
        <f t="shared" si="22"/>
        <v>0</v>
      </c>
    </row>
    <row r="58" spans="1:28">
      <c r="A58" s="221"/>
      <c r="B58" s="31">
        <v>38</v>
      </c>
      <c r="C58" t="s">
        <v>108</v>
      </c>
      <c r="D58" s="57">
        <f>+VLOOKUP(C58,'Whitman Reg - Price Out'!B:G,6,FALSE)</f>
        <v>36.760026155187447</v>
      </c>
      <c r="E58" s="66">
        <f>+References!B10</f>
        <v>4.333333333333333</v>
      </c>
      <c r="F58" s="57">
        <f>D58*E58*References!$B$50</f>
        <v>1911.5213600697471</v>
      </c>
      <c r="G58" s="60">
        <f>+References!B23</f>
        <v>47</v>
      </c>
      <c r="H58" s="60">
        <f t="shared" si="15"/>
        <v>89841.503923278113</v>
      </c>
      <c r="I58" s="57">
        <f t="shared" si="42"/>
        <v>59219.823567820713</v>
      </c>
      <c r="J58" s="74">
        <f>I58*References!$C$55</f>
        <v>148.04955891955152</v>
      </c>
      <c r="K58" s="74">
        <f>J58/References!$G$58</f>
        <v>151.47284522155874</v>
      </c>
      <c r="L58" s="74">
        <f t="shared" si="43"/>
        <v>0.34338215779575243</v>
      </c>
      <c r="M58" s="74">
        <f>+'Proposed Rates'!B66</f>
        <v>39.824670709769478</v>
      </c>
      <c r="N58" s="74">
        <f t="shared" si="17"/>
        <v>40.16805286756523</v>
      </c>
      <c r="O58" s="74">
        <f>+'Proposed Rates'!D66</f>
        <v>40.16805286756523</v>
      </c>
      <c r="P58" s="74">
        <f>D58*M58*References!$B$50</f>
        <v>17567.471242954241</v>
      </c>
      <c r="Q58" s="74">
        <f>D58*O58*References!$B$50</f>
        <v>17718.944088175798</v>
      </c>
      <c r="R58" s="74">
        <f t="shared" si="27"/>
        <v>151.47284522155678</v>
      </c>
      <c r="S58" s="74">
        <f>D58*N58*References!$B$50</f>
        <v>17718.944088175798</v>
      </c>
      <c r="T58" s="74">
        <f t="shared" si="29"/>
        <v>0</v>
      </c>
      <c r="U58" s="86">
        <f t="shared" si="30"/>
        <v>40.16805286756523</v>
      </c>
      <c r="V58" s="86">
        <f>D58*U58*References!$B$50</f>
        <v>17718.944088175798</v>
      </c>
      <c r="W58" s="86">
        <f t="shared" si="32"/>
        <v>151.47284522155678</v>
      </c>
      <c r="X58" s="23">
        <f>I58*(References!$C$55/References!$G$58)</f>
        <v>151.47284522155871</v>
      </c>
      <c r="Y58" s="74">
        <f t="shared" si="18"/>
        <v>-1.9326762412674725E-12</v>
      </c>
      <c r="AA58" s="214">
        <f>(G58*$D$101*References!$C$55)*E58/References!$G$58</f>
        <v>0.34338215779575232</v>
      </c>
      <c r="AB58" s="74">
        <f t="shared" si="22"/>
        <v>0</v>
      </c>
    </row>
    <row r="59" spans="1:28">
      <c r="A59" s="221"/>
      <c r="B59" s="31">
        <v>38</v>
      </c>
      <c r="C59" t="s">
        <v>351</v>
      </c>
      <c r="D59" s="57">
        <f>+VLOOKUP(C59,'Whitman Reg - Price Out'!B:G,6,FALSE)</f>
        <v>4.0000000000000009</v>
      </c>
      <c r="E59" s="134">
        <f>+References!$B$10</f>
        <v>4.333333333333333</v>
      </c>
      <c r="F59" s="60">
        <f>D59*E59*References!$B$50</f>
        <v>208.00000000000003</v>
      </c>
      <c r="G59" s="60">
        <f>+References!B23*2</f>
        <v>94</v>
      </c>
      <c r="H59" s="60">
        <f t="shared" ref="H59" si="44">F59*G59</f>
        <v>19552.000000000004</v>
      </c>
      <c r="I59" s="57">
        <f t="shared" si="42"/>
        <v>12887.874087535452</v>
      </c>
      <c r="J59" s="74">
        <f>I59*References!$C$55</f>
        <v>32.219685218838571</v>
      </c>
      <c r="K59" s="74">
        <f>J59/References!$G$58</f>
        <v>32.964687148392237</v>
      </c>
      <c r="L59" s="74">
        <f t="shared" si="43"/>
        <v>0.68676431559150475</v>
      </c>
      <c r="M59" s="74">
        <f>+'Proposed Rates'!B66*2</f>
        <v>79.649341419538956</v>
      </c>
      <c r="N59" s="74">
        <f t="shared" si="17"/>
        <v>80.336105735130459</v>
      </c>
      <c r="O59" s="74">
        <f>+'Proposed Rates'!D66*2</f>
        <v>80.336105735130459</v>
      </c>
      <c r="P59" s="74">
        <f>D59*M59*References!$B$50</f>
        <v>3823.1683881378704</v>
      </c>
      <c r="Q59" s="74">
        <f>D59*O59*References!$B$50</f>
        <v>3856.1330752862627</v>
      </c>
      <c r="R59" s="74">
        <f t="shared" si="27"/>
        <v>32.964687148392386</v>
      </c>
      <c r="S59" s="74">
        <f>D59*N59*References!$B$50</f>
        <v>3856.1330752862627</v>
      </c>
      <c r="T59" s="74">
        <f t="shared" si="29"/>
        <v>0</v>
      </c>
      <c r="U59" s="86">
        <f t="shared" si="30"/>
        <v>80.336105735130459</v>
      </c>
      <c r="V59" s="86">
        <f>D59*U59*References!$B$50</f>
        <v>3856.1330752862627</v>
      </c>
      <c r="W59" s="86">
        <f t="shared" si="32"/>
        <v>32.964687148392386</v>
      </c>
      <c r="X59" s="23">
        <f>I59*(References!$C$55/References!$G$58)</f>
        <v>32.964687148392237</v>
      </c>
      <c r="Y59" s="74">
        <f t="shared" si="18"/>
        <v>1.4921397450962104E-13</v>
      </c>
      <c r="AA59" s="214">
        <f>(G59*$D$101*References!$C$55)*E59/References!$G$58</f>
        <v>0.68676431559150464</v>
      </c>
      <c r="AB59" s="74">
        <f t="shared" si="22"/>
        <v>0</v>
      </c>
    </row>
    <row r="60" spans="1:28">
      <c r="A60" s="221"/>
      <c r="B60" s="31">
        <v>38</v>
      </c>
      <c r="C60" t="s">
        <v>110</v>
      </c>
      <c r="D60" s="57">
        <f>+VLOOKUP(C60,'Whitman Reg - Price Out'!B:G,6,FALSE)</f>
        <v>0.99999999999999989</v>
      </c>
      <c r="E60" s="134">
        <f>+References!$B$10</f>
        <v>4.333333333333333</v>
      </c>
      <c r="F60" s="60">
        <f>D60*E60*References!$B$50</f>
        <v>51.999999999999986</v>
      </c>
      <c r="G60" s="60">
        <f>+References!B23*5</f>
        <v>235</v>
      </c>
      <c r="H60" s="60">
        <f t="shared" si="15"/>
        <v>12219.999999999996</v>
      </c>
      <c r="I60" s="57">
        <f t="shared" si="42"/>
        <v>8054.9213047096546</v>
      </c>
      <c r="J60" s="74">
        <f>I60*References!$C$55</f>
        <v>20.137303261774097</v>
      </c>
      <c r="K60" s="74">
        <f>J60/References!$G$58</f>
        <v>20.602929467745135</v>
      </c>
      <c r="L60" s="74">
        <f t="shared" si="43"/>
        <v>1.7169107889787616</v>
      </c>
      <c r="M60" s="74">
        <f>+'Proposed Rates'!B66*5</f>
        <v>199.12335354884738</v>
      </c>
      <c r="N60" s="74">
        <f t="shared" si="17"/>
        <v>200.84026433782614</v>
      </c>
      <c r="O60" s="74">
        <f>+'Proposed Rates'!D66*5</f>
        <v>200.84026433782614</v>
      </c>
      <c r="P60" s="74">
        <f>D60*M60*References!$B$50</f>
        <v>2389.4802425861681</v>
      </c>
      <c r="Q60" s="74">
        <f>D60*O60*References!$B$50</f>
        <v>2410.0831720539136</v>
      </c>
      <c r="R60" s="74">
        <f t="shared" si="27"/>
        <v>20.602929467745525</v>
      </c>
      <c r="S60" s="74">
        <f>D60*N60*References!$B$50</f>
        <v>2410.0831720539136</v>
      </c>
      <c r="T60" s="74">
        <f>Q60-S60</f>
        <v>0</v>
      </c>
      <c r="U60" s="86">
        <f t="shared" si="30"/>
        <v>200.84026433782614</v>
      </c>
      <c r="V60" s="86">
        <f>D60*U60*References!$B$50</f>
        <v>2410.0831720539136</v>
      </c>
      <c r="W60" s="86">
        <f t="shared" si="32"/>
        <v>20.602929467745525</v>
      </c>
      <c r="X60" s="23">
        <f>I60*(References!$C$55/References!$G$58)</f>
        <v>20.602929467745138</v>
      </c>
      <c r="Y60" s="74">
        <f t="shared" si="18"/>
        <v>3.872457909892546E-13</v>
      </c>
      <c r="AA60" s="214">
        <f>(G60*$D$101*References!$C$55)*E60/References!$G$58</f>
        <v>1.7169107889787618</v>
      </c>
      <c r="AB60" s="74">
        <f t="shared" si="22"/>
        <v>0</v>
      </c>
    </row>
    <row r="61" spans="1:28">
      <c r="A61" s="221"/>
      <c r="B61" s="31">
        <v>38</v>
      </c>
      <c r="C61" t="s">
        <v>112</v>
      </c>
      <c r="D61" s="57">
        <f>+VLOOKUP(C61,'Whitman Reg - Price Out'!B:G,6,FALSE)</f>
        <v>134.29171726985666</v>
      </c>
      <c r="E61" s="66">
        <f>+References!B10</f>
        <v>4.333333333333333</v>
      </c>
      <c r="F61" s="57">
        <f>D61*E61*References!$B$50</f>
        <v>6983.1692980325461</v>
      </c>
      <c r="G61" s="57">
        <f>+References!B24</f>
        <v>68</v>
      </c>
      <c r="H61" s="57">
        <f t="shared" si="15"/>
        <v>474855.51226621313</v>
      </c>
      <c r="I61" s="57">
        <f t="shared" si="42"/>
        <v>313005.21950997855</v>
      </c>
      <c r="J61" s="74">
        <f>I61*References!$C$55</f>
        <v>782.51304877494488</v>
      </c>
      <c r="K61" s="74">
        <f>J61/References!$G$58</f>
        <v>800.60676158680667</v>
      </c>
      <c r="L61" s="74">
        <f t="shared" si="43"/>
        <v>0.49680822830023741</v>
      </c>
      <c r="M61" s="74">
        <f>+'Proposed Rates'!B70</f>
        <v>47.787395920517547</v>
      </c>
      <c r="N61" s="74">
        <f t="shared" si="17"/>
        <v>48.284204148817786</v>
      </c>
      <c r="O61" s="74">
        <f>+'Proposed Rates'!D70</f>
        <v>48.284204148817786</v>
      </c>
      <c r="P61" s="74">
        <f>D61*M61*References!$B$50</f>
        <v>77009.417544250129</v>
      </c>
      <c r="Q61" s="74">
        <f>D61*O61*References!$B$50</f>
        <v>77810.024305836938</v>
      </c>
      <c r="R61" s="74">
        <f t="shared" si="27"/>
        <v>800.60676158680872</v>
      </c>
      <c r="S61" s="74">
        <f>D61*N61*References!$B$50</f>
        <v>77810.024305836938</v>
      </c>
      <c r="T61" s="74">
        <f t="shared" si="29"/>
        <v>0</v>
      </c>
      <c r="U61" s="86">
        <f t="shared" si="30"/>
        <v>48.284204148817786</v>
      </c>
      <c r="V61" s="86">
        <f>D61*U61*References!$B$50</f>
        <v>77810.024305836938</v>
      </c>
      <c r="W61" s="86">
        <f t="shared" si="32"/>
        <v>800.60676158680872</v>
      </c>
      <c r="X61" s="23">
        <f>I61*(References!$C$55/References!$G$58)</f>
        <v>800.60676158680667</v>
      </c>
      <c r="Y61" s="74">
        <f t="shared" si="18"/>
        <v>2.0463630789890885E-12</v>
      </c>
      <c r="AA61" s="214">
        <f>(G61*$D$101*References!$C$55)*E61/References!$G$58</f>
        <v>0.49680822830023746</v>
      </c>
      <c r="AB61" s="74">
        <f t="shared" si="22"/>
        <v>0</v>
      </c>
    </row>
    <row r="62" spans="1:28">
      <c r="A62" s="221"/>
      <c r="B62" s="31">
        <v>38</v>
      </c>
      <c r="C62" t="s">
        <v>114</v>
      </c>
      <c r="D62" s="57">
        <f>+VLOOKUP(C62,'Whitman Reg - Price Out'!B:G,6,FALSE)</f>
        <v>13.072523179076077</v>
      </c>
      <c r="E62" s="134">
        <f>+References!$B$10</f>
        <v>4.333333333333333</v>
      </c>
      <c r="F62" s="60">
        <f>D62*E62*References!$B$50</f>
        <v>679.77120531195601</v>
      </c>
      <c r="G62" s="60">
        <f>+References!B24*2</f>
        <v>136</v>
      </c>
      <c r="H62" s="57">
        <f t="shared" si="15"/>
        <v>92448.883922426015</v>
      </c>
      <c r="I62" s="57">
        <f t="shared" si="42"/>
        <v>60938.501203222535</v>
      </c>
      <c r="J62" s="74">
        <f>I62*References!$C$55</f>
        <v>152.34625300805604</v>
      </c>
      <c r="K62" s="74">
        <f>J62/References!$G$58</f>
        <v>155.86888992025376</v>
      </c>
      <c r="L62" s="74">
        <f>K62/F62*E62</f>
        <v>0.99361645660047482</v>
      </c>
      <c r="M62" s="74">
        <f>+'Proposed Rates'!B70*2</f>
        <v>95.574791841035093</v>
      </c>
      <c r="N62" s="74">
        <f t="shared" si="17"/>
        <v>96.568408297635571</v>
      </c>
      <c r="O62" s="74">
        <f>+'Proposed Rates'!D70*2</f>
        <v>96.568408297635571</v>
      </c>
      <c r="P62" s="74">
        <f>D62*M62*References!$B$50</f>
        <v>14992.844180127628</v>
      </c>
      <c r="Q62" s="74">
        <f>D62*O62*References!$B$50</f>
        <v>15148.713070047885</v>
      </c>
      <c r="R62" s="74">
        <f t="shared" si="27"/>
        <v>155.86888992025706</v>
      </c>
      <c r="S62" s="74">
        <f>D62*N62*References!$B$50</f>
        <v>15148.713070047885</v>
      </c>
      <c r="T62" s="74">
        <f t="shared" si="29"/>
        <v>0</v>
      </c>
      <c r="U62" s="86">
        <f t="shared" si="30"/>
        <v>96.568408297635571</v>
      </c>
      <c r="V62" s="86">
        <f>D62*U62*References!$B$50</f>
        <v>15148.713070047885</v>
      </c>
      <c r="W62" s="86">
        <f t="shared" si="32"/>
        <v>155.86888992025706</v>
      </c>
      <c r="X62" s="23">
        <f>I62*(References!$C$55/References!$G$58)</f>
        <v>155.86888992025379</v>
      </c>
      <c r="Y62" s="74">
        <f t="shared" si="18"/>
        <v>3.2684965844964609E-12</v>
      </c>
      <c r="AA62" s="214">
        <f>(G62*$D$101*References!$C$55)*E62/References!$G$58</f>
        <v>0.99361645660047493</v>
      </c>
      <c r="AB62" s="74">
        <f t="shared" si="22"/>
        <v>0</v>
      </c>
    </row>
    <row r="63" spans="1:28">
      <c r="A63" s="221"/>
      <c r="B63" s="31">
        <v>38</v>
      </c>
      <c r="C63" t="s">
        <v>116</v>
      </c>
      <c r="D63" s="57">
        <f>+VLOOKUP(C63,'Whitman Reg - Price Out'!B:G,6,FALSE)</f>
        <v>1.0000101218672823</v>
      </c>
      <c r="E63" s="134">
        <f>+References!$B$9</f>
        <v>8.6666666666666661</v>
      </c>
      <c r="F63" s="60">
        <f>D63*E63*References!$B$50</f>
        <v>104.00105267419735</v>
      </c>
      <c r="G63" s="60">
        <f>+References!B24</f>
        <v>68</v>
      </c>
      <c r="H63" s="57">
        <f t="shared" si="15"/>
        <v>7072.07158184542</v>
      </c>
      <c r="I63" s="57">
        <f t="shared" si="42"/>
        <v>4661.6186622781015</v>
      </c>
      <c r="J63" s="74">
        <f>I63*References!$C$55</f>
        <v>11.654046655695232</v>
      </c>
      <c r="K63" s="74">
        <f>J63/References!$G$58</f>
        <v>11.923518166252538</v>
      </c>
      <c r="L63" s="74">
        <f t="shared" si="43"/>
        <v>0.99361645660047493</v>
      </c>
      <c r="M63" s="74">
        <f>+'Proposed Rates'!B70*2</f>
        <v>95.574791841035093</v>
      </c>
      <c r="N63" s="74">
        <f t="shared" si="17"/>
        <v>96.568408297635571</v>
      </c>
      <c r="O63" s="74">
        <f>+'Proposed Rates'!D70*2</f>
        <v>96.568408297635571</v>
      </c>
      <c r="P63" s="74">
        <f>D63*M63*References!$B$50</f>
        <v>1146.9091108367238</v>
      </c>
      <c r="Q63" s="74">
        <f>D63*O63*References!$B$50</f>
        <v>1158.8326290029763</v>
      </c>
      <c r="R63" s="74">
        <f t="shared" si="27"/>
        <v>11.923518166252506</v>
      </c>
      <c r="S63" s="74">
        <f>D63*N63*References!$B$50</f>
        <v>1158.8326290029763</v>
      </c>
      <c r="T63" s="74">
        <f t="shared" si="29"/>
        <v>0</v>
      </c>
      <c r="U63" s="86">
        <f t="shared" si="30"/>
        <v>96.568408297635571</v>
      </c>
      <c r="V63" s="86">
        <f>D63*U63*References!$B$50</f>
        <v>1158.8326290029763</v>
      </c>
      <c r="W63" s="86">
        <f t="shared" si="32"/>
        <v>11.923518166252506</v>
      </c>
      <c r="X63" s="23">
        <f>I63*(References!$C$55/References!$G$58)</f>
        <v>11.923518166252538</v>
      </c>
      <c r="Y63" s="74">
        <f t="shared" si="18"/>
        <v>-3.1974423109204508E-14</v>
      </c>
      <c r="AA63" s="214">
        <f>(G63*$D$101*References!$C$55)*E63/References!$G$58</f>
        <v>0.99361645660047493</v>
      </c>
      <c r="AB63" s="74">
        <f t="shared" si="22"/>
        <v>0</v>
      </c>
    </row>
    <row r="64" spans="1:28">
      <c r="A64" s="221"/>
      <c r="B64" s="31">
        <v>38</v>
      </c>
      <c r="C64" t="s">
        <v>118</v>
      </c>
      <c r="D64" s="57">
        <f>+VLOOKUP(C64,'Whitman Reg - Price Out'!B:G,6,FALSE)</f>
        <v>1.0000000000000002</v>
      </c>
      <c r="E64" s="134">
        <f>+References!$B$9</f>
        <v>8.6666666666666661</v>
      </c>
      <c r="F64" s="60">
        <f>D64*E64*References!$B$50</f>
        <v>104.00000000000001</v>
      </c>
      <c r="G64" s="60">
        <f>+References!B24*4</f>
        <v>272</v>
      </c>
      <c r="H64" s="57">
        <f t="shared" si="15"/>
        <v>28288.000000000004</v>
      </c>
      <c r="I64" s="57">
        <f t="shared" si="42"/>
        <v>18646.285913881082</v>
      </c>
      <c r="J64" s="74">
        <f>I64*References!$C$55</f>
        <v>46.615714784702618</v>
      </c>
      <c r="K64" s="74">
        <f>J64/References!$G$58</f>
        <v>47.693589916822809</v>
      </c>
      <c r="L64" s="74">
        <f t="shared" si="43"/>
        <v>3.9744658264018997</v>
      </c>
      <c r="M64" s="74">
        <f>+'Proposed Rates'!B70*8</f>
        <v>382.29916736414037</v>
      </c>
      <c r="N64" s="74">
        <f t="shared" si="17"/>
        <v>386.27363319054228</v>
      </c>
      <c r="O64" s="74">
        <f>+'Proposed Rates'!D70*8</f>
        <v>386.27363319054228</v>
      </c>
      <c r="P64" s="74">
        <f>D64*M64*References!$B$50</f>
        <v>4587.5900083696852</v>
      </c>
      <c r="Q64" s="74">
        <f>D64*O64*References!$B$50</f>
        <v>4635.283598286509</v>
      </c>
      <c r="R64" s="74">
        <f t="shared" si="27"/>
        <v>47.693589916823839</v>
      </c>
      <c r="S64" s="74">
        <f>D64*N64*References!$B$50</f>
        <v>4635.283598286509</v>
      </c>
      <c r="T64" s="74">
        <f t="shared" si="29"/>
        <v>0</v>
      </c>
      <c r="U64" s="86">
        <f t="shared" si="30"/>
        <v>386.27363319054228</v>
      </c>
      <c r="V64" s="86">
        <f>D64*U64*References!$B$50</f>
        <v>4635.283598286509</v>
      </c>
      <c r="W64" s="86">
        <f t="shared" si="32"/>
        <v>47.693589916823839</v>
      </c>
      <c r="X64" s="23">
        <f>I64*(References!$C$55/References!$G$58)</f>
        <v>47.693589916822809</v>
      </c>
      <c r="Y64" s="74">
        <f t="shared" si="18"/>
        <v>1.0302869668521453E-12</v>
      </c>
      <c r="AA64" s="214">
        <f>(G64*$D$101*References!$C$55)*E64/References!$G$58</f>
        <v>3.9744658264018997</v>
      </c>
      <c r="AB64" s="74">
        <f t="shared" si="22"/>
        <v>0</v>
      </c>
    </row>
    <row r="65" spans="1:28">
      <c r="A65" s="221"/>
      <c r="B65" s="31">
        <v>38</v>
      </c>
      <c r="C65" t="s">
        <v>120</v>
      </c>
      <c r="D65" s="57">
        <f>+VLOOKUP(C65,'Whitman Reg - Price Out'!B:G,6,FALSE)</f>
        <v>1.4166666666666667</v>
      </c>
      <c r="E65" s="66">
        <f>+References!B12</f>
        <v>1</v>
      </c>
      <c r="F65" s="57">
        <f>D65*E65*References!$B$50</f>
        <v>17</v>
      </c>
      <c r="G65" s="57">
        <f>+References!B28</f>
        <v>29</v>
      </c>
      <c r="H65" s="57">
        <f t="shared" si="15"/>
        <v>493</v>
      </c>
      <c r="I65" s="57">
        <f t="shared" si="42"/>
        <v>324.96531941259087</v>
      </c>
      <c r="J65" s="74">
        <f>I65*References!$C$55</f>
        <v>0.8124132985314757</v>
      </c>
      <c r="K65" s="74">
        <f>J65/References!$G$58</f>
        <v>0.83119838196385887</v>
      </c>
      <c r="L65" s="74">
        <f>K65/F65</f>
        <v>4.8894022468462285E-2</v>
      </c>
      <c r="M65" s="74">
        <f>+'Proposed Rates'!B61</f>
        <v>13.369110231996636</v>
      </c>
      <c r="N65" s="74">
        <f t="shared" si="17"/>
        <v>13.418004254465098</v>
      </c>
      <c r="O65" s="74">
        <f>+'Proposed Rates'!D61</f>
        <v>13.418004254465098</v>
      </c>
      <c r="P65" s="74">
        <f t="shared" si="25"/>
        <v>227.27487394394282</v>
      </c>
      <c r="Q65" s="74">
        <f t="shared" si="26"/>
        <v>228.10607232590667</v>
      </c>
      <c r="R65" s="74">
        <f t="shared" si="27"/>
        <v>0.83119838196384421</v>
      </c>
      <c r="S65" s="74">
        <f t="shared" si="28"/>
        <v>228.10607232590667</v>
      </c>
      <c r="T65" s="74">
        <f t="shared" si="29"/>
        <v>0</v>
      </c>
      <c r="U65" s="86">
        <f t="shared" si="30"/>
        <v>13.418004254465098</v>
      </c>
      <c r="V65" s="86">
        <f t="shared" si="31"/>
        <v>228.10607232590667</v>
      </c>
      <c r="W65" s="86">
        <f t="shared" si="32"/>
        <v>0.83119838196384421</v>
      </c>
      <c r="X65" s="23">
        <f>I65*(References!$C$55/References!$G$58)</f>
        <v>0.83119838196385887</v>
      </c>
      <c r="Y65" s="74">
        <f t="shared" si="18"/>
        <v>-1.4654943925052066E-14</v>
      </c>
      <c r="AA65" s="214">
        <f>(G65*$D$101*References!$C$55)/References!$G$58</f>
        <v>4.8894022468462285E-2</v>
      </c>
      <c r="AB65" s="74">
        <f t="shared" si="22"/>
        <v>0</v>
      </c>
    </row>
    <row r="66" spans="1:28">
      <c r="A66" s="221"/>
      <c r="B66" s="31">
        <v>38</v>
      </c>
      <c r="C66" t="s">
        <v>122</v>
      </c>
      <c r="D66" s="57">
        <f>+VLOOKUP(C66,'Whitman Reg - Price Out'!B:G,6,FALSE)</f>
        <v>275.43407668231612</v>
      </c>
      <c r="E66" s="66">
        <f>+References!B12</f>
        <v>1</v>
      </c>
      <c r="F66" s="57">
        <f>D66*E66*References!$B$50</f>
        <v>3305.2089201877934</v>
      </c>
      <c r="G66" s="60">
        <f>+References!B28</f>
        <v>29</v>
      </c>
      <c r="H66" s="57">
        <f t="shared" si="15"/>
        <v>95851.058685446013</v>
      </c>
      <c r="I66" s="57">
        <f t="shared" si="42"/>
        <v>63181.074851421821</v>
      </c>
      <c r="J66" s="74">
        <f>I66*References!$C$55</f>
        <v>157.95268712855426</v>
      </c>
      <c r="K66" s="74">
        <f>J66/References!$G$58</f>
        <v>161.60495920662396</v>
      </c>
      <c r="L66" s="74">
        <f t="shared" ref="L66:L80" si="45">K66/F66</f>
        <v>4.8894022468462292E-2</v>
      </c>
      <c r="M66" s="74">
        <f>+'Proposed Rates'!B60</f>
        <v>4.9391102319966365</v>
      </c>
      <c r="N66" s="74">
        <f t="shared" si="17"/>
        <v>4.9880042544650989</v>
      </c>
      <c r="O66" s="74">
        <f>+'Proposed Rates'!D60</f>
        <v>4.9880042544650989</v>
      </c>
      <c r="P66" s="74">
        <f t="shared" si="25"/>
        <v>16324.791196586084</v>
      </c>
      <c r="Q66" s="74">
        <f t="shared" si="26"/>
        <v>16486.39615579271</v>
      </c>
      <c r="R66" s="74">
        <f t="shared" si="27"/>
        <v>161.60495920662652</v>
      </c>
      <c r="S66" s="74">
        <f t="shared" si="28"/>
        <v>16486.39615579271</v>
      </c>
      <c r="T66" s="74">
        <f t="shared" si="29"/>
        <v>0</v>
      </c>
      <c r="U66" s="86">
        <f t="shared" si="30"/>
        <v>4.9880042544650989</v>
      </c>
      <c r="V66" s="86">
        <f t="shared" si="31"/>
        <v>16486.39615579271</v>
      </c>
      <c r="W66" s="86">
        <f t="shared" si="32"/>
        <v>161.60495920662652</v>
      </c>
      <c r="X66" s="23">
        <f>I66*(References!$C$55/References!$G$58)</f>
        <v>161.60495920662396</v>
      </c>
      <c r="Y66" s="74">
        <f t="shared" si="18"/>
        <v>2.5579538487363607E-12</v>
      </c>
      <c r="AA66" s="214">
        <f>(G66*$D$101*References!$C$55)/References!$G$58</f>
        <v>4.8894022468462285E-2</v>
      </c>
      <c r="AB66" s="74">
        <f t="shared" si="22"/>
        <v>0</v>
      </c>
    </row>
    <row r="67" spans="1:28">
      <c r="A67" s="221"/>
      <c r="B67" s="31">
        <v>21</v>
      </c>
      <c r="C67" t="s">
        <v>124</v>
      </c>
      <c r="D67" s="57">
        <f>+VLOOKUP(C67,'Whitman Reg - Price Out'!B:G,6,FALSE)</f>
        <v>0.49999999999999994</v>
      </c>
      <c r="E67" s="66">
        <f>+References!B12</f>
        <v>1</v>
      </c>
      <c r="F67" s="57">
        <f>D67*E67*References!$B$50</f>
        <v>5.9999999999999991</v>
      </c>
      <c r="G67" s="217">
        <v>0</v>
      </c>
      <c r="H67" s="57">
        <f t="shared" si="15"/>
        <v>0</v>
      </c>
      <c r="I67" s="57">
        <f t="shared" si="42"/>
        <v>0</v>
      </c>
      <c r="J67" s="74">
        <f>I67*References!$C$55</f>
        <v>0</v>
      </c>
      <c r="K67" s="74">
        <f>J67/References!$G$58</f>
        <v>0</v>
      </c>
      <c r="L67" s="74">
        <f t="shared" si="45"/>
        <v>0</v>
      </c>
      <c r="M67" s="74">
        <f>+'Proposed Rates'!B7</f>
        <v>4.8458533754443325</v>
      </c>
      <c r="N67" s="74">
        <f t="shared" si="17"/>
        <v>4.8458533754443325</v>
      </c>
      <c r="O67" s="74">
        <f>+'Proposed Rates'!D7</f>
        <v>4.8458533754443325</v>
      </c>
      <c r="P67" s="74">
        <f t="shared" si="25"/>
        <v>29.07512025266599</v>
      </c>
      <c r="Q67" s="74">
        <f t="shared" si="26"/>
        <v>29.07512025266599</v>
      </c>
      <c r="R67" s="74">
        <f t="shared" si="27"/>
        <v>0</v>
      </c>
      <c r="S67" s="74">
        <f t="shared" si="28"/>
        <v>29.07512025266599</v>
      </c>
      <c r="T67" s="74">
        <f t="shared" si="29"/>
        <v>0</v>
      </c>
      <c r="U67" s="86">
        <f t="shared" si="30"/>
        <v>4.8458533754443325</v>
      </c>
      <c r="V67" s="86">
        <f t="shared" si="31"/>
        <v>29.07512025266599</v>
      </c>
      <c r="W67" s="86">
        <f t="shared" si="32"/>
        <v>0</v>
      </c>
      <c r="X67" s="23">
        <f>I67*(References!$C$55/References!$G$58)</f>
        <v>0</v>
      </c>
      <c r="Y67" s="74">
        <f t="shared" si="18"/>
        <v>0</v>
      </c>
      <c r="AA67" s="214">
        <f>(G67*$D$101*References!$C$55)/References!$G$58</f>
        <v>0</v>
      </c>
      <c r="AB67" s="74">
        <f t="shared" si="22"/>
        <v>0</v>
      </c>
    </row>
    <row r="68" spans="1:28">
      <c r="A68" s="221"/>
      <c r="B68" s="31">
        <v>37</v>
      </c>
      <c r="C68" t="s">
        <v>128</v>
      </c>
      <c r="D68" s="57">
        <f>+VLOOKUP(C68,'Whitman Reg - Price Out'!B:G,6,FALSE)</f>
        <v>0.75</v>
      </c>
      <c r="E68" s="66">
        <f>+References!B12</f>
        <v>1</v>
      </c>
      <c r="F68" s="57">
        <f>D68*E68*References!$B$50</f>
        <v>9</v>
      </c>
      <c r="G68" s="57">
        <f>+References!B29</f>
        <v>175</v>
      </c>
      <c r="H68" s="57">
        <f t="shared" si="15"/>
        <v>1575</v>
      </c>
      <c r="I68" s="57">
        <f t="shared" si="42"/>
        <v>1038.1752090767357</v>
      </c>
      <c r="J68" s="74">
        <f>I68*References!$C$55</f>
        <v>2.5954380226918343</v>
      </c>
      <c r="K68" s="74">
        <f>J68/References!$G$58</f>
        <v>2.6554512202699345</v>
      </c>
      <c r="L68" s="74">
        <f t="shared" si="45"/>
        <v>0.29505013558554827</v>
      </c>
      <c r="M68" s="74">
        <f>+'Proposed Rates'!B43</f>
        <v>44.036010020669359</v>
      </c>
      <c r="N68" s="74">
        <f t="shared" si="17"/>
        <v>44.331060156254907</v>
      </c>
      <c r="O68" s="74">
        <f>+'Proposed Rates'!D43</f>
        <v>44.331060156254907</v>
      </c>
      <c r="P68" s="74">
        <f t="shared" si="25"/>
        <v>396.32409018602425</v>
      </c>
      <c r="Q68" s="74">
        <f t="shared" si="26"/>
        <v>398.97954140629417</v>
      </c>
      <c r="R68" s="74">
        <f t="shared" si="27"/>
        <v>2.6554512202699243</v>
      </c>
      <c r="S68" s="74">
        <f t="shared" si="28"/>
        <v>398.97954140629417</v>
      </c>
      <c r="T68" s="74">
        <f t="shared" si="29"/>
        <v>0</v>
      </c>
      <c r="U68" s="86">
        <f t="shared" si="30"/>
        <v>44.331060156254907</v>
      </c>
      <c r="V68" s="86">
        <f t="shared" si="31"/>
        <v>398.97954140629417</v>
      </c>
      <c r="W68" s="86">
        <f t="shared" si="32"/>
        <v>2.6554512202699243</v>
      </c>
      <c r="X68" s="23">
        <f>I68*(References!$C$55/References!$G$58)</f>
        <v>2.6554512202699345</v>
      </c>
      <c r="Y68" s="74">
        <f t="shared" si="18"/>
        <v>-1.021405182655144E-14</v>
      </c>
      <c r="AA68" s="214">
        <f>(G68*$D$101*References!$C$55)/References!$G$58</f>
        <v>0.29505013558554827</v>
      </c>
      <c r="AB68" s="74">
        <f t="shared" si="22"/>
        <v>0</v>
      </c>
    </row>
    <row r="69" spans="1:28">
      <c r="A69" s="221"/>
      <c r="B69" s="31">
        <v>37</v>
      </c>
      <c r="C69" t="s">
        <v>130</v>
      </c>
      <c r="D69" s="57">
        <f>+VLOOKUP(C69,'Whitman Reg - Price Out'!B:G,6,FALSE)</f>
        <v>1.915664114716247</v>
      </c>
      <c r="E69" s="66">
        <f>+References!B12</f>
        <v>1</v>
      </c>
      <c r="F69" s="57">
        <f>D69*E69*References!$B$50</f>
        <v>22.987969376594965</v>
      </c>
      <c r="G69" s="57">
        <f>+References!B30</f>
        <v>250</v>
      </c>
      <c r="H69" s="57">
        <f t="shared" si="15"/>
        <v>5746.9923441487408</v>
      </c>
      <c r="I69" s="57">
        <f t="shared" si="42"/>
        <v>3788.1809386977893</v>
      </c>
      <c r="J69" s="74">
        <f>I69*References!$C$55</f>
        <v>9.4704523467444552</v>
      </c>
      <c r="K69" s="74">
        <f>J69/References!$G$58</f>
        <v>9.689433544858252</v>
      </c>
      <c r="L69" s="74">
        <f t="shared" si="45"/>
        <v>0.42150019369364045</v>
      </c>
      <c r="M69" s="74">
        <f>+'Proposed Rates'!B44</f>
        <v>63.307157172384798</v>
      </c>
      <c r="N69" s="74">
        <f t="shared" si="17"/>
        <v>63.728657366078437</v>
      </c>
      <c r="O69" s="74">
        <f>+'Proposed Rates'!D44</f>
        <v>63.728657366078437</v>
      </c>
      <c r="P69" s="74">
        <f t="shared" si="25"/>
        <v>1455.302990398066</v>
      </c>
      <c r="Q69" s="74">
        <f t="shared" si="26"/>
        <v>1464.9924239429242</v>
      </c>
      <c r="R69" s="74">
        <f t="shared" si="27"/>
        <v>9.6894335448582751</v>
      </c>
      <c r="S69" s="74">
        <f t="shared" si="28"/>
        <v>1464.9924239429242</v>
      </c>
      <c r="T69" s="74">
        <f t="shared" si="29"/>
        <v>0</v>
      </c>
      <c r="U69" s="86">
        <f t="shared" si="30"/>
        <v>63.728657366078437</v>
      </c>
      <c r="V69" s="86">
        <f t="shared" si="31"/>
        <v>1464.9924239429242</v>
      </c>
      <c r="W69" s="86">
        <f t="shared" si="32"/>
        <v>9.6894335448582751</v>
      </c>
      <c r="X69" s="23">
        <f>I69*(References!$C$55/References!$G$58)</f>
        <v>9.689433544858252</v>
      </c>
      <c r="Y69" s="74">
        <f t="shared" si="18"/>
        <v>2.3092638912203256E-14</v>
      </c>
      <c r="AA69" s="214">
        <f>(G69*$D$101*References!$C$55)/References!$G$58</f>
        <v>0.42150019369364039</v>
      </c>
      <c r="AB69" s="74">
        <f t="shared" si="22"/>
        <v>0</v>
      </c>
    </row>
    <row r="70" spans="1:28">
      <c r="A70" s="221"/>
      <c r="B70" s="31">
        <v>37</v>
      </c>
      <c r="C70" t="s">
        <v>132</v>
      </c>
      <c r="D70" s="57">
        <f>+VLOOKUP(C70,'Whitman Reg - Price Out'!B:G,6,FALSE)</f>
        <v>2.1661251224921343</v>
      </c>
      <c r="E70" s="66">
        <f>+References!B12</f>
        <v>1</v>
      </c>
      <c r="F70" s="57">
        <f>D70*E70*References!$B$50</f>
        <v>25.99350146990561</v>
      </c>
      <c r="G70" s="57">
        <f>+References!B32</f>
        <v>324</v>
      </c>
      <c r="H70" s="57">
        <f t="shared" si="15"/>
        <v>8421.8944762494175</v>
      </c>
      <c r="I70" s="57">
        <f t="shared" si="42"/>
        <v>5551.3663864777418</v>
      </c>
      <c r="J70" s="74">
        <f>I70*References!$C$55</f>
        <v>13.878415966194328</v>
      </c>
      <c r="K70" s="74">
        <f>J70/References!$G$58</f>
        <v>14.199320612026119</v>
      </c>
      <c r="L70" s="74">
        <f t="shared" si="45"/>
        <v>0.54626425102695797</v>
      </c>
      <c r="M70" s="74">
        <f>+'Proposed Rates'!B45</f>
        <v>74.656955695410701</v>
      </c>
      <c r="N70" s="74">
        <f t="shared" si="17"/>
        <v>75.203219946437656</v>
      </c>
      <c r="O70" s="74">
        <f>+'Proposed Rates'!D45</f>
        <v>75.203219946437656</v>
      </c>
      <c r="P70" s="74">
        <f t="shared" si="25"/>
        <v>1940.595687607336</v>
      </c>
      <c r="Q70" s="74">
        <f t="shared" si="26"/>
        <v>1954.795008219362</v>
      </c>
      <c r="R70" s="74">
        <f t="shared" si="27"/>
        <v>14.199320612025986</v>
      </c>
      <c r="S70" s="74">
        <f t="shared" si="28"/>
        <v>1954.795008219362</v>
      </c>
      <c r="T70" s="74">
        <f t="shared" si="29"/>
        <v>0</v>
      </c>
      <c r="U70" s="86">
        <f t="shared" si="30"/>
        <v>75.203219946437656</v>
      </c>
      <c r="V70" s="86">
        <f t="shared" si="31"/>
        <v>1954.795008219362</v>
      </c>
      <c r="W70" s="86">
        <f t="shared" si="32"/>
        <v>14.199320612025986</v>
      </c>
      <c r="X70" s="23">
        <f>I70*(References!$C$55/References!$G$58)</f>
        <v>14.199320612026119</v>
      </c>
      <c r="Y70" s="74">
        <f t="shared" si="18"/>
        <v>-1.3322676295501878E-13</v>
      </c>
      <c r="AA70" s="214">
        <f>(G70*$D$101*References!$C$55)/References!$G$58</f>
        <v>0.54626425102695797</v>
      </c>
      <c r="AB70" s="74">
        <f t="shared" si="22"/>
        <v>0</v>
      </c>
    </row>
    <row r="71" spans="1:28">
      <c r="A71" s="221"/>
      <c r="B71" s="31">
        <v>37</v>
      </c>
      <c r="C71" t="s">
        <v>134</v>
      </c>
      <c r="D71" s="57">
        <f>+VLOOKUP(C71,'Whitman Reg - Price Out'!B:G,6,FALSE)</f>
        <v>0.91666666666666685</v>
      </c>
      <c r="E71" s="66">
        <f>+References!B12</f>
        <v>1</v>
      </c>
      <c r="F71" s="57">
        <f>D71*E71*References!$B$50</f>
        <v>11.000000000000002</v>
      </c>
      <c r="G71" s="57">
        <f>+References!B33</f>
        <v>473</v>
      </c>
      <c r="H71" s="57">
        <f t="shared" si="15"/>
        <v>5203.0000000000009</v>
      </c>
      <c r="I71" s="57">
        <f t="shared" si="42"/>
        <v>3429.6035636992106</v>
      </c>
      <c r="J71" s="74">
        <f>I71*References!$C$55</f>
        <v>8.5740089092480094</v>
      </c>
      <c r="K71" s="74">
        <f>J71/References!$G$58</f>
        <v>8.7722620311520458</v>
      </c>
      <c r="L71" s="74">
        <f t="shared" si="45"/>
        <v>0.79747836646836767</v>
      </c>
      <c r="M71" s="74">
        <f>+'Proposed Rates'!B46</f>
        <v>96.407901370152032</v>
      </c>
      <c r="N71" s="74">
        <f t="shared" si="17"/>
        <v>97.205379736620401</v>
      </c>
      <c r="O71" s="74">
        <f>+'Proposed Rates'!D46</f>
        <v>97.205379736620401</v>
      </c>
      <c r="P71" s="74">
        <f t="shared" si="25"/>
        <v>1060.4869150716725</v>
      </c>
      <c r="Q71" s="74">
        <f t="shared" si="26"/>
        <v>1069.2591771028247</v>
      </c>
      <c r="R71" s="74">
        <f t="shared" si="27"/>
        <v>8.772262031152195</v>
      </c>
      <c r="S71" s="74">
        <f t="shared" si="28"/>
        <v>1069.2591771028247</v>
      </c>
      <c r="T71" s="74">
        <f t="shared" si="29"/>
        <v>0</v>
      </c>
      <c r="U71" s="86">
        <f t="shared" si="30"/>
        <v>97.205379736620401</v>
      </c>
      <c r="V71" s="86">
        <f t="shared" si="31"/>
        <v>1069.2591771028247</v>
      </c>
      <c r="W71" s="86">
        <f t="shared" si="32"/>
        <v>8.772262031152195</v>
      </c>
      <c r="X71" s="23">
        <f>I71*(References!$C$55/References!$G$58)</f>
        <v>8.7722620311520458</v>
      </c>
      <c r="Y71" s="74">
        <f t="shared" si="18"/>
        <v>1.4921397450962104E-13</v>
      </c>
      <c r="AA71" s="214">
        <f>(G71*$D$101*References!$C$55)/References!$G$58</f>
        <v>0.79747836646836756</v>
      </c>
      <c r="AB71" s="74">
        <f t="shared" si="22"/>
        <v>0</v>
      </c>
    </row>
    <row r="72" spans="1:28">
      <c r="A72" s="221"/>
      <c r="B72" s="31">
        <v>37</v>
      </c>
      <c r="C72" t="s">
        <v>136</v>
      </c>
      <c r="D72" s="57">
        <f>+VLOOKUP(C72,'Whitman Reg - Price Out'!B:G,6,FALSE)</f>
        <v>1.0833333333333333</v>
      </c>
      <c r="E72" s="66">
        <f>+References!B12</f>
        <v>1</v>
      </c>
      <c r="F72" s="57">
        <f>D72*E72*References!$B$50</f>
        <v>13</v>
      </c>
      <c r="G72" s="57">
        <f>+References!B35</f>
        <v>613</v>
      </c>
      <c r="H72" s="57">
        <f t="shared" si="15"/>
        <v>7969</v>
      </c>
      <c r="I72" s="57">
        <f t="shared" si="42"/>
        <v>5252.836978496829</v>
      </c>
      <c r="J72" s="74">
        <f>I72*References!$C$55</f>
        <v>13.132092446242048</v>
      </c>
      <c r="K72" s="74">
        <f>J72/References!$G$58</f>
        <v>13.435740174178481</v>
      </c>
      <c r="L72" s="74">
        <f t="shared" si="45"/>
        <v>1.0335184749368063</v>
      </c>
      <c r="M72" s="74">
        <f>+'Proposed Rates'!B47</f>
        <v>119.48670938668752</v>
      </c>
      <c r="N72" s="74">
        <f t="shared" si="17"/>
        <v>120.52022786162433</v>
      </c>
      <c r="O72" s="74">
        <f>+'Proposed Rates'!D47</f>
        <v>120.52022786162433</v>
      </c>
      <c r="P72" s="74">
        <f t="shared" si="25"/>
        <v>1553.3272220269378</v>
      </c>
      <c r="Q72" s="74">
        <f t="shared" si="26"/>
        <v>1566.7629622011164</v>
      </c>
      <c r="R72" s="74">
        <f t="shared" si="27"/>
        <v>13.435740174178591</v>
      </c>
      <c r="S72" s="74">
        <f t="shared" si="28"/>
        <v>1566.7629622011164</v>
      </c>
      <c r="T72" s="74">
        <f t="shared" si="29"/>
        <v>0</v>
      </c>
      <c r="U72" s="86">
        <f t="shared" si="30"/>
        <v>120.52022786162433</v>
      </c>
      <c r="V72" s="86">
        <f t="shared" si="31"/>
        <v>1566.7629622011164</v>
      </c>
      <c r="W72" s="86">
        <f t="shared" si="32"/>
        <v>13.435740174178591</v>
      </c>
      <c r="X72" s="23">
        <f>I72*(References!$C$55/References!$G$58)</f>
        <v>13.435740174178481</v>
      </c>
      <c r="Y72" s="74">
        <f t="shared" si="18"/>
        <v>1.1013412404281553E-13</v>
      </c>
      <c r="AA72" s="214">
        <f>(G72*$D$101*References!$C$55)/References!$G$58</f>
        <v>1.0335184749368063</v>
      </c>
      <c r="AB72" s="74">
        <f t="shared" si="22"/>
        <v>0</v>
      </c>
    </row>
    <row r="73" spans="1:28">
      <c r="A73" s="221"/>
      <c r="B73" s="31">
        <v>37</v>
      </c>
      <c r="C73" t="s">
        <v>353</v>
      </c>
      <c r="D73" s="57">
        <f>+VLOOKUP(C73,'Whitman Reg - Price Out'!B:G,6,FALSE)</f>
        <v>0.17896665708536938</v>
      </c>
      <c r="E73" s="66">
        <f>+References!B12</f>
        <v>1</v>
      </c>
      <c r="F73" s="57">
        <f>D73*E73*References!$B$50</f>
        <v>2.1475998850244324</v>
      </c>
      <c r="G73" s="57">
        <f>+References!B37</f>
        <v>840</v>
      </c>
      <c r="H73" s="57">
        <f t="shared" ref="H73" si="46">F73*G73</f>
        <v>1803.9839034205233</v>
      </c>
      <c r="I73" s="57">
        <f t="shared" si="42"/>
        <v>1189.111978479154</v>
      </c>
      <c r="J73" s="74">
        <f>I73*References!$C$55</f>
        <v>2.9727799461978792</v>
      </c>
      <c r="K73" s="74">
        <f>J73/References!$G$58</f>
        <v>3.0415182588478404</v>
      </c>
      <c r="L73" s="74">
        <f t="shared" si="45"/>
        <v>1.416240650810632</v>
      </c>
      <c r="M73" s="74">
        <f>+'Proposed Rates'!B48</f>
        <v>161.12284809921292</v>
      </c>
      <c r="N73" s="74">
        <f t="shared" si="17"/>
        <v>162.53908875002355</v>
      </c>
      <c r="O73" s="74">
        <f>+'Proposed Rates'!D48</f>
        <v>162.53908875002355</v>
      </c>
      <c r="P73" s="74">
        <f t="shared" si="25"/>
        <v>346.02741005267876</v>
      </c>
      <c r="Q73" s="74">
        <f t="shared" si="26"/>
        <v>349.06892831152658</v>
      </c>
      <c r="R73" s="74">
        <f t="shared" si="27"/>
        <v>3.041518258847816</v>
      </c>
      <c r="S73" s="74">
        <f t="shared" si="28"/>
        <v>349.06892831152658</v>
      </c>
      <c r="T73" s="74">
        <f t="shared" si="29"/>
        <v>0</v>
      </c>
      <c r="U73" s="86">
        <f t="shared" si="30"/>
        <v>162.53908875002355</v>
      </c>
      <c r="V73" s="86">
        <f t="shared" si="31"/>
        <v>349.06892831152658</v>
      </c>
      <c r="W73" s="86">
        <f t="shared" si="32"/>
        <v>3.041518258847816</v>
      </c>
      <c r="X73" s="23">
        <f>I73*(References!$C$55/References!$G$58)</f>
        <v>3.0415182588478404</v>
      </c>
      <c r="Y73" s="74">
        <f t="shared" si="18"/>
        <v>-2.4424906541753444E-14</v>
      </c>
      <c r="AA73" s="214">
        <f>(G73*$D$101*References!$C$55)/References!$G$58</f>
        <v>1.4162406508106318</v>
      </c>
      <c r="AB73" s="74">
        <f t="shared" si="22"/>
        <v>0</v>
      </c>
    </row>
    <row r="74" spans="1:28">
      <c r="A74" s="221"/>
      <c r="B74" s="31">
        <v>37</v>
      </c>
      <c r="C74" s="136" t="s">
        <v>465</v>
      </c>
      <c r="D74" s="57">
        <f>+VLOOKUP(C74,'Whitman Reg - Price Out'!B:G,6,FALSE)</f>
        <v>8.3333333333333329E-2</v>
      </c>
      <c r="E74" s="66">
        <v>1</v>
      </c>
      <c r="F74" s="57">
        <f>D74*E74*References!$B$50</f>
        <v>1</v>
      </c>
      <c r="G74" s="57">
        <f>+References!B39</f>
        <v>980</v>
      </c>
      <c r="H74" s="57">
        <f t="shared" ref="H74" si="47">F74*G74</f>
        <v>980</v>
      </c>
      <c r="I74" s="57">
        <f t="shared" ref="I74" si="48">H74*$D$101</f>
        <v>645.97568564774667</v>
      </c>
      <c r="J74" s="74">
        <f>I74*References!$C$55</f>
        <v>1.6149392141193637</v>
      </c>
      <c r="K74" s="74">
        <f>J74/References!$G$58</f>
        <v>1.6522807592790707</v>
      </c>
      <c r="L74" s="74">
        <f t="shared" ref="L74" si="49">K74/F74</f>
        <v>1.6522807592790707</v>
      </c>
      <c r="M74" s="74">
        <f>+'Proposed Rates'!B49</f>
        <v>203.7216561157484</v>
      </c>
      <c r="N74" s="74">
        <f t="shared" si="17"/>
        <v>205.37393687502748</v>
      </c>
      <c r="O74" s="74">
        <f>+'Proposed Rates'!D49</f>
        <v>205.37393687502748</v>
      </c>
      <c r="P74" s="74">
        <f t="shared" ref="P74" si="50">F74*M74</f>
        <v>203.7216561157484</v>
      </c>
      <c r="Q74" s="74">
        <f t="shared" ref="Q74" si="51">F74*O74</f>
        <v>205.37393687502748</v>
      </c>
      <c r="R74" s="74">
        <f t="shared" ref="R74" si="52">Q74-P74</f>
        <v>1.6522807592790798</v>
      </c>
      <c r="S74" s="74">
        <f t="shared" ref="S74" si="53">F74*N74</f>
        <v>205.37393687502748</v>
      </c>
      <c r="T74" s="74">
        <f t="shared" ref="T74" si="54">Q74-S74</f>
        <v>0</v>
      </c>
      <c r="U74" s="86">
        <f t="shared" ref="U74" si="55">N74</f>
        <v>205.37393687502748</v>
      </c>
      <c r="V74" s="86">
        <f t="shared" ref="V74" si="56">F74*U74</f>
        <v>205.37393687502748</v>
      </c>
      <c r="W74" s="86">
        <f t="shared" ref="W74" si="57">V74-P74</f>
        <v>1.6522807592790798</v>
      </c>
      <c r="X74" s="23">
        <f>I74*(References!$C$55/References!$G$58)</f>
        <v>1.6522807592790705</v>
      </c>
      <c r="Y74" s="74">
        <f t="shared" ref="Y74" si="58">W74-X74</f>
        <v>9.3258734068513149E-15</v>
      </c>
      <c r="AA74" s="214">
        <f>(G74*$D$101*References!$C$55)/References!$G$58</f>
        <v>1.6522807592790707</v>
      </c>
      <c r="AB74" s="74">
        <f t="shared" si="22"/>
        <v>0</v>
      </c>
    </row>
    <row r="75" spans="1:28">
      <c r="A75" s="221"/>
      <c r="B75" s="31">
        <v>37</v>
      </c>
      <c r="C75" t="s">
        <v>138</v>
      </c>
      <c r="D75" s="57">
        <f>+VLOOKUP(C75,'Whitman Reg - Price Out'!B:G,6,FALSE)</f>
        <v>0.5</v>
      </c>
      <c r="E75" s="66">
        <f>+References!B12</f>
        <v>1</v>
      </c>
      <c r="F75" s="57">
        <f>D75*E75*References!$B$50</f>
        <v>6</v>
      </c>
      <c r="G75" s="57">
        <f>+References!B30</f>
        <v>250</v>
      </c>
      <c r="H75" s="57">
        <f t="shared" si="15"/>
        <v>1500</v>
      </c>
      <c r="I75" s="57">
        <f t="shared" ref="I75:I80" si="59">H75*$D$101</f>
        <v>988.73829435879588</v>
      </c>
      <c r="J75" s="74">
        <f>I75*References!$C$55</f>
        <v>2.4718457358969852</v>
      </c>
      <c r="K75" s="74">
        <f>J75/References!$G$58</f>
        <v>2.5290011621618427</v>
      </c>
      <c r="L75" s="74">
        <f t="shared" si="45"/>
        <v>0.42150019369364045</v>
      </c>
      <c r="M75" s="74">
        <f>+'Proposed Rates'!B52</f>
        <v>32.257157172384801</v>
      </c>
      <c r="N75" s="74">
        <f t="shared" si="17"/>
        <v>32.67865736607844</v>
      </c>
      <c r="O75" s="74">
        <f>+'Proposed Rates'!D52</f>
        <v>32.67865736607844</v>
      </c>
      <c r="P75" s="74">
        <f t="shared" si="25"/>
        <v>193.54294303430879</v>
      </c>
      <c r="Q75" s="74">
        <f t="shared" si="26"/>
        <v>196.07194419647064</v>
      </c>
      <c r="R75" s="74">
        <f t="shared" si="27"/>
        <v>2.5290011621618476</v>
      </c>
      <c r="S75" s="74">
        <f t="shared" si="28"/>
        <v>196.07194419647064</v>
      </c>
      <c r="T75" s="74">
        <f t="shared" si="29"/>
        <v>0</v>
      </c>
      <c r="U75" s="86">
        <f t="shared" si="30"/>
        <v>32.67865736607844</v>
      </c>
      <c r="V75" s="86">
        <f t="shared" si="31"/>
        <v>196.07194419647064</v>
      </c>
      <c r="W75" s="86">
        <f t="shared" si="32"/>
        <v>2.5290011621618476</v>
      </c>
      <c r="X75" s="23">
        <f>I75*(References!$C$55/References!$G$58)</f>
        <v>2.5290011621618427</v>
      </c>
      <c r="Y75" s="74">
        <f t="shared" si="18"/>
        <v>4.8849813083506888E-15</v>
      </c>
      <c r="AA75" s="214">
        <f>(G75*$D$101*References!$C$55)/References!$G$58</f>
        <v>0.42150019369364039</v>
      </c>
      <c r="AB75" s="74">
        <f t="shared" si="22"/>
        <v>0</v>
      </c>
    </row>
    <row r="76" spans="1:28">
      <c r="A76" s="221"/>
      <c r="B76" s="31">
        <v>37</v>
      </c>
      <c r="C76" t="s">
        <v>140</v>
      </c>
      <c r="D76" s="57">
        <f>+VLOOKUP(C76,'Whitman Reg - Price Out'!B:G,6,FALSE)</f>
        <v>0.5</v>
      </c>
      <c r="E76" s="66">
        <f>+References!B12</f>
        <v>1</v>
      </c>
      <c r="F76" s="57">
        <f>D76*E76*References!$B$50</f>
        <v>6</v>
      </c>
      <c r="G76" s="57">
        <f>+References!B29</f>
        <v>175</v>
      </c>
      <c r="H76" s="57">
        <f t="shared" si="15"/>
        <v>1050</v>
      </c>
      <c r="I76" s="57">
        <f t="shared" si="59"/>
        <v>692.11680605115714</v>
      </c>
      <c r="J76" s="74">
        <f>I76*References!$C$55</f>
        <v>1.7302920151278895</v>
      </c>
      <c r="K76" s="74">
        <f>J76/References!$G$58</f>
        <v>1.7703008135132898</v>
      </c>
      <c r="L76" s="74">
        <f t="shared" si="45"/>
        <v>0.29505013558554832</v>
      </c>
      <c r="M76" s="74">
        <f>+'Proposed Rates'!B51</f>
        <v>21.436010020669357</v>
      </c>
      <c r="N76" s="74">
        <f t="shared" si="17"/>
        <v>21.731060156254905</v>
      </c>
      <c r="O76" s="74">
        <f>+'Proposed Rates'!D51</f>
        <v>21.731060156254905</v>
      </c>
      <c r="P76" s="74">
        <f t="shared" si="25"/>
        <v>128.61606012401614</v>
      </c>
      <c r="Q76" s="74">
        <f t="shared" si="26"/>
        <v>130.38636093752945</v>
      </c>
      <c r="R76" s="74">
        <f t="shared" si="27"/>
        <v>1.7703008135133018</v>
      </c>
      <c r="S76" s="74">
        <f t="shared" si="28"/>
        <v>130.38636093752945</v>
      </c>
      <c r="T76" s="74">
        <f t="shared" si="29"/>
        <v>0</v>
      </c>
      <c r="U76" s="86">
        <f t="shared" si="30"/>
        <v>21.731060156254905</v>
      </c>
      <c r="V76" s="86">
        <f t="shared" si="31"/>
        <v>130.38636093752945</v>
      </c>
      <c r="W76" s="86">
        <f t="shared" si="32"/>
        <v>1.7703008135133018</v>
      </c>
      <c r="X76" s="23">
        <f>I76*(References!$C$55/References!$G$58)</f>
        <v>1.7703008135132898</v>
      </c>
      <c r="Y76" s="74">
        <f t="shared" si="18"/>
        <v>1.1990408665951691E-14</v>
      </c>
      <c r="AA76" s="214">
        <f>(G76*$D$101*References!$C$55)/References!$G$58</f>
        <v>0.29505013558554827</v>
      </c>
      <c r="AB76" s="74">
        <f t="shared" si="22"/>
        <v>0</v>
      </c>
    </row>
    <row r="77" spans="1:28">
      <c r="A77" s="221"/>
      <c r="B77" s="31">
        <v>37</v>
      </c>
      <c r="C77" t="s">
        <v>142</v>
      </c>
      <c r="D77" s="57">
        <f>+VLOOKUP(C77,'Whitman Reg - Price Out'!B:G,6,FALSE)</f>
        <v>2.2490832896804611</v>
      </c>
      <c r="E77" s="66">
        <f>+References!B12</f>
        <v>1</v>
      </c>
      <c r="F77" s="57">
        <f>D77*E77*References!$B$50</f>
        <v>26.988999476165532</v>
      </c>
      <c r="G77" s="57">
        <f>+References!B32</f>
        <v>324</v>
      </c>
      <c r="H77" s="57">
        <f t="shared" si="15"/>
        <v>8744.4358302776327</v>
      </c>
      <c r="I77" s="57">
        <f t="shared" si="59"/>
        <v>5763.9723786390987</v>
      </c>
      <c r="J77" s="74">
        <f>I77*References!$C$55</f>
        <v>14.40993094659772</v>
      </c>
      <c r="K77" s="74">
        <f>J77/References!$G$58</f>
        <v>14.743125584814528</v>
      </c>
      <c r="L77" s="74">
        <f t="shared" si="45"/>
        <v>0.54626425102695808</v>
      </c>
      <c r="M77" s="74">
        <f>+'Proposed Rates'!B53</f>
        <v>44.456955695410699</v>
      </c>
      <c r="N77" s="74">
        <f t="shared" si="17"/>
        <v>45.003219946437653</v>
      </c>
      <c r="O77" s="74">
        <f>+'Proposed Rates'!D53</f>
        <v>45.003219946437653</v>
      </c>
      <c r="P77" s="74">
        <f t="shared" si="25"/>
        <v>1199.8487539753537</v>
      </c>
      <c r="Q77" s="74">
        <f t="shared" si="26"/>
        <v>1214.5918795601681</v>
      </c>
      <c r="R77" s="74">
        <f t="shared" si="27"/>
        <v>14.743125584814379</v>
      </c>
      <c r="S77" s="74">
        <f t="shared" si="28"/>
        <v>1214.5918795601681</v>
      </c>
      <c r="T77" s="74">
        <f t="shared" si="29"/>
        <v>0</v>
      </c>
      <c r="U77" s="86">
        <f t="shared" si="30"/>
        <v>45.003219946437653</v>
      </c>
      <c r="V77" s="86">
        <f t="shared" si="31"/>
        <v>1214.5918795601681</v>
      </c>
      <c r="W77" s="86">
        <f t="shared" si="32"/>
        <v>14.743125584814379</v>
      </c>
      <c r="X77" s="23">
        <f>I77*(References!$C$55/References!$G$58)</f>
        <v>14.743125584814527</v>
      </c>
      <c r="Y77" s="74">
        <f t="shared" si="18"/>
        <v>-1.4743761767022079E-13</v>
      </c>
      <c r="AA77" s="214">
        <f>(G77*$D$101*References!$C$55)/References!$G$58</f>
        <v>0.54626425102695797</v>
      </c>
      <c r="AB77" s="74">
        <f t="shared" si="22"/>
        <v>0</v>
      </c>
    </row>
    <row r="78" spans="1:28">
      <c r="A78" s="221"/>
      <c r="B78" s="31">
        <v>37</v>
      </c>
      <c r="C78" t="s">
        <v>144</v>
      </c>
      <c r="D78" s="57">
        <f>+VLOOKUP(C78,'Whitman Reg - Price Out'!B:G,6,FALSE)</f>
        <v>4.9166666666666652</v>
      </c>
      <c r="E78" s="66">
        <f>+References!B12</f>
        <v>1</v>
      </c>
      <c r="F78" s="57">
        <f>D78*E78*References!$B$50</f>
        <v>58.999999999999986</v>
      </c>
      <c r="G78" s="57">
        <f>+References!B33</f>
        <v>473</v>
      </c>
      <c r="H78" s="57">
        <f t="shared" si="15"/>
        <v>27906.999999999993</v>
      </c>
      <c r="I78" s="57">
        <f t="shared" si="59"/>
        <v>18395.146387113939</v>
      </c>
      <c r="J78" s="74">
        <f>I78*References!$C$55</f>
        <v>45.987865967784757</v>
      </c>
      <c r="K78" s="74">
        <f>J78/References!$G$58</f>
        <v>47.051223621633675</v>
      </c>
      <c r="L78" s="74">
        <f t="shared" si="45"/>
        <v>0.79747836646836756</v>
      </c>
      <c r="M78" s="74">
        <f>+'Proposed Rates'!B54</f>
        <v>59.807901370152038</v>
      </c>
      <c r="N78" s="74">
        <f t="shared" si="17"/>
        <v>60.605379736620407</v>
      </c>
      <c r="O78" s="74">
        <f>+'Proposed Rates'!D54</f>
        <v>60.605379736620407</v>
      </c>
      <c r="P78" s="74">
        <f t="shared" si="25"/>
        <v>3528.6661808389695</v>
      </c>
      <c r="Q78" s="74">
        <f t="shared" si="26"/>
        <v>3575.7174044606031</v>
      </c>
      <c r="R78" s="74">
        <f t="shared" si="27"/>
        <v>47.051223621633653</v>
      </c>
      <c r="S78" s="74">
        <f t="shared" si="28"/>
        <v>3575.7174044606031</v>
      </c>
      <c r="T78" s="74">
        <f t="shared" si="29"/>
        <v>0</v>
      </c>
      <c r="U78" s="86">
        <f t="shared" si="30"/>
        <v>60.605379736620407</v>
      </c>
      <c r="V78" s="86">
        <f t="shared" si="31"/>
        <v>3575.7174044606031</v>
      </c>
      <c r="W78" s="86">
        <f t="shared" si="32"/>
        <v>47.051223621633653</v>
      </c>
      <c r="X78" s="23">
        <f>I78*(References!$C$55/References!$G$58)</f>
        <v>47.051223621633682</v>
      </c>
      <c r="Y78" s="74">
        <f t="shared" si="18"/>
        <v>0</v>
      </c>
      <c r="AA78" s="214">
        <f>(G78*$D$101*References!$C$55)/References!$G$58</f>
        <v>0.79747836646836756</v>
      </c>
      <c r="AB78" s="74">
        <f t="shared" si="22"/>
        <v>0</v>
      </c>
    </row>
    <row r="79" spans="1:28">
      <c r="A79" s="221"/>
      <c r="B79" s="31">
        <v>37</v>
      </c>
      <c r="C79" t="s">
        <v>146</v>
      </c>
      <c r="D79" s="57">
        <f>+VLOOKUP(C79,'Whitman Reg - Price Out'!B:G,6,FALSE)</f>
        <v>9.9583271393885333</v>
      </c>
      <c r="E79" s="66">
        <f>+References!B12</f>
        <v>1</v>
      </c>
      <c r="F79" s="57">
        <f>D79*E79*References!$B$50</f>
        <v>119.4999256726624</v>
      </c>
      <c r="G79" s="57">
        <f>+References!B35</f>
        <v>613</v>
      </c>
      <c r="H79" s="57">
        <f t="shared" si="15"/>
        <v>73253.45443734205</v>
      </c>
      <c r="I79" s="57">
        <f t="shared" si="59"/>
        <v>48285.663730844899</v>
      </c>
      <c r="J79" s="74">
        <f>I79*References!$C$55</f>
        <v>120.71415932711201</v>
      </c>
      <c r="K79" s="74">
        <f>J79/References!$G$58</f>
        <v>123.50538093627175</v>
      </c>
      <c r="L79" s="74">
        <f t="shared" si="45"/>
        <v>1.0335184749368063</v>
      </c>
      <c r="M79" s="74">
        <f>+'Proposed Rates'!B55</f>
        <v>78.436709386687525</v>
      </c>
      <c r="N79" s="74">
        <f t="shared" si="17"/>
        <v>79.470227861624338</v>
      </c>
      <c r="O79" s="74">
        <f>+'Proposed Rates'!D55</f>
        <v>79.470227861624338</v>
      </c>
      <c r="P79" s="74">
        <f t="shared" si="25"/>
        <v>9373.1809417173808</v>
      </c>
      <c r="Q79" s="74">
        <f t="shared" si="26"/>
        <v>9496.6863226536534</v>
      </c>
      <c r="R79" s="74">
        <f t="shared" si="27"/>
        <v>123.50538093627256</v>
      </c>
      <c r="S79" s="74">
        <f t="shared" si="28"/>
        <v>9496.6863226536534</v>
      </c>
      <c r="T79" s="74">
        <f t="shared" si="29"/>
        <v>0</v>
      </c>
      <c r="U79" s="86">
        <f t="shared" si="30"/>
        <v>79.470227861624338</v>
      </c>
      <c r="V79" s="86">
        <f t="shared" si="31"/>
        <v>9496.6863226536534</v>
      </c>
      <c r="W79" s="86">
        <f t="shared" si="32"/>
        <v>123.50538093627256</v>
      </c>
      <c r="X79" s="23">
        <f>I79*(References!$C$55/References!$G$58)</f>
        <v>123.50538093627176</v>
      </c>
      <c r="Y79" s="74">
        <f t="shared" si="18"/>
        <v>7.9580786405131221E-13</v>
      </c>
      <c r="AA79" s="214">
        <f>(G79*$D$101*References!$C$55)/References!$G$58</f>
        <v>1.0335184749368063</v>
      </c>
      <c r="AB79" s="74">
        <f t="shared" si="22"/>
        <v>0</v>
      </c>
    </row>
    <row r="80" spans="1:28">
      <c r="A80" s="221"/>
      <c r="B80" s="31">
        <v>30</v>
      </c>
      <c r="C80" t="s">
        <v>148</v>
      </c>
      <c r="D80" s="57">
        <f>+VLOOKUP(C80,'Whitman Reg - Price Out'!B:G,6,FALSE)</f>
        <v>32.363570741097206</v>
      </c>
      <c r="E80" s="66">
        <f>+References!B12</f>
        <v>1</v>
      </c>
      <c r="F80" s="57">
        <f>D80*E80*References!$B$50</f>
        <v>388.36284889316647</v>
      </c>
      <c r="G80" s="57">
        <f>+References!B48</f>
        <v>125</v>
      </c>
      <c r="H80" s="57">
        <f t="shared" si="15"/>
        <v>48545.356111645808</v>
      </c>
      <c r="I80" s="57">
        <f t="shared" si="59"/>
        <v>31999.101733912681</v>
      </c>
      <c r="J80" s="74">
        <f>I80*References!$C$55</f>
        <v>79.997754334781547</v>
      </c>
      <c r="K80" s="74">
        <f>J80/References!$G$58</f>
        <v>81.847508015941827</v>
      </c>
      <c r="L80" s="74">
        <f t="shared" si="45"/>
        <v>0.2107500968468202</v>
      </c>
      <c r="M80" s="74">
        <f>+'Proposed Rates'!B27</f>
        <v>24.0585785861924</v>
      </c>
      <c r="N80" s="74">
        <f t="shared" si="17"/>
        <v>24.26932868303922</v>
      </c>
      <c r="O80" s="74">
        <f>+'Proposed Rates'!D27</f>
        <v>24.26932868303922</v>
      </c>
      <c r="P80" s="74">
        <f t="shared" si="25"/>
        <v>9343.4581200538105</v>
      </c>
      <c r="Q80" s="74">
        <f t="shared" si="26"/>
        <v>9425.305628069751</v>
      </c>
      <c r="R80" s="74">
        <f t="shared" si="27"/>
        <v>81.847508015940548</v>
      </c>
      <c r="S80" s="74">
        <f t="shared" si="28"/>
        <v>9425.305628069751</v>
      </c>
      <c r="T80" s="74">
        <f t="shared" si="29"/>
        <v>0</v>
      </c>
      <c r="U80" s="86">
        <f t="shared" si="30"/>
        <v>24.26932868303922</v>
      </c>
      <c r="V80" s="86">
        <f t="shared" si="31"/>
        <v>9425.305628069751</v>
      </c>
      <c r="W80" s="86">
        <f t="shared" si="32"/>
        <v>81.847508015940548</v>
      </c>
      <c r="X80" s="23">
        <f>I80*(References!$C$55/References!$G$58)</f>
        <v>81.847508015941827</v>
      </c>
      <c r="Y80" s="74">
        <f t="shared" si="18"/>
        <v>-1.2789769243681803E-12</v>
      </c>
      <c r="AA80" s="214">
        <f>(G80*$D$101*References!$C$55)/References!$G$58</f>
        <v>0.2107500968468202</v>
      </c>
      <c r="AB80" s="74">
        <f t="shared" si="22"/>
        <v>0</v>
      </c>
    </row>
    <row r="81" spans="1:23">
      <c r="A81" s="52"/>
      <c r="B81" s="50"/>
      <c r="C81" s="48" t="s">
        <v>0</v>
      </c>
      <c r="D81" s="58">
        <f>SUM(D25:D80)</f>
        <v>1079.4368605078789</v>
      </c>
      <c r="E81" s="67"/>
      <c r="F81" s="58">
        <f>SUM(F25:F80)</f>
        <v>44665.751464030342</v>
      </c>
      <c r="G81" s="59"/>
      <c r="H81" s="58">
        <f>SUM(H25:H80)</f>
        <v>9338477.0331345405</v>
      </c>
      <c r="I81" s="58">
        <f>SUM(I25:I80)</f>
        <v>6155539.9024334848</v>
      </c>
      <c r="J81" s="75"/>
      <c r="K81" s="75"/>
      <c r="L81" s="76"/>
      <c r="M81" s="76"/>
      <c r="N81" s="76"/>
      <c r="O81" s="76"/>
      <c r="P81" s="75">
        <f>SUM(P25:P80)</f>
        <v>1103052.8661494667</v>
      </c>
      <c r="Q81" s="75">
        <f>SUM(Q25:Q80)</f>
        <v>1118797.5456625461</v>
      </c>
      <c r="R81" s="75">
        <f>SUM(R25:R80)</f>
        <v>15744.67951307926</v>
      </c>
      <c r="S81" s="75">
        <f>SUM(S25:S80)</f>
        <v>1118797.5456625461</v>
      </c>
      <c r="T81" s="75">
        <f>SUM(T25:T80)</f>
        <v>0</v>
      </c>
      <c r="U81" s="75"/>
      <c r="V81" s="75">
        <f>SUM(V25:V80)</f>
        <v>1118797.5456625461</v>
      </c>
      <c r="W81" s="75">
        <f>SUM(W25:W80)</f>
        <v>15744.67951307926</v>
      </c>
    </row>
    <row r="82" spans="1:23">
      <c r="C82" s="51" t="s">
        <v>423</v>
      </c>
      <c r="D82" s="61">
        <f>+D24+D81</f>
        <v>4783.2513153780083</v>
      </c>
      <c r="F82" s="61">
        <f>+F24+F81</f>
        <v>221403.36777061998</v>
      </c>
      <c r="H82" s="61">
        <f>+H24+H81</f>
        <v>18400845.0880621</v>
      </c>
      <c r="I82" s="61">
        <f>+I24+I81</f>
        <v>12129080.124753959</v>
      </c>
      <c r="P82" s="77">
        <f>+P24+P81</f>
        <v>2336210.7894495996</v>
      </c>
      <c r="Q82" s="77">
        <f>+Q24+Q81</f>
        <v>2367233.6540161315</v>
      </c>
      <c r="R82" s="77">
        <f>+R24+R81</f>
        <v>31022.864566531644</v>
      </c>
      <c r="S82" s="77">
        <f>+S24+S81</f>
        <v>2367233.6540161315</v>
      </c>
      <c r="T82" s="77">
        <f>+T24+T81</f>
        <v>0</v>
      </c>
      <c r="U82" s="77"/>
      <c r="V82" s="77">
        <f>+V24+V81</f>
        <v>2367234.6285245791</v>
      </c>
      <c r="W82" s="77">
        <f>+W24+W81</f>
        <v>31023.839074979463</v>
      </c>
    </row>
    <row r="84" spans="1:23">
      <c r="W84"/>
    </row>
    <row r="85" spans="1:23" ht="15" customHeight="1">
      <c r="A85" s="32"/>
      <c r="B85" s="33"/>
      <c r="C85" s="34" t="s">
        <v>327</v>
      </c>
      <c r="D85" s="62"/>
      <c r="E85" s="68"/>
      <c r="F85" s="35"/>
      <c r="G85" s="35"/>
      <c r="H85" s="35"/>
      <c r="I85" s="35"/>
      <c r="J85" s="78"/>
      <c r="K85" s="79"/>
      <c r="L85" s="79"/>
      <c r="M85" s="79"/>
      <c r="N85" s="79"/>
      <c r="O85" s="79"/>
      <c r="Q85" s="74" t="s">
        <v>253</v>
      </c>
      <c r="R85" s="74">
        <f>+R24</f>
        <v>15278.185053452386</v>
      </c>
      <c r="S85" s="47">
        <f>+R24/P24</f>
        <v>1.2389479696619438E-2</v>
      </c>
      <c r="W85"/>
    </row>
    <row r="86" spans="1:23">
      <c r="A86" s="221" t="s">
        <v>438</v>
      </c>
      <c r="B86" s="31">
        <v>26</v>
      </c>
      <c r="C86" s="36" t="s">
        <v>328</v>
      </c>
      <c r="D86" s="29">
        <v>0</v>
      </c>
      <c r="E86" s="69">
        <f>+References!B10</f>
        <v>4.333333333333333</v>
      </c>
      <c r="F86" s="28">
        <f>E86*References!$B$50</f>
        <v>52</v>
      </c>
      <c r="G86" s="28">
        <f>+References!B21</f>
        <v>117</v>
      </c>
      <c r="H86" s="28">
        <f>F86*G86/References!B50</f>
        <v>507</v>
      </c>
      <c r="I86" s="57">
        <f t="shared" ref="I86:I91" si="60">H86*$D$101</f>
        <v>334.19354349327301</v>
      </c>
      <c r="J86" s="74">
        <f>I86*References!$C$55</f>
        <v>0.83548385873318098</v>
      </c>
      <c r="K86" s="74">
        <f>J86/References!$G$58</f>
        <v>0.8548023928107028</v>
      </c>
      <c r="L86" s="74">
        <f>K86</f>
        <v>0.8548023928107028</v>
      </c>
      <c r="M86" s="80">
        <f>'Proposed Rates'!B15</f>
        <v>59.38375474559637</v>
      </c>
      <c r="N86" s="80">
        <f t="shared" ref="N86:N91" si="61">K86+M86</f>
        <v>60.238557138407074</v>
      </c>
      <c r="O86" s="80">
        <f>'Proposed Rates'!D15</f>
        <v>60.238557138407074</v>
      </c>
      <c r="Q86" s="74" t="s">
        <v>254</v>
      </c>
      <c r="R86" s="74">
        <f>+R81</f>
        <v>15744.67951307926</v>
      </c>
      <c r="S86" s="47">
        <f>+R81/P81</f>
        <v>1.4273730658114995E-2</v>
      </c>
      <c r="W86"/>
    </row>
    <row r="87" spans="1:23">
      <c r="A87" s="222"/>
      <c r="B87" s="31">
        <v>26</v>
      </c>
      <c r="C87" s="37" t="s">
        <v>329</v>
      </c>
      <c r="D87" s="63">
        <v>0</v>
      </c>
      <c r="E87" s="70">
        <f>+References!B10</f>
        <v>4.333333333333333</v>
      </c>
      <c r="F87" s="28">
        <f>E87*References!$B$50</f>
        <v>52</v>
      </c>
      <c r="G87" s="38">
        <f>+References!B22</f>
        <v>157</v>
      </c>
      <c r="H87" s="38">
        <f>F87*G87/References!$B$50</f>
        <v>680.33333333333337</v>
      </c>
      <c r="I87" s="38">
        <f t="shared" si="60"/>
        <v>448.44774639695612</v>
      </c>
      <c r="J87" s="74">
        <f>I87*References!$C$55</f>
        <v>1.1211193659923882</v>
      </c>
      <c r="K87" s="81">
        <f>J87/References!$G$58</f>
        <v>1.1470425271049602</v>
      </c>
      <c r="L87" s="81">
        <f>K87</f>
        <v>1.1470425271049602</v>
      </c>
      <c r="M87" s="82">
        <f>'Proposed Rates'!B16</f>
        <v>70.227517051783167</v>
      </c>
      <c r="N87" s="82">
        <f t="shared" si="61"/>
        <v>71.374559578888125</v>
      </c>
      <c r="O87" s="82">
        <f>'Proposed Rates'!D16</f>
        <v>71.374559578888125</v>
      </c>
      <c r="Q87" s="74" t="s">
        <v>0</v>
      </c>
      <c r="R87" s="83">
        <f>SUM(R85:R86)</f>
        <v>31022.864566531644</v>
      </c>
      <c r="W87"/>
    </row>
    <row r="88" spans="1:23">
      <c r="A88" s="221" t="s">
        <v>441</v>
      </c>
      <c r="B88" s="116">
        <v>38</v>
      </c>
      <c r="C88" s="39" t="s">
        <v>313</v>
      </c>
      <c r="D88" s="64">
        <v>0</v>
      </c>
      <c r="E88" s="71">
        <v>1</v>
      </c>
      <c r="F88" s="40">
        <f t="shared" ref="F88:F91" si="62">E88*12</f>
        <v>12</v>
      </c>
      <c r="G88" s="41">
        <f>+References!B23</f>
        <v>47</v>
      </c>
      <c r="H88" s="40">
        <f>F88*G88/References!$B$50</f>
        <v>47</v>
      </c>
      <c r="I88" s="40">
        <f t="shared" si="60"/>
        <v>30.980466556575603</v>
      </c>
      <c r="J88" s="83">
        <f>References!$C$55*I88</f>
        <v>7.7451166391438855E-2</v>
      </c>
      <c r="K88" s="84">
        <f>+J88/References!$G$58</f>
        <v>7.9242036414404388E-2</v>
      </c>
      <c r="L88" s="83">
        <f t="shared" ref="L88:L91" si="63">K88</f>
        <v>7.9242036414404388E-2</v>
      </c>
      <c r="M88" s="84">
        <f>'Proposed Rates'!B64</f>
        <v>9.193385548408342</v>
      </c>
      <c r="N88" s="84">
        <f t="shared" si="61"/>
        <v>9.2726275848227466</v>
      </c>
      <c r="O88" s="84">
        <f>'Proposed Rates'!D64</f>
        <v>9.2726275848227466</v>
      </c>
      <c r="W88"/>
    </row>
    <row r="89" spans="1:23">
      <c r="A89" s="221"/>
      <c r="B89" s="26">
        <v>38</v>
      </c>
      <c r="C89" s="42" t="s">
        <v>330</v>
      </c>
      <c r="D89" s="29">
        <v>0</v>
      </c>
      <c r="E89" s="72">
        <v>1</v>
      </c>
      <c r="F89" s="28">
        <f t="shared" si="62"/>
        <v>12</v>
      </c>
      <c r="G89" s="43">
        <f>+References!B23</f>
        <v>47</v>
      </c>
      <c r="H89" s="28">
        <f>F89*G89/References!$B$50</f>
        <v>47</v>
      </c>
      <c r="I89" s="28">
        <f t="shared" si="60"/>
        <v>30.980466556575603</v>
      </c>
      <c r="J89" s="74">
        <f>References!$C$55*I89</f>
        <v>7.7451166391438855E-2</v>
      </c>
      <c r="K89" s="80">
        <f>+J89/References!$G$58</f>
        <v>7.9242036414404388E-2</v>
      </c>
      <c r="L89" s="74">
        <f t="shared" si="63"/>
        <v>7.9242036414404388E-2</v>
      </c>
      <c r="M89" s="80">
        <f>'Proposed Rates'!B65</f>
        <v>18.223385548408341</v>
      </c>
      <c r="N89" s="80">
        <f t="shared" si="61"/>
        <v>18.302627584822744</v>
      </c>
      <c r="O89" s="80">
        <f>'Proposed Rates'!D65</f>
        <v>18.302627584822744</v>
      </c>
      <c r="Q89" s="74" t="s">
        <v>439</v>
      </c>
      <c r="R89" s="74">
        <f>+'Disposal Schedule'!C22/References!B53*References!B55</f>
        <v>3709.4855263157888</v>
      </c>
      <c r="S89" s="47">
        <f>+References!D55</f>
        <v>4.3859649122807015E-2</v>
      </c>
      <c r="W89"/>
    </row>
    <row r="90" spans="1:23">
      <c r="A90" s="221"/>
      <c r="B90" s="26">
        <v>38</v>
      </c>
      <c r="C90" s="44" t="s">
        <v>314</v>
      </c>
      <c r="D90" s="29">
        <v>0</v>
      </c>
      <c r="E90" s="72">
        <v>1</v>
      </c>
      <c r="F90" s="28">
        <f t="shared" si="62"/>
        <v>12</v>
      </c>
      <c r="G90" s="43">
        <f>+References!B24</f>
        <v>68</v>
      </c>
      <c r="H90" s="28">
        <f>F90*G90/References!$B$50</f>
        <v>68</v>
      </c>
      <c r="I90" s="28">
        <f t="shared" si="60"/>
        <v>44.822802677598744</v>
      </c>
      <c r="J90" s="74">
        <f>References!$C$55*I90</f>
        <v>0.11205700669399665</v>
      </c>
      <c r="K90" s="80">
        <f>+J90/References!$G$58</f>
        <v>0.1146480526846702</v>
      </c>
      <c r="L90" s="74">
        <f t="shared" si="63"/>
        <v>0.1146480526846702</v>
      </c>
      <c r="M90" s="80">
        <f>'Proposed Rates'!B68</f>
        <v>11.021706750888665</v>
      </c>
      <c r="N90" s="80">
        <f t="shared" si="61"/>
        <v>11.136354803573335</v>
      </c>
      <c r="O90" s="80">
        <f>'Proposed Rates'!D68</f>
        <v>11.136354803573335</v>
      </c>
      <c r="W90"/>
    </row>
    <row r="91" spans="1:23">
      <c r="A91" s="221"/>
      <c r="B91" s="26">
        <v>38</v>
      </c>
      <c r="C91" s="44" t="s">
        <v>331</v>
      </c>
      <c r="D91" s="29">
        <v>0</v>
      </c>
      <c r="E91" s="72">
        <v>1</v>
      </c>
      <c r="F91" s="28">
        <f t="shared" si="62"/>
        <v>12</v>
      </c>
      <c r="G91" s="43">
        <f>+References!B24</f>
        <v>68</v>
      </c>
      <c r="H91" s="28">
        <f>F91*G91/References!$B$50</f>
        <v>68</v>
      </c>
      <c r="I91" s="28">
        <f t="shared" si="60"/>
        <v>44.822802677598744</v>
      </c>
      <c r="J91" s="74">
        <f>References!$C$55*I91</f>
        <v>0.11205700669399665</v>
      </c>
      <c r="K91" s="80">
        <f>+J91/References!$G$58</f>
        <v>0.1146480526846702</v>
      </c>
      <c r="L91" s="74">
        <f t="shared" si="63"/>
        <v>0.1146480526846702</v>
      </c>
      <c r="M91" s="80">
        <f>'Proposed Rates'!B69</f>
        <v>21.811706750888664</v>
      </c>
      <c r="N91" s="80">
        <f t="shared" si="61"/>
        <v>21.926354803573336</v>
      </c>
      <c r="O91" s="80">
        <f>'Proposed Rates'!D69</f>
        <v>21.926354803573336</v>
      </c>
      <c r="Q91" s="74" t="s">
        <v>250</v>
      </c>
      <c r="R91" s="74">
        <f>+R87+R89</f>
        <v>34732.350092847431</v>
      </c>
      <c r="W91"/>
    </row>
    <row r="92" spans="1:23">
      <c r="A92" s="45"/>
      <c r="C92" s="44"/>
      <c r="D92" s="29"/>
      <c r="E92" s="72"/>
      <c r="F92" s="28"/>
      <c r="G92" s="43"/>
      <c r="H92" s="28"/>
      <c r="I92" s="28"/>
      <c r="J92" s="85"/>
      <c r="K92" s="80"/>
      <c r="L92" s="80"/>
      <c r="M92" s="80"/>
      <c r="N92" s="80"/>
      <c r="O92" s="80"/>
      <c r="W92"/>
    </row>
    <row r="93" spans="1:23">
      <c r="A93" s="45"/>
      <c r="C93" s="44"/>
      <c r="D93" s="29"/>
      <c r="E93" s="72"/>
      <c r="F93" s="28"/>
      <c r="G93" s="43"/>
      <c r="H93" s="28"/>
      <c r="I93" s="28"/>
      <c r="J93" s="85"/>
      <c r="K93" s="80"/>
      <c r="L93" s="80"/>
      <c r="M93" s="80"/>
      <c r="N93" s="80"/>
      <c r="O93" s="80"/>
      <c r="P93" s="85"/>
    </row>
    <row r="94" spans="1:23">
      <c r="B94"/>
    </row>
    <row r="96" spans="1:23">
      <c r="C96" s="218" t="s">
        <v>268</v>
      </c>
      <c r="D96" s="218"/>
      <c r="E96" s="73"/>
      <c r="F96" s="65"/>
    </row>
    <row r="97" spans="3:4">
      <c r="D97" s="27" t="s">
        <v>0</v>
      </c>
    </row>
    <row r="98" spans="3:4">
      <c r="C98" t="s">
        <v>269</v>
      </c>
      <c r="D98" s="121">
        <f>References!B60</f>
        <v>6064.5400623769829</v>
      </c>
    </row>
    <row r="99" spans="3:4">
      <c r="C99" t="s">
        <v>270</v>
      </c>
      <c r="D99" s="29">
        <f>D98*References!G19</f>
        <v>12129080.124753965</v>
      </c>
    </row>
    <row r="100" spans="3:4" ht="15" customHeight="1">
      <c r="C100" t="s">
        <v>271</v>
      </c>
      <c r="D100" s="29">
        <f>+F82</f>
        <v>221403.36777061998</v>
      </c>
    </row>
    <row r="101" spans="3:4">
      <c r="C101" s="18" t="s">
        <v>272</v>
      </c>
      <c r="D101" s="118">
        <f>D99/H82</f>
        <v>0.6591588629058639</v>
      </c>
    </row>
  </sheetData>
  <mergeCells count="6">
    <mergeCell ref="C96:D96"/>
    <mergeCell ref="A86:A87"/>
    <mergeCell ref="A88:A91"/>
    <mergeCell ref="A6:A23"/>
    <mergeCell ref="A25:A53"/>
    <mergeCell ref="A54:A80"/>
  </mergeCells>
  <printOptions horizontalCentered="1" verticalCentered="1"/>
  <pageMargins left="0.5" right="0.5" top="0.5" bottom="0.5" header="0.3" footer="0.3"/>
  <pageSetup scale="42" fitToHeight="0" orientation="landscape" r:id="rId1"/>
  <headerFooter>
    <oddFooter>&amp;L&amp;F - &amp;A&amp;R&amp;P of &amp;N</oddFooter>
  </headerFooter>
  <rowBreaks count="1" manualBreakCount="1">
    <brk id="53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88"/>
  <sheetViews>
    <sheetView showGridLines="0" view="pageBreakPreview" topLeftCell="A56" zoomScaleNormal="85" zoomScaleSheetLayoutView="100" workbookViewId="0">
      <selection activeCell="H26" sqref="H26"/>
    </sheetView>
  </sheetViews>
  <sheetFormatPr defaultColWidth="9.140625" defaultRowHeight="15"/>
  <cols>
    <col min="1" max="1" width="26.28515625" customWidth="1"/>
    <col min="2" max="2" width="14" style="66" customWidth="1"/>
    <col min="3" max="3" width="14.7109375" style="66" bestFit="1" customWidth="1"/>
    <col min="4" max="4" width="12" style="66" customWidth="1"/>
  </cols>
  <sheetData>
    <row r="1" spans="1:6">
      <c r="A1" s="5" t="s">
        <v>404</v>
      </c>
      <c r="C1" s="56"/>
    </row>
    <row r="2" spans="1:6">
      <c r="A2" s="5" t="s">
        <v>491</v>
      </c>
    </row>
    <row r="3" spans="1:6">
      <c r="A3" s="5"/>
    </row>
    <row r="4" spans="1:6">
      <c r="A4" s="215" t="s">
        <v>327</v>
      </c>
    </row>
    <row r="5" spans="1:6" ht="45">
      <c r="B5" s="125" t="s">
        <v>424</v>
      </c>
      <c r="C5" s="125" t="s">
        <v>425</v>
      </c>
      <c r="D5" s="125" t="s">
        <v>490</v>
      </c>
    </row>
    <row r="6" spans="1:6">
      <c r="A6" s="5" t="s">
        <v>427</v>
      </c>
    </row>
    <row r="7" spans="1:6">
      <c r="A7" t="s">
        <v>273</v>
      </c>
      <c r="B7" s="66">
        <v>4.8458533754443325</v>
      </c>
      <c r="C7" s="66">
        <f>'Whitman DF Calc'!L21</f>
        <v>0</v>
      </c>
      <c r="D7" s="66">
        <f>SUM(B7:C7)</f>
        <v>4.8458533754443325</v>
      </c>
      <c r="F7" s="47"/>
    </row>
    <row r="8" spans="1:6">
      <c r="F8" s="47"/>
    </row>
    <row r="9" spans="1:6">
      <c r="A9" s="5" t="s">
        <v>428</v>
      </c>
      <c r="F9" s="47"/>
    </row>
    <row r="10" spans="1:6">
      <c r="A10" t="s">
        <v>274</v>
      </c>
      <c r="B10" s="66">
        <v>16.526881153093395</v>
      </c>
      <c r="C10" s="66">
        <f>'Whitman DF Calc'!L6</f>
        <v>0.14612006714712869</v>
      </c>
      <c r="D10" s="66">
        <f t="shared" ref="D10:D66" si="0">SUM(B10:C10)</f>
        <v>16.673001220240526</v>
      </c>
      <c r="F10" s="47"/>
    </row>
    <row r="11" spans="1:6">
      <c r="A11" t="s">
        <v>275</v>
      </c>
      <c r="B11" s="66">
        <v>21.178697960258773</v>
      </c>
      <c r="C11" s="66">
        <f>'Whitman DF Calc'!L8</f>
        <v>0.24840411415011873</v>
      </c>
      <c r="D11" s="66">
        <f t="shared" si="0"/>
        <v>21.427102074408893</v>
      </c>
      <c r="F11" s="47"/>
    </row>
    <row r="12" spans="1:6">
      <c r="A12" t="s">
        <v>276</v>
      </c>
      <c r="B12" s="66">
        <v>28.218046940388163</v>
      </c>
      <c r="C12" s="66">
        <f>'Whitman DF Calc'!L9</f>
        <v>0.37260617122517814</v>
      </c>
      <c r="D12" s="66">
        <f t="shared" si="0"/>
        <v>28.590653111613342</v>
      </c>
      <c r="F12" s="47"/>
    </row>
    <row r="13" spans="1:6">
      <c r="A13" t="s">
        <v>277</v>
      </c>
      <c r="B13" s="66">
        <v>37.549992439409579</v>
      </c>
      <c r="C13" s="66">
        <f>'Whitman DF Calc'!L10</f>
        <v>0.56256225851644537</v>
      </c>
      <c r="D13" s="66">
        <f t="shared" si="0"/>
        <v>38.112554697926022</v>
      </c>
      <c r="F13" s="47"/>
    </row>
    <row r="14" spans="1:6">
      <c r="A14" t="s">
        <v>278</v>
      </c>
      <c r="B14" s="66">
        <v>49.00687359250297</v>
      </c>
      <c r="C14" s="66">
        <f>'Whitman DF Calc'!L11</f>
        <v>0.70868232566357403</v>
      </c>
      <c r="D14" s="66">
        <f t="shared" si="0"/>
        <v>49.715555918166544</v>
      </c>
      <c r="F14" s="47"/>
    </row>
    <row r="15" spans="1:6">
      <c r="A15" s="215" t="s">
        <v>279</v>
      </c>
      <c r="B15" s="216">
        <v>59.38375474559637</v>
      </c>
      <c r="C15" s="216">
        <f>'Whitman DF Calc'!L86</f>
        <v>0.8548023928107028</v>
      </c>
      <c r="D15" s="216">
        <f t="shared" si="0"/>
        <v>60.238557138407074</v>
      </c>
      <c r="F15" s="47"/>
    </row>
    <row r="16" spans="1:6">
      <c r="A16" s="215" t="s">
        <v>280</v>
      </c>
      <c r="B16" s="216">
        <v>70.227517051783167</v>
      </c>
      <c r="C16" s="216">
        <f>'Whitman DF Calc'!L87</f>
        <v>1.1470425271049602</v>
      </c>
      <c r="D16" s="216">
        <f t="shared" si="0"/>
        <v>71.374559578888125</v>
      </c>
      <c r="F16" s="47"/>
    </row>
    <row r="17" spans="1:6">
      <c r="A17" t="s">
        <v>281</v>
      </c>
      <c r="B17" s="66">
        <v>30.114670709769481</v>
      </c>
      <c r="C17" s="66">
        <f>'Whitman DF Calc'!L12</f>
        <v>0.34338215779575237</v>
      </c>
      <c r="D17" s="66">
        <f t="shared" si="0"/>
        <v>30.458052867565232</v>
      </c>
      <c r="F17" s="47"/>
    </row>
    <row r="18" spans="1:6">
      <c r="A18" t="s">
        <v>282</v>
      </c>
      <c r="B18" s="66">
        <v>37.387395920517548</v>
      </c>
      <c r="C18" s="66">
        <f>'Whitman DF Calc'!L15</f>
        <v>0.49680822830023746</v>
      </c>
      <c r="D18" s="66">
        <f t="shared" si="0"/>
        <v>37.884204148817787</v>
      </c>
      <c r="F18" s="47"/>
    </row>
    <row r="19" spans="1:6">
      <c r="A19" t="s">
        <v>283</v>
      </c>
      <c r="B19" s="66">
        <v>13.185853375444333</v>
      </c>
      <c r="C19" s="66">
        <f>'Whitman DF Calc'!L7</f>
        <v>5.7324026342335098E-2</v>
      </c>
      <c r="D19" s="66">
        <f t="shared" si="0"/>
        <v>13.243177401786669</v>
      </c>
      <c r="F19" s="47"/>
    </row>
    <row r="20" spans="1:6">
      <c r="F20" s="47"/>
    </row>
    <row r="21" spans="1:6">
      <c r="A21" s="5" t="s">
        <v>429</v>
      </c>
      <c r="F21" s="47"/>
    </row>
    <row r="22" spans="1:6">
      <c r="A22" t="s">
        <v>284</v>
      </c>
      <c r="B22" s="66">
        <v>4.8458533754443325</v>
      </c>
      <c r="C22" s="66">
        <f>'Whitman DF Calc'!L19</f>
        <v>5.7324026342335105E-2</v>
      </c>
      <c r="D22" s="66">
        <f t="shared" si="0"/>
        <v>4.9031774017866674</v>
      </c>
      <c r="F22" s="47"/>
    </row>
    <row r="23" spans="1:6">
      <c r="A23" t="s">
        <v>285</v>
      </c>
      <c r="B23" s="66">
        <v>4.8458533754443325</v>
      </c>
      <c r="C23" s="66">
        <f>'Whitman DF Calc'!L19</f>
        <v>5.7324026342335105E-2</v>
      </c>
      <c r="D23" s="66">
        <f t="shared" si="0"/>
        <v>4.9031774017866674</v>
      </c>
      <c r="F23" s="47"/>
    </row>
    <row r="24" spans="1:6">
      <c r="A24" t="s">
        <v>286</v>
      </c>
      <c r="B24" s="66">
        <v>14.485853375444332</v>
      </c>
      <c r="C24" s="66">
        <f>'Whitman DF Calc'!L17</f>
        <v>5.7324026342335091E-2</v>
      </c>
      <c r="D24" s="66">
        <f t="shared" si="0"/>
        <v>14.543177401786668</v>
      </c>
      <c r="F24" s="47"/>
    </row>
    <row r="25" spans="1:6">
      <c r="F25" s="47"/>
    </row>
    <row r="26" spans="1:6">
      <c r="A26" s="5" t="s">
        <v>430</v>
      </c>
      <c r="F26" s="47"/>
    </row>
    <row r="27" spans="1:6">
      <c r="A27" t="s">
        <v>287</v>
      </c>
      <c r="B27" s="66">
        <v>24.0585785861924</v>
      </c>
      <c r="C27" s="66">
        <f>'Whitman DF Calc'!L23</f>
        <v>0.21075009684682022</v>
      </c>
      <c r="D27" s="66">
        <f t="shared" si="0"/>
        <v>24.26932868303922</v>
      </c>
      <c r="F27" s="47"/>
    </row>
    <row r="28" spans="1:6">
      <c r="A28" t="s">
        <v>288</v>
      </c>
      <c r="B28" s="66">
        <v>24.0585785861924</v>
      </c>
      <c r="C28" s="66">
        <f>'Whitman DF Calc'!L23</f>
        <v>0.21075009684682022</v>
      </c>
      <c r="D28" s="66">
        <f t="shared" si="0"/>
        <v>24.26932868303922</v>
      </c>
      <c r="F28" s="47"/>
    </row>
    <row r="29" spans="1:6">
      <c r="A29" t="s">
        <v>289</v>
      </c>
      <c r="B29" s="66">
        <v>24.0585785861924</v>
      </c>
      <c r="C29" s="66">
        <f>'Whitman DF Calc'!L23</f>
        <v>0.21075009684682022</v>
      </c>
      <c r="D29" s="66">
        <f t="shared" si="0"/>
        <v>24.26932868303922</v>
      </c>
      <c r="F29" s="47"/>
    </row>
    <row r="30" spans="1:6">
      <c r="F30" s="47"/>
    </row>
    <row r="31" spans="1:6">
      <c r="A31" s="5" t="s">
        <v>431</v>
      </c>
      <c r="F31" s="47"/>
    </row>
    <row r="32" spans="1:6">
      <c r="A32" t="s">
        <v>323</v>
      </c>
      <c r="B32" s="66">
        <v>114</v>
      </c>
      <c r="C32" s="66">
        <f>References!B55</f>
        <v>5</v>
      </c>
      <c r="D32" s="66">
        <f t="shared" si="0"/>
        <v>119</v>
      </c>
      <c r="F32" s="47"/>
    </row>
    <row r="33" spans="1:6">
      <c r="F33" s="47"/>
    </row>
    <row r="34" spans="1:6">
      <c r="A34" s="5" t="s">
        <v>432</v>
      </c>
      <c r="F34" s="47"/>
    </row>
    <row r="35" spans="1:6">
      <c r="A35" t="s">
        <v>290</v>
      </c>
      <c r="B35" s="66">
        <v>18.456010020669357</v>
      </c>
      <c r="C35" s="66">
        <f>'Whitman DF Calc'!L25</f>
        <v>0.29505013558554832</v>
      </c>
      <c r="D35" s="66">
        <f t="shared" si="0"/>
        <v>18.751060156254905</v>
      </c>
      <c r="F35" s="47"/>
    </row>
    <row r="36" spans="1:6">
      <c r="A36" t="s">
        <v>291</v>
      </c>
      <c r="B36" s="66">
        <v>27.777157172384801</v>
      </c>
      <c r="C36" s="66">
        <f>'Whitman DF Calc'!L29</f>
        <v>0.42150019369364045</v>
      </c>
      <c r="D36" s="66">
        <f t="shared" si="0"/>
        <v>28.198657366078439</v>
      </c>
      <c r="F36" s="47"/>
    </row>
    <row r="37" spans="1:6">
      <c r="A37" t="s">
        <v>292</v>
      </c>
      <c r="B37" s="66">
        <v>36.996955695410698</v>
      </c>
      <c r="C37" s="66">
        <f>'Whitman DF Calc'!L35</f>
        <v>0.54626425102695786</v>
      </c>
      <c r="D37" s="66">
        <f t="shared" si="0"/>
        <v>37.543219946437652</v>
      </c>
      <c r="F37" s="47"/>
    </row>
    <row r="38" spans="1:6">
      <c r="A38" t="s">
        <v>293</v>
      </c>
      <c r="B38" s="66">
        <v>52.367901370152033</v>
      </c>
      <c r="C38" s="66">
        <f>'Whitman DF Calc'!L39</f>
        <v>0.79747836646836756</v>
      </c>
      <c r="D38" s="66">
        <f t="shared" si="0"/>
        <v>53.165379736620402</v>
      </c>
      <c r="F38" s="47"/>
    </row>
    <row r="39" spans="1:6">
      <c r="A39" t="s">
        <v>294</v>
      </c>
      <c r="B39" s="66">
        <v>69.486709386687522</v>
      </c>
      <c r="C39" s="66">
        <f>'Whitman DF Calc'!L44</f>
        <v>1.0335184749368063</v>
      </c>
      <c r="D39" s="66">
        <f t="shared" si="0"/>
        <v>70.520227861624335</v>
      </c>
      <c r="F39" s="47"/>
    </row>
    <row r="40" spans="1:6">
      <c r="A40" t="s">
        <v>295</v>
      </c>
      <c r="B40" s="66">
        <v>101.06284809921293</v>
      </c>
      <c r="C40" s="66">
        <f>'Whitman DF Calc'!L49</f>
        <v>1.4162406508106318</v>
      </c>
      <c r="D40" s="66">
        <f t="shared" si="0"/>
        <v>102.47908875002356</v>
      </c>
      <c r="F40" s="47"/>
    </row>
    <row r="41" spans="1:6">
      <c r="A41" t="s">
        <v>296</v>
      </c>
      <c r="B41" s="66">
        <v>131.23165611574839</v>
      </c>
      <c r="C41" s="66">
        <f>'Whitman DF Calc'!L54</f>
        <v>1.6522807592790703</v>
      </c>
      <c r="D41" s="66">
        <f t="shared" si="0"/>
        <v>132.88393687502747</v>
      </c>
      <c r="E41" s="4"/>
      <c r="F41" s="47"/>
    </row>
    <row r="42" spans="1:6">
      <c r="F42" s="47"/>
    </row>
    <row r="43" spans="1:6">
      <c r="A43" t="s">
        <v>297</v>
      </c>
      <c r="B43" s="66">
        <v>44.036010020669359</v>
      </c>
      <c r="C43" s="66">
        <f>'Whitman DF Calc'!L25</f>
        <v>0.29505013558554832</v>
      </c>
      <c r="D43" s="66">
        <f t="shared" si="0"/>
        <v>44.331060156254907</v>
      </c>
      <c r="F43" s="47"/>
    </row>
    <row r="44" spans="1:6">
      <c r="A44" t="s">
        <v>298</v>
      </c>
      <c r="B44" s="66">
        <v>63.307157172384798</v>
      </c>
      <c r="C44" s="66">
        <f>'Whitman DF Calc'!L29</f>
        <v>0.42150019369364045</v>
      </c>
      <c r="D44" s="66">
        <f t="shared" si="0"/>
        <v>63.728657366078437</v>
      </c>
      <c r="F44" s="47"/>
    </row>
    <row r="45" spans="1:6">
      <c r="A45" t="s">
        <v>299</v>
      </c>
      <c r="B45" s="66">
        <v>74.656955695410701</v>
      </c>
      <c r="C45" s="66">
        <f>'Whitman DF Calc'!L35</f>
        <v>0.54626425102695786</v>
      </c>
      <c r="D45" s="66">
        <f t="shared" si="0"/>
        <v>75.203219946437656</v>
      </c>
      <c r="F45" s="47"/>
    </row>
    <row r="46" spans="1:6">
      <c r="A46" t="s">
        <v>300</v>
      </c>
      <c r="B46" s="66">
        <v>96.407901370152032</v>
      </c>
      <c r="C46" s="66">
        <f>'Whitman DF Calc'!L39</f>
        <v>0.79747836646836756</v>
      </c>
      <c r="D46" s="66">
        <f t="shared" si="0"/>
        <v>97.205379736620401</v>
      </c>
      <c r="F46" s="47"/>
    </row>
    <row r="47" spans="1:6">
      <c r="A47" t="s">
        <v>301</v>
      </c>
      <c r="B47" s="66">
        <v>119.48670938668752</v>
      </c>
      <c r="C47" s="66">
        <f>'Whitman DF Calc'!L44</f>
        <v>1.0335184749368063</v>
      </c>
      <c r="D47" s="66">
        <f t="shared" si="0"/>
        <v>120.52022786162433</v>
      </c>
      <c r="F47" s="47"/>
    </row>
    <row r="48" spans="1:6">
      <c r="A48" t="s">
        <v>302</v>
      </c>
      <c r="B48" s="134">
        <v>161.12284809921292</v>
      </c>
      <c r="C48" s="134">
        <f>'Whitman DF Calc'!L49</f>
        <v>1.4162406508106318</v>
      </c>
      <c r="D48" s="134">
        <f t="shared" si="0"/>
        <v>162.53908875002355</v>
      </c>
      <c r="F48" s="47"/>
    </row>
    <row r="49" spans="1:6">
      <c r="A49" t="s">
        <v>303</v>
      </c>
      <c r="B49" s="134">
        <v>203.7216561157484</v>
      </c>
      <c r="C49" s="134">
        <f>'Whitman DF Calc'!L54</f>
        <v>1.6522807592790703</v>
      </c>
      <c r="D49" s="134">
        <f t="shared" si="0"/>
        <v>205.37393687502748</v>
      </c>
      <c r="E49" s="4"/>
      <c r="F49" s="47"/>
    </row>
    <row r="50" spans="1:6">
      <c r="B50" s="134"/>
      <c r="C50" s="134"/>
      <c r="D50" s="134"/>
      <c r="F50" s="47"/>
    </row>
    <row r="51" spans="1:6">
      <c r="A51" t="s">
        <v>304</v>
      </c>
      <c r="B51" s="66">
        <v>21.436010020669357</v>
      </c>
      <c r="C51" s="66">
        <f>'Whitman DF Calc'!L25</f>
        <v>0.29505013558554832</v>
      </c>
      <c r="D51" s="66">
        <f t="shared" si="0"/>
        <v>21.731060156254905</v>
      </c>
      <c r="F51" s="47"/>
    </row>
    <row r="52" spans="1:6">
      <c r="A52" t="s">
        <v>305</v>
      </c>
      <c r="B52" s="66">
        <v>32.257157172384801</v>
      </c>
      <c r="C52" s="66">
        <f>'Whitman DF Calc'!L29</f>
        <v>0.42150019369364045</v>
      </c>
      <c r="D52" s="66">
        <f t="shared" si="0"/>
        <v>32.67865736607844</v>
      </c>
      <c r="F52" s="47"/>
    </row>
    <row r="53" spans="1:6">
      <c r="A53" t="s">
        <v>306</v>
      </c>
      <c r="B53" s="66">
        <v>44.456955695410699</v>
      </c>
      <c r="C53" s="66">
        <f>'Whitman DF Calc'!L35</f>
        <v>0.54626425102695786</v>
      </c>
      <c r="D53" s="66">
        <f t="shared" si="0"/>
        <v>45.003219946437653</v>
      </c>
      <c r="F53" s="47"/>
    </row>
    <row r="54" spans="1:6">
      <c r="A54" t="s">
        <v>307</v>
      </c>
      <c r="B54" s="66">
        <v>59.807901370152038</v>
      </c>
      <c r="C54" s="66">
        <f>'Whitman DF Calc'!L39</f>
        <v>0.79747836646836756</v>
      </c>
      <c r="D54" s="66">
        <f t="shared" si="0"/>
        <v>60.605379736620407</v>
      </c>
      <c r="F54" s="47"/>
    </row>
    <row r="55" spans="1:6">
      <c r="A55" t="s">
        <v>308</v>
      </c>
      <c r="B55" s="66">
        <v>78.436709386687525</v>
      </c>
      <c r="C55" s="66">
        <f>'Whitman DF Calc'!L44</f>
        <v>1.0335184749368063</v>
      </c>
      <c r="D55" s="66">
        <f t="shared" si="0"/>
        <v>79.470227861624338</v>
      </c>
      <c r="F55" s="47"/>
    </row>
    <row r="56" spans="1:6">
      <c r="A56" s="215" t="s">
        <v>309</v>
      </c>
      <c r="B56" s="216">
        <v>115.98284809921292</v>
      </c>
      <c r="C56" s="216">
        <f>'Whitman DF Calc'!L49</f>
        <v>1.4162406508106318</v>
      </c>
      <c r="D56" s="216">
        <f t="shared" si="0"/>
        <v>117.39908875002355</v>
      </c>
      <c r="F56" s="47"/>
    </row>
    <row r="57" spans="1:6">
      <c r="A57" s="215" t="s">
        <v>310</v>
      </c>
      <c r="B57" s="216">
        <v>149.21165611574838</v>
      </c>
      <c r="C57" s="216">
        <f>'Whitman DF Calc'!L54</f>
        <v>1.6522807592790703</v>
      </c>
      <c r="D57" s="216">
        <f t="shared" si="0"/>
        <v>150.86393687502746</v>
      </c>
      <c r="E57" s="4"/>
      <c r="F57" s="47"/>
    </row>
    <row r="58" spans="1:6">
      <c r="F58" s="47"/>
    </row>
    <row r="59" spans="1:6">
      <c r="A59" s="5" t="s">
        <v>433</v>
      </c>
      <c r="F59" s="47"/>
    </row>
    <row r="60" spans="1:6">
      <c r="A60" t="s">
        <v>311</v>
      </c>
      <c r="B60" s="66">
        <v>4.9391102319966365</v>
      </c>
      <c r="C60" s="66">
        <f>'Whitman DF Calc'!L66</f>
        <v>4.8894022468462292E-2</v>
      </c>
      <c r="D60" s="66">
        <f t="shared" si="0"/>
        <v>4.9880042544650989</v>
      </c>
      <c r="F60" s="47"/>
    </row>
    <row r="61" spans="1:6">
      <c r="A61" t="s">
        <v>437</v>
      </c>
      <c r="B61" s="66">
        <v>13.369110231996636</v>
      </c>
      <c r="C61" s="66">
        <f>'Whitman DF Calc'!L65</f>
        <v>4.8894022468462285E-2</v>
      </c>
      <c r="D61" s="66">
        <f t="shared" si="0"/>
        <v>13.418004254465098</v>
      </c>
      <c r="F61" s="47"/>
    </row>
    <row r="62" spans="1:6">
      <c r="A62" t="s">
        <v>312</v>
      </c>
      <c r="B62" s="66">
        <v>21.459477671985425</v>
      </c>
      <c r="C62" s="66">
        <f>'Whitman DF Calc'!L56</f>
        <v>0.21187409736333659</v>
      </c>
      <c r="D62" s="66">
        <f t="shared" si="0"/>
        <v>21.67135176934876</v>
      </c>
      <c r="F62" s="47"/>
    </row>
    <row r="63" spans="1:6">
      <c r="F63" s="47"/>
    </row>
    <row r="64" spans="1:6">
      <c r="A64" s="215" t="s">
        <v>313</v>
      </c>
      <c r="B64" s="216">
        <v>9.193385548408342</v>
      </c>
      <c r="C64" s="216">
        <f>'Whitman DF Calc'!K88</f>
        <v>7.9242036414404388E-2</v>
      </c>
      <c r="D64" s="216">
        <f t="shared" si="0"/>
        <v>9.2726275848227466</v>
      </c>
      <c r="F64" s="47"/>
    </row>
    <row r="65" spans="1:6">
      <c r="A65" s="215" t="s">
        <v>436</v>
      </c>
      <c r="B65" s="216">
        <v>18.223385548408341</v>
      </c>
      <c r="C65" s="216">
        <f>'Whitman DF Calc'!K89</f>
        <v>7.9242036414404388E-2</v>
      </c>
      <c r="D65" s="216">
        <f t="shared" si="0"/>
        <v>18.302627584822744</v>
      </c>
      <c r="F65" s="47"/>
    </row>
    <row r="66" spans="1:6">
      <c r="A66" t="s">
        <v>312</v>
      </c>
      <c r="B66" s="66">
        <v>39.824670709769478</v>
      </c>
      <c r="C66" s="66">
        <f>'Whitman DF Calc'!L58</f>
        <v>0.34338215779575243</v>
      </c>
      <c r="D66" s="66">
        <f t="shared" si="0"/>
        <v>40.16805286756523</v>
      </c>
      <c r="F66" s="47"/>
    </row>
    <row r="67" spans="1:6">
      <c r="F67" s="47"/>
    </row>
    <row r="68" spans="1:6">
      <c r="A68" s="215" t="s">
        <v>314</v>
      </c>
      <c r="B68" s="216">
        <v>11.021706750888665</v>
      </c>
      <c r="C68" s="216">
        <f>'Whitman DF Calc'!K90</f>
        <v>0.1146480526846702</v>
      </c>
      <c r="D68" s="216">
        <f t="shared" ref="D68:D87" si="1">SUM(B68:C68)</f>
        <v>11.136354803573335</v>
      </c>
      <c r="F68" s="47"/>
    </row>
    <row r="69" spans="1:6">
      <c r="A69" t="s">
        <v>435</v>
      </c>
      <c r="B69" s="134">
        <v>21.811706750888664</v>
      </c>
      <c r="C69" s="134">
        <f>'Whitman DF Calc'!K91</f>
        <v>0.1146480526846702</v>
      </c>
      <c r="D69" s="134">
        <f t="shared" si="1"/>
        <v>21.926354803573336</v>
      </c>
      <c r="F69" s="47"/>
    </row>
    <row r="70" spans="1:6">
      <c r="A70" t="s">
        <v>312</v>
      </c>
      <c r="B70" s="66">
        <v>47.787395920517547</v>
      </c>
      <c r="C70" s="66">
        <f>'Whitman DF Calc'!L61</f>
        <v>0.49680822830023741</v>
      </c>
      <c r="D70" s="66">
        <f t="shared" si="1"/>
        <v>48.284204148817786</v>
      </c>
      <c r="F70" s="47"/>
    </row>
    <row r="71" spans="1:6">
      <c r="F71" s="47"/>
    </row>
    <row r="72" spans="1:6">
      <c r="A72" s="5" t="s">
        <v>434</v>
      </c>
      <c r="F72" s="47"/>
    </row>
    <row r="73" spans="1:6">
      <c r="A73" s="215" t="s">
        <v>315</v>
      </c>
      <c r="B73" s="216">
        <v>61.686010020669364</v>
      </c>
      <c r="C73" s="216">
        <f>'Whitman DF Calc'!L25</f>
        <v>0.29505013558554832</v>
      </c>
      <c r="D73" s="216">
        <f t="shared" si="1"/>
        <v>61.981060156254912</v>
      </c>
      <c r="F73" s="47"/>
    </row>
    <row r="74" spans="1:6">
      <c r="A74" s="215" t="s">
        <v>316</v>
      </c>
      <c r="B74" s="216">
        <v>93.947157172384792</v>
      </c>
      <c r="C74" s="216">
        <f>'Whitman DF Calc'!L29</f>
        <v>0.42150019369364045</v>
      </c>
      <c r="D74" s="216">
        <f t="shared" si="1"/>
        <v>94.368657366078438</v>
      </c>
      <c r="F74" s="47"/>
    </row>
    <row r="75" spans="1:6">
      <c r="A75" s="215" t="s">
        <v>292</v>
      </c>
      <c r="B75" s="216">
        <v>124.8969556954107</v>
      </c>
      <c r="C75" s="216">
        <f>'Whitman DF Calc'!L35</f>
        <v>0.54626425102695786</v>
      </c>
      <c r="D75" s="216">
        <f t="shared" si="1"/>
        <v>125.44321994643765</v>
      </c>
      <c r="F75" s="47"/>
    </row>
    <row r="76" spans="1:6">
      <c r="A76" s="215" t="s">
        <v>293</v>
      </c>
      <c r="B76" s="216">
        <v>176.10790137015204</v>
      </c>
      <c r="C76" s="216">
        <f>'Whitman DF Calc'!L39</f>
        <v>0.79747836646836756</v>
      </c>
      <c r="D76" s="216">
        <f t="shared" si="1"/>
        <v>176.9053797366204</v>
      </c>
      <c r="F76" s="47"/>
    </row>
    <row r="77" spans="1:6">
      <c r="A77" s="215" t="s">
        <v>294</v>
      </c>
      <c r="B77" s="216">
        <v>233.97670938668753</v>
      </c>
      <c r="C77" s="216">
        <f>'Whitman DF Calc'!L44</f>
        <v>1.0335184749368063</v>
      </c>
      <c r="D77" s="216">
        <f t="shared" si="1"/>
        <v>235.01022786162434</v>
      </c>
      <c r="F77" s="47"/>
    </row>
    <row r="78" spans="1:6">
      <c r="A78" s="215" t="s">
        <v>317</v>
      </c>
      <c r="B78" s="216">
        <v>321.68284809921295</v>
      </c>
      <c r="C78" s="216">
        <f>'Whitman DF Calc'!L49</f>
        <v>1.4162406508106318</v>
      </c>
      <c r="D78" s="216">
        <f t="shared" si="1"/>
        <v>323.09908875002355</v>
      </c>
      <c r="F78" s="47"/>
    </row>
    <row r="79" spans="1:6">
      <c r="A79" s="215" t="s">
        <v>318</v>
      </c>
      <c r="B79" s="216">
        <v>381.56165611574841</v>
      </c>
      <c r="C79" s="216">
        <f>'Whitman DF Calc'!L54</f>
        <v>1.6522807592790703</v>
      </c>
      <c r="D79" s="216">
        <f t="shared" si="1"/>
        <v>383.21393687502746</v>
      </c>
      <c r="E79" s="4"/>
      <c r="F79" s="47"/>
    </row>
    <row r="80" spans="1:6">
      <c r="F80" s="47"/>
    </row>
    <row r="81" spans="1:6">
      <c r="A81" s="215" t="s">
        <v>319</v>
      </c>
      <c r="B81" s="216">
        <v>105.51601002066936</v>
      </c>
      <c r="C81" s="216">
        <f>'Whitman DF Calc'!L25</f>
        <v>0.29505013558554832</v>
      </c>
      <c r="D81" s="216">
        <f t="shared" si="1"/>
        <v>105.81106015625491</v>
      </c>
      <c r="F81" s="47"/>
    </row>
    <row r="82" spans="1:6">
      <c r="A82" s="215" t="s">
        <v>320</v>
      </c>
      <c r="B82" s="216">
        <v>163.8871571723848</v>
      </c>
      <c r="C82" s="216">
        <f>'Whitman DF Calc'!L29</f>
        <v>0.42150019369364045</v>
      </c>
      <c r="D82" s="216">
        <f t="shared" si="1"/>
        <v>164.30865736607845</v>
      </c>
      <c r="F82" s="47"/>
    </row>
    <row r="83" spans="1:6">
      <c r="A83" s="215" t="s">
        <v>299</v>
      </c>
      <c r="B83" s="216">
        <v>214.34695569541068</v>
      </c>
      <c r="C83" s="216">
        <f>'Whitman DF Calc'!L35</f>
        <v>0.54626425102695786</v>
      </c>
      <c r="D83" s="216">
        <f t="shared" si="1"/>
        <v>214.89321994643765</v>
      </c>
      <c r="F83" s="47"/>
    </row>
    <row r="84" spans="1:6">
      <c r="A84" s="215" t="s">
        <v>300</v>
      </c>
      <c r="B84" s="216">
        <v>313.91790137015204</v>
      </c>
      <c r="C84" s="216">
        <f>'Whitman DF Calc'!L39</f>
        <v>0.79747836646836756</v>
      </c>
      <c r="D84" s="216">
        <f t="shared" si="1"/>
        <v>314.71537973662038</v>
      </c>
      <c r="F84" s="47"/>
    </row>
    <row r="85" spans="1:6">
      <c r="A85" s="215" t="s">
        <v>301</v>
      </c>
      <c r="B85" s="216">
        <v>417.3567093866875</v>
      </c>
      <c r="C85" s="216">
        <f>'Whitman DF Calc'!L44</f>
        <v>1.0335184749368063</v>
      </c>
      <c r="D85" s="216">
        <f t="shared" si="1"/>
        <v>418.39022786162428</v>
      </c>
      <c r="F85" s="47"/>
    </row>
    <row r="86" spans="1:6">
      <c r="A86" s="215" t="s">
        <v>321</v>
      </c>
      <c r="B86" s="216">
        <v>537.27284809921287</v>
      </c>
      <c r="C86" s="216">
        <f>'Whitman DF Calc'!L49</f>
        <v>1.4162406508106318</v>
      </c>
      <c r="D86" s="216">
        <f t="shared" si="1"/>
        <v>538.68908875002353</v>
      </c>
      <c r="F86" s="47"/>
    </row>
    <row r="87" spans="1:6">
      <c r="A87" s="215" t="s">
        <v>322</v>
      </c>
      <c r="B87" s="216">
        <v>642.87165611574835</v>
      </c>
      <c r="C87" s="216">
        <f>'Whitman DF Calc'!L54</f>
        <v>1.6522807592790703</v>
      </c>
      <c r="D87" s="216">
        <f t="shared" si="1"/>
        <v>644.5239368750274</v>
      </c>
      <c r="E87" s="4"/>
      <c r="F87" s="47"/>
    </row>
    <row r="88" spans="1:6">
      <c r="F88" s="47"/>
    </row>
  </sheetData>
  <pageMargins left="0.7" right="0.7" top="0.75" bottom="0.75" header="0.3" footer="0.3"/>
  <pageSetup scale="90" fitToHeight="2" orientation="portrait" r:id="rId1"/>
  <headerFooter>
    <oddFooter>&amp;L&amp;F - &amp;A&amp;R&amp;P of &amp;N</oddFooter>
  </headerFooter>
  <rowBreaks count="2" manualBreakCount="2">
    <brk id="33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"/>
  <sheetViews>
    <sheetView showGridLines="0" view="pageBreakPreview" zoomScaleNormal="85" zoomScaleSheetLayoutView="100" workbookViewId="0">
      <selection activeCell="D49" sqref="D49"/>
    </sheetView>
  </sheetViews>
  <sheetFormatPr defaultColWidth="9.140625" defaultRowHeight="15"/>
  <cols>
    <col min="1" max="1" width="16.42578125" style="128" customWidth="1"/>
    <col min="2" max="2" width="14.42578125" style="128" bestFit="1" customWidth="1"/>
    <col min="3" max="3" width="11.5703125" style="128" bestFit="1" customWidth="1"/>
    <col min="4" max="4" width="10.5703125" style="128" bestFit="1" customWidth="1"/>
    <col min="5" max="5" width="11.5703125" style="128" bestFit="1" customWidth="1"/>
    <col min="6" max="6" width="12.5703125" style="128" bestFit="1" customWidth="1"/>
    <col min="7" max="7" width="10.5703125" style="128" bestFit="1" customWidth="1"/>
    <col min="8" max="8" width="12.140625" style="128" bestFit="1" customWidth="1"/>
    <col min="9" max="9" width="11.5703125" bestFit="1" customWidth="1"/>
    <col min="10" max="10" width="10.85546875" bestFit="1" customWidth="1"/>
    <col min="11" max="11" width="10.5703125" bestFit="1" customWidth="1"/>
  </cols>
  <sheetData>
    <row r="1" spans="1:11">
      <c r="A1" s="127" t="s">
        <v>404</v>
      </c>
      <c r="B1" s="109"/>
      <c r="C1" s="107"/>
      <c r="D1" s="109"/>
      <c r="E1" s="107"/>
      <c r="F1" s="108"/>
      <c r="G1" s="107"/>
      <c r="H1" s="109"/>
    </row>
    <row r="2" spans="1:11">
      <c r="A2" s="106" t="s">
        <v>426</v>
      </c>
      <c r="B2" s="109"/>
      <c r="C2" s="107"/>
      <c r="D2" s="109"/>
      <c r="E2" s="107"/>
      <c r="F2" s="108"/>
      <c r="G2" s="107"/>
      <c r="H2" s="109"/>
    </row>
    <row r="3" spans="1:11">
      <c r="A3" s="106" t="s">
        <v>488</v>
      </c>
      <c r="B3" s="109"/>
      <c r="C3" s="107"/>
      <c r="D3" s="109"/>
      <c r="E3" s="107"/>
      <c r="F3" s="108"/>
      <c r="G3" s="107"/>
      <c r="H3" s="109"/>
    </row>
    <row r="4" spans="1:11" ht="31.5" customHeight="1">
      <c r="A4" s="226" t="s">
        <v>487</v>
      </c>
      <c r="B4" s="226"/>
      <c r="C4" s="226"/>
      <c r="D4" s="226"/>
      <c r="E4" s="226"/>
      <c r="F4" s="226"/>
      <c r="G4" s="226"/>
      <c r="H4" s="226"/>
    </row>
    <row r="5" spans="1:11">
      <c r="A5" s="108"/>
      <c r="B5" s="109"/>
      <c r="C5" s="107"/>
      <c r="D5" s="109"/>
      <c r="E5" s="107"/>
      <c r="F5" s="108"/>
      <c r="G5" s="107"/>
      <c r="H5" s="109"/>
    </row>
    <row r="6" spans="1:11">
      <c r="A6" s="108"/>
      <c r="B6" s="227" t="s">
        <v>396</v>
      </c>
      <c r="C6" s="228"/>
      <c r="D6" s="228"/>
      <c r="E6" s="229"/>
      <c r="F6" s="108"/>
      <c r="G6" s="230" t="s">
        <v>0</v>
      </c>
      <c r="H6" s="231"/>
    </row>
    <row r="7" spans="1:11" ht="17.25">
      <c r="A7" s="108"/>
      <c r="B7" s="232" t="s">
        <v>397</v>
      </c>
      <c r="C7" s="232"/>
      <c r="D7" s="232" t="s">
        <v>398</v>
      </c>
      <c r="E7" s="232"/>
      <c r="F7" s="109"/>
      <c r="G7" s="233"/>
      <c r="H7" s="233"/>
    </row>
    <row r="8" spans="1:11">
      <c r="A8" s="108"/>
      <c r="B8" s="111" t="s">
        <v>267</v>
      </c>
      <c r="C8" s="97" t="s">
        <v>399</v>
      </c>
      <c r="D8" s="111" t="s">
        <v>267</v>
      </c>
      <c r="E8" s="97" t="s">
        <v>399</v>
      </c>
      <c r="F8" s="109"/>
      <c r="G8" s="111" t="s">
        <v>267</v>
      </c>
      <c r="H8" s="97" t="s">
        <v>399</v>
      </c>
    </row>
    <row r="9" spans="1:11">
      <c r="A9" s="95">
        <v>42736</v>
      </c>
      <c r="B9" s="109">
        <v>33.28</v>
      </c>
      <c r="C9" s="107">
        <v>3527.68</v>
      </c>
      <c r="D9" s="109">
        <v>536.99</v>
      </c>
      <c r="E9" s="107">
        <v>56920.94</v>
      </c>
      <c r="F9" s="109"/>
      <c r="G9" s="91">
        <v>570.27</v>
      </c>
      <c r="H9" s="93">
        <v>60448.62</v>
      </c>
      <c r="I9" s="23"/>
      <c r="J9" s="46"/>
      <c r="K9" s="23"/>
    </row>
    <row r="10" spans="1:11">
      <c r="A10" s="95">
        <v>42768</v>
      </c>
      <c r="B10" s="109">
        <v>21.58</v>
      </c>
      <c r="C10" s="107">
        <v>2293.48</v>
      </c>
      <c r="D10" s="109">
        <v>492.7</v>
      </c>
      <c r="E10" s="107">
        <v>52226.2</v>
      </c>
      <c r="F10" s="109"/>
      <c r="G10" s="91">
        <v>514.28</v>
      </c>
      <c r="H10" s="93">
        <v>54519.68</v>
      </c>
      <c r="I10" s="23"/>
      <c r="J10" s="46"/>
      <c r="K10" s="23"/>
    </row>
    <row r="11" spans="1:11">
      <c r="A11" s="95">
        <v>42800</v>
      </c>
      <c r="B11" s="109">
        <v>60.47</v>
      </c>
      <c r="C11" s="107">
        <v>6409.82</v>
      </c>
      <c r="D11" s="109">
        <v>582.15</v>
      </c>
      <c r="E11" s="107">
        <v>61707.9</v>
      </c>
      <c r="F11" s="109"/>
      <c r="G11" s="91">
        <v>642.62</v>
      </c>
      <c r="H11" s="93">
        <v>68117.72</v>
      </c>
      <c r="I11" s="23"/>
      <c r="J11" s="46"/>
      <c r="K11" s="23"/>
    </row>
    <row r="12" spans="1:11">
      <c r="A12" s="95">
        <v>42832</v>
      </c>
      <c r="B12" s="109">
        <v>48.15</v>
      </c>
      <c r="C12" s="107">
        <v>4578.5</v>
      </c>
      <c r="D12" s="109">
        <v>525.28</v>
      </c>
      <c r="E12" s="107">
        <v>55679.68</v>
      </c>
      <c r="F12" s="109"/>
      <c r="G12" s="91">
        <v>573.42999999999995</v>
      </c>
      <c r="H12" s="93">
        <v>60258.18</v>
      </c>
      <c r="I12" s="23"/>
      <c r="J12" s="46"/>
      <c r="K12" s="23"/>
    </row>
    <row r="13" spans="1:11">
      <c r="A13" s="95">
        <v>42864</v>
      </c>
      <c r="B13" s="109">
        <v>68.11</v>
      </c>
      <c r="C13" s="107">
        <v>7219.66</v>
      </c>
      <c r="D13" s="109">
        <v>603.6</v>
      </c>
      <c r="E13" s="107">
        <v>63981.599999999999</v>
      </c>
      <c r="F13" s="109"/>
      <c r="G13" s="91">
        <v>671.71</v>
      </c>
      <c r="H13" s="93">
        <v>71201.259999999995</v>
      </c>
      <c r="I13" s="23"/>
      <c r="J13" s="46"/>
      <c r="K13" s="23"/>
    </row>
    <row r="14" spans="1:11">
      <c r="A14" s="95">
        <v>42896</v>
      </c>
      <c r="B14" s="109">
        <v>81.84</v>
      </c>
      <c r="C14" s="107">
        <v>8675.0400000000009</v>
      </c>
      <c r="D14" s="109">
        <v>590.09</v>
      </c>
      <c r="E14" s="107">
        <v>62549.54</v>
      </c>
      <c r="F14" s="109"/>
      <c r="G14" s="91">
        <v>671.93000000000006</v>
      </c>
      <c r="H14" s="93">
        <v>71224.58</v>
      </c>
      <c r="I14" s="23"/>
      <c r="J14" s="46"/>
      <c r="K14" s="23"/>
    </row>
    <row r="15" spans="1:11">
      <c r="A15" s="95">
        <v>42928</v>
      </c>
      <c r="B15" s="109">
        <v>76.83</v>
      </c>
      <c r="C15" s="107">
        <v>8013.24</v>
      </c>
      <c r="D15" s="109">
        <v>559.62</v>
      </c>
      <c r="E15" s="107">
        <v>59319.72</v>
      </c>
      <c r="F15" s="109"/>
      <c r="G15" s="91">
        <v>636.45000000000005</v>
      </c>
      <c r="H15" s="93">
        <v>67332.960000000006</v>
      </c>
      <c r="I15" s="23"/>
      <c r="J15" s="46"/>
      <c r="K15" s="23"/>
    </row>
    <row r="16" spans="1:11">
      <c r="A16" s="95">
        <v>42960</v>
      </c>
      <c r="B16" s="109">
        <v>135.22</v>
      </c>
      <c r="C16" s="107">
        <v>13023.16</v>
      </c>
      <c r="D16" s="109">
        <v>590.73</v>
      </c>
      <c r="E16" s="107">
        <v>62617.38</v>
      </c>
      <c r="F16" s="109"/>
      <c r="G16" s="91">
        <v>725.95</v>
      </c>
      <c r="H16" s="93">
        <v>75640.539999999994</v>
      </c>
      <c r="I16" s="23"/>
      <c r="J16" s="46"/>
      <c r="K16" s="23"/>
    </row>
    <row r="17" spans="1:11">
      <c r="A17" s="95">
        <v>42992</v>
      </c>
      <c r="B17" s="109">
        <v>90.33</v>
      </c>
      <c r="C17" s="107">
        <v>9574.98</v>
      </c>
      <c r="D17" s="109">
        <v>528.9</v>
      </c>
      <c r="E17" s="107">
        <v>56063.4</v>
      </c>
      <c r="F17" s="109"/>
      <c r="G17" s="91">
        <v>619.23</v>
      </c>
      <c r="H17" s="93">
        <v>65638.38</v>
      </c>
      <c r="I17" s="23"/>
      <c r="J17" s="46"/>
      <c r="K17" s="23"/>
    </row>
    <row r="18" spans="1:11">
      <c r="A18" s="95">
        <v>43024</v>
      </c>
      <c r="B18" s="109">
        <v>93.81</v>
      </c>
      <c r="C18" s="107">
        <v>9671.9</v>
      </c>
      <c r="D18" s="109">
        <v>579.54999999999995</v>
      </c>
      <c r="E18" s="107">
        <v>61432.3</v>
      </c>
      <c r="F18" s="109"/>
      <c r="G18" s="91">
        <v>673.3599999999999</v>
      </c>
      <c r="H18" s="93">
        <v>71104.2</v>
      </c>
      <c r="I18" s="23"/>
      <c r="J18" s="46"/>
      <c r="K18" s="23"/>
    </row>
    <row r="19" spans="1:11">
      <c r="A19" s="95">
        <v>43056</v>
      </c>
      <c r="B19" s="109">
        <v>61.77</v>
      </c>
      <c r="C19" s="107">
        <v>6435.09</v>
      </c>
      <c r="D19" s="109">
        <v>605.52</v>
      </c>
      <c r="E19" s="107">
        <v>64185.120000000003</v>
      </c>
      <c r="F19" s="109"/>
      <c r="G19" s="91">
        <v>667.29</v>
      </c>
      <c r="H19" s="93">
        <v>70620.210000000006</v>
      </c>
      <c r="I19" s="23"/>
      <c r="J19" s="46"/>
      <c r="K19" s="23"/>
    </row>
    <row r="20" spans="1:11">
      <c r="A20" s="95">
        <v>43088</v>
      </c>
      <c r="B20" s="109">
        <v>48.62</v>
      </c>
      <c r="C20" s="107">
        <v>5153.72</v>
      </c>
      <c r="D20" s="109">
        <v>484.01</v>
      </c>
      <c r="E20" s="107">
        <v>51305.06</v>
      </c>
      <c r="F20" s="109"/>
      <c r="G20" s="91">
        <v>532.63</v>
      </c>
      <c r="H20" s="93">
        <v>56458.78</v>
      </c>
      <c r="I20" s="23"/>
      <c r="J20" s="46"/>
      <c r="K20" s="23"/>
    </row>
    <row r="21" spans="1:11" ht="17.25">
      <c r="A21" s="95"/>
      <c r="B21" s="104"/>
      <c r="C21" s="105"/>
      <c r="D21" s="104"/>
      <c r="E21" s="105"/>
      <c r="F21" s="104"/>
      <c r="G21" s="113"/>
      <c r="H21" s="94"/>
    </row>
    <row r="22" spans="1:11" ht="15.75" thickBot="1">
      <c r="A22" s="106"/>
      <c r="B22" s="99">
        <f>SUM(B9:B20)</f>
        <v>820.00999999999988</v>
      </c>
      <c r="C22" s="99">
        <f>SUM(C9:C20)</f>
        <v>84576.26999999999</v>
      </c>
      <c r="D22" s="99">
        <f>SUM(D9:D20)</f>
        <v>6679.1399999999994</v>
      </c>
      <c r="E22" s="99">
        <f>SUM(E9:E20)</f>
        <v>707988.84000000008</v>
      </c>
      <c r="F22" s="99"/>
      <c r="G22" s="99">
        <f>SUM(G9:G20)</f>
        <v>7499.1499999999987</v>
      </c>
      <c r="H22" s="99">
        <f>SUM(H9:H20)</f>
        <v>792565.11</v>
      </c>
    </row>
    <row r="23" spans="1:11" ht="15.75" thickTop="1">
      <c r="A23" s="106"/>
      <c r="B23" s="92"/>
      <c r="C23" s="92"/>
      <c r="D23" s="92"/>
      <c r="E23" s="92"/>
      <c r="F23" s="92"/>
      <c r="G23" s="92"/>
      <c r="H23" s="92"/>
    </row>
    <row r="24" spans="1:11">
      <c r="B24" s="96"/>
      <c r="C24" s="100"/>
      <c r="D24" s="98"/>
    </row>
    <row r="25" spans="1:11" ht="15.75" thickBot="1"/>
    <row r="26" spans="1:11">
      <c r="A26" s="101" t="s">
        <v>265</v>
      </c>
      <c r="B26" s="89"/>
      <c r="C26" s="89"/>
      <c r="D26" s="89"/>
      <c r="E26" s="88"/>
    </row>
    <row r="27" spans="1:11">
      <c r="A27" s="102"/>
      <c r="B27" s="126" t="s">
        <v>400</v>
      </c>
      <c r="C27" s="126" t="s">
        <v>401</v>
      </c>
      <c r="E27" s="103"/>
    </row>
    <row r="28" spans="1:11">
      <c r="A28" s="102" t="s">
        <v>402</v>
      </c>
      <c r="B28" s="98">
        <v>18545320.216570791</v>
      </c>
      <c r="C28" s="115">
        <v>0.9079821747076694</v>
      </c>
      <c r="E28" s="103"/>
      <c r="G28" s="98"/>
    </row>
    <row r="29" spans="1:11">
      <c r="A29" s="102" t="s">
        <v>403</v>
      </c>
      <c r="B29" s="114">
        <v>1879442.2216803492</v>
      </c>
      <c r="C29" s="115">
        <v>9.201782529233056E-2</v>
      </c>
      <c r="E29" s="103"/>
    </row>
    <row r="30" spans="1:11">
      <c r="A30" s="102"/>
      <c r="B30" s="98">
        <v>20424762.438251141</v>
      </c>
      <c r="E30" s="103"/>
    </row>
    <row r="31" spans="1:11">
      <c r="A31" s="102"/>
      <c r="E31" s="103"/>
    </row>
    <row r="32" spans="1:11" ht="15.75" thickBot="1">
      <c r="A32" s="87"/>
      <c r="B32" s="90"/>
      <c r="C32" s="90"/>
      <c r="D32" s="90"/>
      <c r="E32" s="110"/>
    </row>
    <row r="36" spans="4:4">
      <c r="D36" s="98"/>
    </row>
  </sheetData>
  <mergeCells count="6">
    <mergeCell ref="A4:H4"/>
    <mergeCell ref="B6:E6"/>
    <mergeCell ref="G6:H6"/>
    <mergeCell ref="B7:C7"/>
    <mergeCell ref="D7:E7"/>
    <mergeCell ref="G7:H7"/>
  </mergeCells>
  <printOptions horizontalCentered="1"/>
  <pageMargins left="0.7" right="0.7" top="0.75" bottom="0.75" header="0.3" footer="0.3"/>
  <pageSetup scale="90" orientation="portrait" r:id="rId1"/>
  <headerFooter>
    <oddFooter>&amp;L&amp;F - &amp;A&amp;R&amp;P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S175"/>
  <sheetViews>
    <sheetView showGridLines="0" view="pageBreakPreview" zoomScaleNormal="100" zoomScaleSheetLayoutView="100" workbookViewId="0">
      <pane ySplit="6" topLeftCell="A28" activePane="bottomLeft" state="frozen"/>
      <selection activeCell="D49" sqref="D49"/>
      <selection pane="bottomLeft" activeCell="D49" sqref="D49"/>
    </sheetView>
  </sheetViews>
  <sheetFormatPr defaultColWidth="9.140625" defaultRowHeight="12.75"/>
  <cols>
    <col min="1" max="1" width="22.7109375" style="138" customWidth="1"/>
    <col min="2" max="2" width="23.5703125" style="138" customWidth="1"/>
    <col min="3" max="3" width="10" style="138" customWidth="1"/>
    <col min="4" max="4" width="13.7109375" style="138" customWidth="1"/>
    <col min="5" max="5" width="1.140625" style="138" customWidth="1"/>
    <col min="6" max="6" width="10" style="138" customWidth="1"/>
    <col min="7" max="7" width="11.85546875" style="138" customWidth="1"/>
    <col min="8" max="8" width="1.140625" style="138" customWidth="1"/>
    <col min="9" max="9" width="15" style="138" customWidth="1"/>
    <col min="10" max="10" width="8.140625" style="138" customWidth="1"/>
    <col min="11" max="11" width="9" style="138" customWidth="1"/>
    <col min="12" max="12" width="1.140625" style="138" customWidth="1"/>
    <col min="13" max="13" width="11.140625" style="140" customWidth="1"/>
    <col min="14" max="14" width="1.140625" style="140" customWidth="1"/>
    <col min="15" max="15" width="13.42578125" style="141" customWidth="1"/>
    <col min="16" max="16" width="13.42578125" style="140" customWidth="1"/>
    <col min="17" max="16384" width="9.140625" style="138"/>
  </cols>
  <sheetData>
    <row r="1" spans="1:16" ht="12" customHeight="1">
      <c r="A1" s="155" t="s">
        <v>442</v>
      </c>
      <c r="B1" s="146"/>
      <c r="C1" s="156" t="s">
        <v>443</v>
      </c>
      <c r="D1" s="146"/>
      <c r="E1" s="146"/>
      <c r="F1" s="146"/>
    </row>
    <row r="2" spans="1:16" ht="12" customHeight="1">
      <c r="A2" s="155" t="s">
        <v>444</v>
      </c>
      <c r="B2" s="146"/>
      <c r="C2" s="157"/>
      <c r="D2" s="158"/>
      <c r="E2" s="146"/>
      <c r="F2" s="146"/>
      <c r="I2" s="146"/>
      <c r="O2" s="159">
        <f>M170</f>
        <v>-260.96880137245171</v>
      </c>
      <c r="P2" s="160" t="s">
        <v>445</v>
      </c>
    </row>
    <row r="3" spans="1:16" ht="12" customHeight="1">
      <c r="A3" s="137">
        <v>2017</v>
      </c>
      <c r="B3" s="146"/>
      <c r="C3" s="161" t="s">
        <v>487</v>
      </c>
      <c r="D3" s="162"/>
      <c r="E3" s="146"/>
      <c r="F3" s="146"/>
      <c r="O3" s="141">
        <v>-261</v>
      </c>
    </row>
    <row r="4" spans="1:16" ht="28.5" customHeight="1">
      <c r="A4" s="146"/>
      <c r="B4" s="163"/>
      <c r="C4" s="164">
        <v>2017</v>
      </c>
      <c r="D4" s="165">
        <v>2017</v>
      </c>
      <c r="E4" s="146"/>
      <c r="F4" s="165">
        <v>2017</v>
      </c>
      <c r="G4" s="165" t="s">
        <v>446</v>
      </c>
      <c r="I4" s="166" t="s">
        <v>447</v>
      </c>
      <c r="J4" s="167" t="s">
        <v>448</v>
      </c>
      <c r="K4" s="166" t="s">
        <v>449</v>
      </c>
      <c r="L4" s="146"/>
      <c r="M4" s="234" t="s">
        <v>450</v>
      </c>
      <c r="N4" s="147"/>
      <c r="O4" s="235" t="s">
        <v>451</v>
      </c>
      <c r="P4" s="235"/>
    </row>
    <row r="5" spans="1:16" ht="12" customHeight="1">
      <c r="A5" s="164" t="s">
        <v>1</v>
      </c>
      <c r="B5" s="163" t="s">
        <v>2</v>
      </c>
      <c r="C5" s="168" t="s">
        <v>3</v>
      </c>
      <c r="D5" s="163" t="s">
        <v>4</v>
      </c>
      <c r="E5" s="146"/>
      <c r="F5" s="163" t="s">
        <v>5</v>
      </c>
      <c r="G5" s="163" t="s">
        <v>452</v>
      </c>
      <c r="I5" s="169">
        <v>0.14180179125211698</v>
      </c>
      <c r="J5" s="169">
        <v>0</v>
      </c>
      <c r="K5" s="169">
        <v>0.72954912708871378</v>
      </c>
      <c r="L5" s="163"/>
      <c r="M5" s="234"/>
      <c r="N5" s="170"/>
      <c r="O5" s="171" t="s">
        <v>453</v>
      </c>
      <c r="P5" s="172" t="s">
        <v>454</v>
      </c>
    </row>
    <row r="6" spans="1:16" ht="12" customHeight="1">
      <c r="G6" s="173"/>
      <c r="H6" s="174" t="s">
        <v>455</v>
      </c>
      <c r="I6" s="175">
        <v>4.8999999999999998E-3</v>
      </c>
      <c r="J6" s="173"/>
      <c r="K6" s="173"/>
    </row>
    <row r="7" spans="1:16" s="146" customFormat="1" ht="7.5" customHeight="1">
      <c r="C7" s="157"/>
      <c r="H7" s="138"/>
      <c r="M7" s="147"/>
      <c r="N7" s="147"/>
      <c r="O7" s="148"/>
      <c r="P7" s="147"/>
    </row>
    <row r="8" spans="1:16" s="146" customFormat="1" ht="7.5" customHeight="1">
      <c r="C8" s="157"/>
      <c r="H8" s="138"/>
      <c r="M8" s="147"/>
      <c r="N8" s="147"/>
      <c r="O8" s="148"/>
      <c r="P8" s="147"/>
    </row>
    <row r="9" spans="1:16" s="146" customFormat="1" ht="12" customHeight="1">
      <c r="A9" s="176" t="s">
        <v>6</v>
      </c>
      <c r="B9" s="176" t="s">
        <v>6</v>
      </c>
      <c r="C9" s="157"/>
      <c r="H9" s="138"/>
      <c r="M9" s="147"/>
      <c r="N9" s="147"/>
      <c r="O9" s="148"/>
      <c r="P9" s="147"/>
    </row>
    <row r="10" spans="1:16" s="146" customFormat="1" ht="7.5" customHeight="1">
      <c r="A10" s="176"/>
      <c r="B10" s="176"/>
      <c r="C10" s="157"/>
      <c r="M10" s="147"/>
      <c r="N10" s="147"/>
      <c r="O10" s="148"/>
      <c r="P10" s="147"/>
    </row>
    <row r="11" spans="1:16" s="146" customFormat="1" ht="12" customHeight="1">
      <c r="A11" s="137" t="s">
        <v>7</v>
      </c>
      <c r="B11" s="137" t="s">
        <v>7</v>
      </c>
      <c r="C11" s="142"/>
      <c r="D11" s="144"/>
      <c r="F11" s="144"/>
      <c r="M11" s="147"/>
      <c r="N11" s="147"/>
      <c r="O11" s="148"/>
      <c r="P11" s="147"/>
    </row>
    <row r="12" spans="1:16" s="146" customFormat="1" ht="12" customHeight="1">
      <c r="A12" s="138" t="s">
        <v>8</v>
      </c>
      <c r="B12" s="138" t="s">
        <v>9</v>
      </c>
      <c r="C12" s="142">
        <v>14.27</v>
      </c>
      <c r="D12" s="143">
        <v>3692.7450000000003</v>
      </c>
      <c r="F12" s="144">
        <f>IFERROR(D12/C12,0)</f>
        <v>258.77680448493345</v>
      </c>
      <c r="G12" s="143">
        <f>F12/12</f>
        <v>21.564733707077789</v>
      </c>
      <c r="H12" s="144"/>
      <c r="I12" s="145">
        <f>$I$5*C12</f>
        <v>2.0235115611677092</v>
      </c>
      <c r="M12" s="147">
        <f t="shared" ref="M12:M36" si="0">G12*SUM(I12:J12)*12</f>
        <v>523.6378556372988</v>
      </c>
      <c r="N12" s="147"/>
      <c r="O12" s="148">
        <f t="shared" ref="O12:O36" si="1">+C12+SUM(I12:J12)</f>
        <v>16.293511561167708</v>
      </c>
      <c r="P12" s="147">
        <f>D12+M12</f>
        <v>4216.3828556372991</v>
      </c>
    </row>
    <row r="13" spans="1:16" s="146" customFormat="1" ht="12" customHeight="1">
      <c r="A13" s="138" t="s">
        <v>10</v>
      </c>
      <c r="B13" s="138" t="s">
        <v>11</v>
      </c>
      <c r="C13" s="142">
        <v>11.46</v>
      </c>
      <c r="D13" s="143">
        <v>5895.31</v>
      </c>
      <c r="F13" s="144">
        <f t="shared" ref="F13:F36" si="2">IFERROR(D13/C13,0)</f>
        <v>514.42495636998251</v>
      </c>
      <c r="G13" s="144">
        <f t="shared" ref="G13:G36" si="3">F13/12</f>
        <v>42.868746364165212</v>
      </c>
      <c r="H13" s="144"/>
      <c r="I13" s="145">
        <f t="shared" ref="I13:I36" si="4">$I$5*C13</f>
        <v>1.6250485277492606</v>
      </c>
      <c r="M13" s="147">
        <f t="shared" si="0"/>
        <v>835.96551798651763</v>
      </c>
      <c r="N13" s="147"/>
      <c r="O13" s="148">
        <f t="shared" si="1"/>
        <v>13.085048527749262</v>
      </c>
      <c r="P13" s="147">
        <f t="shared" ref="P13:P36" si="5">D13+M13</f>
        <v>6731.275517986518</v>
      </c>
    </row>
    <row r="14" spans="1:16" s="146" customFormat="1" ht="12" customHeight="1">
      <c r="A14" s="138" t="s">
        <v>12</v>
      </c>
      <c r="B14" s="138" t="s">
        <v>13</v>
      </c>
      <c r="C14" s="142">
        <v>18.2</v>
      </c>
      <c r="D14" s="143">
        <v>211713.65</v>
      </c>
      <c r="F14" s="144">
        <f t="shared" si="2"/>
        <v>11632.618131868132</v>
      </c>
      <c r="G14" s="144">
        <f t="shared" si="3"/>
        <v>969.38484432234429</v>
      </c>
      <c r="H14" s="144"/>
      <c r="I14" s="145">
        <f t="shared" si="4"/>
        <v>2.5807926007885289</v>
      </c>
      <c r="M14" s="147">
        <f t="shared" si="0"/>
        <v>30021.374802523751</v>
      </c>
      <c r="N14" s="147"/>
      <c r="O14" s="148">
        <f t="shared" si="1"/>
        <v>20.78079260078853</v>
      </c>
      <c r="P14" s="147">
        <f t="shared" si="5"/>
        <v>241735.02480252375</v>
      </c>
    </row>
    <row r="15" spans="1:16" s="146" customFormat="1" ht="12" customHeight="1">
      <c r="A15" s="138" t="s">
        <v>14</v>
      </c>
      <c r="B15" s="138" t="s">
        <v>15</v>
      </c>
      <c r="C15" s="142">
        <v>24.19</v>
      </c>
      <c r="D15" s="143">
        <v>48301.590000000004</v>
      </c>
      <c r="F15" s="144">
        <f t="shared" si="2"/>
        <v>1996.7585779247624</v>
      </c>
      <c r="G15" s="144">
        <f t="shared" si="3"/>
        <v>166.39654816039686</v>
      </c>
      <c r="H15" s="144"/>
      <c r="I15" s="145">
        <f t="shared" si="4"/>
        <v>3.43018533038871</v>
      </c>
      <c r="M15" s="147">
        <f t="shared" si="0"/>
        <v>6849.2519823253424</v>
      </c>
      <c r="N15" s="147"/>
      <c r="O15" s="148">
        <f t="shared" si="1"/>
        <v>27.620185330388711</v>
      </c>
      <c r="P15" s="147">
        <f t="shared" si="5"/>
        <v>55150.84198232535</v>
      </c>
    </row>
    <row r="16" spans="1:16" s="146" customFormat="1" ht="12" customHeight="1">
      <c r="A16" s="138" t="s">
        <v>16</v>
      </c>
      <c r="B16" s="138" t="s">
        <v>17</v>
      </c>
      <c r="C16" s="142">
        <v>32.11</v>
      </c>
      <c r="D16" s="143">
        <v>4294.05</v>
      </c>
      <c r="F16" s="144">
        <f t="shared" si="2"/>
        <v>133.72936779819372</v>
      </c>
      <c r="G16" s="144">
        <f t="shared" si="3"/>
        <v>11.144113983182811</v>
      </c>
      <c r="H16" s="144"/>
      <c r="I16" s="145">
        <f t="shared" si="4"/>
        <v>4.5532555171054758</v>
      </c>
      <c r="M16" s="147">
        <f t="shared" si="0"/>
        <v>608.90398172615301</v>
      </c>
      <c r="N16" s="147"/>
      <c r="O16" s="148">
        <f t="shared" si="1"/>
        <v>36.663255517105476</v>
      </c>
      <c r="P16" s="147">
        <f t="shared" si="5"/>
        <v>4902.953981726153</v>
      </c>
    </row>
    <row r="17" spans="1:16" s="146" customFormat="1" ht="12" customHeight="1">
      <c r="A17" s="138" t="s">
        <v>18</v>
      </c>
      <c r="B17" s="138" t="s">
        <v>19</v>
      </c>
      <c r="C17" s="142">
        <v>41.93</v>
      </c>
      <c r="D17" s="143">
        <v>502.88500000000005</v>
      </c>
      <c r="F17" s="144">
        <f t="shared" si="2"/>
        <v>11.993441450035775</v>
      </c>
      <c r="G17" s="144">
        <f t="shared" si="3"/>
        <v>0.99945345416964793</v>
      </c>
      <c r="H17" s="144"/>
      <c r="I17" s="145">
        <f t="shared" si="4"/>
        <v>5.9457491072012649</v>
      </c>
      <c r="M17" s="147">
        <f t="shared" si="0"/>
        <v>71.309993793820851</v>
      </c>
      <c r="N17" s="147"/>
      <c r="O17" s="148">
        <f t="shared" si="1"/>
        <v>47.875749107201266</v>
      </c>
      <c r="P17" s="147">
        <f t="shared" si="5"/>
        <v>574.19499379382091</v>
      </c>
    </row>
    <row r="18" spans="1:16" s="146" customFormat="1" ht="12" customHeight="1">
      <c r="A18" s="138" t="s">
        <v>20</v>
      </c>
      <c r="B18" s="138" t="s">
        <v>21</v>
      </c>
      <c r="C18" s="142">
        <v>25.91</v>
      </c>
      <c r="D18" s="143">
        <v>270469.49500000005</v>
      </c>
      <c r="F18" s="144">
        <f t="shared" si="2"/>
        <v>10438.807217290623</v>
      </c>
      <c r="G18" s="144">
        <f t="shared" si="3"/>
        <v>869.90060144088523</v>
      </c>
      <c r="H18" s="144"/>
      <c r="I18" s="145">
        <f t="shared" si="4"/>
        <v>3.674084411342351</v>
      </c>
      <c r="M18" s="147">
        <f t="shared" si="0"/>
        <v>38353.058870055502</v>
      </c>
      <c r="N18" s="147"/>
      <c r="O18" s="148">
        <f t="shared" si="1"/>
        <v>29.584084411342353</v>
      </c>
      <c r="P18" s="147">
        <f t="shared" si="5"/>
        <v>308822.55387005553</v>
      </c>
    </row>
    <row r="19" spans="1:16" s="146" customFormat="1" ht="12" customHeight="1">
      <c r="A19" s="138" t="s">
        <v>332</v>
      </c>
      <c r="B19" s="138" t="s">
        <v>333</v>
      </c>
      <c r="C19" s="142">
        <v>51.82</v>
      </c>
      <c r="D19" s="143">
        <v>3080.11</v>
      </c>
      <c r="F19" s="144">
        <f t="shared" si="2"/>
        <v>59.438633732149754</v>
      </c>
      <c r="G19" s="144">
        <f t="shared" si="3"/>
        <v>4.9532194776791458</v>
      </c>
      <c r="H19" s="144"/>
      <c r="I19" s="145">
        <f t="shared" si="4"/>
        <v>7.348168822684702</v>
      </c>
      <c r="M19" s="147">
        <f t="shared" si="0"/>
        <v>436.76511525355801</v>
      </c>
      <c r="N19" s="147"/>
      <c r="O19" s="148">
        <f t="shared" si="1"/>
        <v>59.168168822684706</v>
      </c>
      <c r="P19" s="147">
        <f t="shared" si="5"/>
        <v>3516.8751152535583</v>
      </c>
    </row>
    <row r="20" spans="1:16" s="146" customFormat="1" ht="12" customHeight="1">
      <c r="A20" s="138" t="s">
        <v>22</v>
      </c>
      <c r="B20" s="138" t="s">
        <v>23</v>
      </c>
      <c r="C20" s="142">
        <v>77.73</v>
      </c>
      <c r="D20" s="143">
        <v>1860.7500000000002</v>
      </c>
      <c r="F20" s="144">
        <f t="shared" si="2"/>
        <v>23.93863373214975</v>
      </c>
      <c r="G20" s="144">
        <f t="shared" si="3"/>
        <v>1.9948861443458126</v>
      </c>
      <c r="H20" s="144"/>
      <c r="I20" s="145">
        <f t="shared" si="4"/>
        <v>11.022253234027053</v>
      </c>
      <c r="M20" s="147">
        <f t="shared" si="0"/>
        <v>263.85768307237669</v>
      </c>
      <c r="N20" s="147"/>
      <c r="O20" s="148">
        <f t="shared" si="1"/>
        <v>88.752253234027052</v>
      </c>
      <c r="P20" s="147">
        <f t="shared" si="5"/>
        <v>2124.6076830723769</v>
      </c>
    </row>
    <row r="21" spans="1:16" s="146" customFormat="1" ht="12" customHeight="1">
      <c r="A21" s="138" t="s">
        <v>24</v>
      </c>
      <c r="B21" s="138" t="s">
        <v>25</v>
      </c>
      <c r="C21" s="142">
        <v>32.06</v>
      </c>
      <c r="D21" s="143">
        <v>480282.98</v>
      </c>
      <c r="F21" s="144">
        <f t="shared" si="2"/>
        <v>14980.754210854646</v>
      </c>
      <c r="G21" s="144">
        <f t="shared" si="3"/>
        <v>1248.3961842378872</v>
      </c>
      <c r="H21" s="144"/>
      <c r="I21" s="145">
        <f t="shared" si="4"/>
        <v>4.5461654275428707</v>
      </c>
      <c r="M21" s="147">
        <f t="shared" si="0"/>
        <v>68104.986871904664</v>
      </c>
      <c r="N21" s="147"/>
      <c r="O21" s="148">
        <f t="shared" si="1"/>
        <v>36.606165427542877</v>
      </c>
      <c r="P21" s="147">
        <f t="shared" si="5"/>
        <v>548387.96687190467</v>
      </c>
    </row>
    <row r="22" spans="1:16" s="146" customFormat="1" ht="12" customHeight="1">
      <c r="A22" s="138" t="s">
        <v>26</v>
      </c>
      <c r="B22" s="138" t="s">
        <v>27</v>
      </c>
      <c r="C22" s="142">
        <v>64.12</v>
      </c>
      <c r="D22" s="143">
        <v>9665.31</v>
      </c>
      <c r="F22" s="144">
        <f t="shared" si="2"/>
        <v>150.73783530879598</v>
      </c>
      <c r="G22" s="144">
        <f t="shared" si="3"/>
        <v>12.561486275732998</v>
      </c>
      <c r="H22" s="144"/>
      <c r="I22" s="145">
        <f t="shared" si="4"/>
        <v>9.0923308550857413</v>
      </c>
      <c r="M22" s="147">
        <f t="shared" si="0"/>
        <v>1370.5582710069984</v>
      </c>
      <c r="N22" s="147"/>
      <c r="O22" s="148">
        <f t="shared" si="1"/>
        <v>73.212330855085753</v>
      </c>
      <c r="P22" s="147">
        <f t="shared" si="5"/>
        <v>11035.868271006999</v>
      </c>
    </row>
    <row r="23" spans="1:16" s="146" customFormat="1" ht="12" customHeight="1">
      <c r="A23" s="138" t="s">
        <v>28</v>
      </c>
      <c r="B23" s="138" t="s">
        <v>29</v>
      </c>
      <c r="C23" s="142">
        <v>12.61</v>
      </c>
      <c r="D23" s="143">
        <v>176.54</v>
      </c>
      <c r="F23" s="144">
        <f t="shared" si="2"/>
        <v>14</v>
      </c>
      <c r="G23" s="144">
        <f t="shared" si="3"/>
        <v>1.1666666666666667</v>
      </c>
      <c r="H23" s="144"/>
      <c r="I23" s="145">
        <f t="shared" si="4"/>
        <v>1.788120587689195</v>
      </c>
      <c r="M23" s="147">
        <f t="shared" si="0"/>
        <v>25.033688227648732</v>
      </c>
      <c r="N23" s="147"/>
      <c r="O23" s="148">
        <f t="shared" si="1"/>
        <v>14.398120587689194</v>
      </c>
      <c r="P23" s="147">
        <f t="shared" si="5"/>
        <v>201.57368822764872</v>
      </c>
    </row>
    <row r="24" spans="1:16" s="146" customFormat="1" ht="12" customHeight="1">
      <c r="A24" s="138" t="s">
        <v>30</v>
      </c>
      <c r="B24" s="138" t="s">
        <v>31</v>
      </c>
      <c r="C24" s="142">
        <v>12.61</v>
      </c>
      <c r="D24" s="143">
        <v>214.37</v>
      </c>
      <c r="F24" s="144">
        <f t="shared" si="2"/>
        <v>17</v>
      </c>
      <c r="G24" s="144">
        <f t="shared" si="3"/>
        <v>1.4166666666666667</v>
      </c>
      <c r="I24" s="145">
        <f t="shared" si="4"/>
        <v>1.788120587689195</v>
      </c>
      <c r="M24" s="147">
        <f t="shared" si="0"/>
        <v>30.398049990716316</v>
      </c>
      <c r="N24" s="147"/>
      <c r="O24" s="148">
        <f t="shared" si="1"/>
        <v>14.398120587689194</v>
      </c>
      <c r="P24" s="147">
        <f t="shared" si="5"/>
        <v>244.76804999071632</v>
      </c>
    </row>
    <row r="25" spans="1:16" s="146" customFormat="1" ht="12" customHeight="1">
      <c r="A25" s="138" t="s">
        <v>32</v>
      </c>
      <c r="B25" s="138" t="s">
        <v>33</v>
      </c>
      <c r="C25" s="142">
        <v>4.16</v>
      </c>
      <c r="D25" s="143">
        <v>16949.2</v>
      </c>
      <c r="F25" s="144">
        <f t="shared" si="2"/>
        <v>4074.3269230769233</v>
      </c>
      <c r="G25" s="144">
        <f t="shared" si="3"/>
        <v>339.52724358974359</v>
      </c>
      <c r="I25" s="145">
        <f t="shared" si="4"/>
        <v>0.58989545160880663</v>
      </c>
      <c r="M25" s="147">
        <f t="shared" si="0"/>
        <v>2403.4269202903811</v>
      </c>
      <c r="N25" s="147"/>
      <c r="O25" s="148">
        <f t="shared" si="1"/>
        <v>4.7498954516088068</v>
      </c>
      <c r="P25" s="147">
        <f t="shared" si="5"/>
        <v>19352.626920290382</v>
      </c>
    </row>
    <row r="26" spans="1:16" s="146" customFormat="1" ht="12" customHeight="1">
      <c r="A26" s="138" t="s">
        <v>34</v>
      </c>
      <c r="B26" s="138" t="s">
        <v>35</v>
      </c>
      <c r="C26" s="142">
        <v>20.78</v>
      </c>
      <c r="D26" s="143">
        <v>1308.7500000000002</v>
      </c>
      <c r="F26" s="144">
        <f t="shared" si="2"/>
        <v>62.981231953801739</v>
      </c>
      <c r="G26" s="144">
        <f t="shared" si="3"/>
        <v>5.2484359961501452</v>
      </c>
      <c r="I26" s="145">
        <f t="shared" si="4"/>
        <v>2.9466412222189908</v>
      </c>
      <c r="M26" s="147">
        <f t="shared" si="0"/>
        <v>185.58309430120812</v>
      </c>
      <c r="N26" s="147"/>
      <c r="O26" s="148">
        <f t="shared" si="1"/>
        <v>23.726641222218991</v>
      </c>
      <c r="P26" s="147">
        <f t="shared" si="5"/>
        <v>1494.3330943012083</v>
      </c>
    </row>
    <row r="27" spans="1:16" s="146" customFormat="1" ht="12" customHeight="1">
      <c r="A27" s="138" t="s">
        <v>36</v>
      </c>
      <c r="B27" s="138" t="s">
        <v>37</v>
      </c>
      <c r="C27" s="142">
        <v>4.16</v>
      </c>
      <c r="D27" s="143">
        <v>166.42</v>
      </c>
      <c r="F27" s="144">
        <f t="shared" si="2"/>
        <v>40.004807692307686</v>
      </c>
      <c r="G27" s="144">
        <f t="shared" si="3"/>
        <v>3.333733974358974</v>
      </c>
      <c r="I27" s="145">
        <f t="shared" si="4"/>
        <v>0.58989545160880663</v>
      </c>
      <c r="M27" s="147">
        <f t="shared" si="0"/>
        <v>23.598654100177306</v>
      </c>
      <c r="N27" s="147"/>
      <c r="O27" s="148">
        <f t="shared" si="1"/>
        <v>4.7498954516088068</v>
      </c>
      <c r="P27" s="147">
        <f t="shared" si="5"/>
        <v>190.01865410017729</v>
      </c>
    </row>
    <row r="28" spans="1:16" s="146" customFormat="1" ht="12" customHeight="1">
      <c r="A28" s="138" t="s">
        <v>38</v>
      </c>
      <c r="B28" s="138" t="s">
        <v>39</v>
      </c>
      <c r="C28" s="142">
        <v>4.16</v>
      </c>
      <c r="D28" s="143">
        <v>95.64</v>
      </c>
      <c r="F28" s="144">
        <f t="shared" si="2"/>
        <v>22.990384615384613</v>
      </c>
      <c r="G28" s="144">
        <f t="shared" si="3"/>
        <v>1.9158653846153844</v>
      </c>
      <c r="I28" s="145">
        <f t="shared" si="4"/>
        <v>0.58989545160880663</v>
      </c>
      <c r="M28" s="147">
        <f t="shared" si="0"/>
        <v>13.561923315352466</v>
      </c>
      <c r="N28" s="147"/>
      <c r="O28" s="148">
        <f t="shared" si="1"/>
        <v>4.7498954516088068</v>
      </c>
      <c r="P28" s="147">
        <f t="shared" si="5"/>
        <v>109.20192331535247</v>
      </c>
    </row>
    <row r="29" spans="1:16" s="146" customFormat="1" ht="12" customHeight="1">
      <c r="A29" s="138" t="s">
        <v>40</v>
      </c>
      <c r="B29" s="138" t="s">
        <v>41</v>
      </c>
      <c r="C29" s="142">
        <v>20.78</v>
      </c>
      <c r="D29" s="143">
        <v>259.59000000000003</v>
      </c>
      <c r="F29" s="144">
        <f t="shared" si="2"/>
        <v>12.492300288739173</v>
      </c>
      <c r="G29" s="144">
        <f t="shared" si="3"/>
        <v>1.0410250240615977</v>
      </c>
      <c r="I29" s="145">
        <f t="shared" si="4"/>
        <v>2.9466412222189908</v>
      </c>
      <c r="M29" s="147">
        <f t="shared" si="0"/>
        <v>36.810326991137046</v>
      </c>
      <c r="N29" s="147"/>
      <c r="O29" s="148">
        <f t="shared" si="1"/>
        <v>23.726641222218991</v>
      </c>
      <c r="P29" s="147">
        <f t="shared" si="5"/>
        <v>296.40032699113709</v>
      </c>
    </row>
    <row r="30" spans="1:16" s="146" customFormat="1" ht="12" customHeight="1">
      <c r="A30" s="177" t="s">
        <v>456</v>
      </c>
      <c r="B30" s="138" t="s">
        <v>457</v>
      </c>
      <c r="C30" s="142">
        <v>8.4700000000000006</v>
      </c>
      <c r="D30" s="143">
        <v>16.940000000000001</v>
      </c>
      <c r="F30" s="144">
        <f t="shared" si="2"/>
        <v>2</v>
      </c>
      <c r="G30" s="144">
        <f t="shared" si="3"/>
        <v>0.16666666666666666</v>
      </c>
      <c r="I30" s="145">
        <f t="shared" si="4"/>
        <v>1.2010611719054309</v>
      </c>
      <c r="M30" s="147">
        <f t="shared" si="0"/>
        <v>2.4021223438108619</v>
      </c>
      <c r="N30" s="147"/>
      <c r="O30" s="148">
        <f t="shared" si="1"/>
        <v>9.671061171905432</v>
      </c>
      <c r="P30" s="147">
        <f t="shared" si="5"/>
        <v>19.342122343810864</v>
      </c>
    </row>
    <row r="31" spans="1:16" s="146" customFormat="1" ht="12" customHeight="1">
      <c r="A31" s="138" t="s">
        <v>42</v>
      </c>
      <c r="B31" s="138" t="s">
        <v>43</v>
      </c>
      <c r="C31" s="142">
        <v>3.64</v>
      </c>
      <c r="D31" s="143">
        <v>86.800000000000011</v>
      </c>
      <c r="F31" s="144">
        <f t="shared" si="2"/>
        <v>23.846153846153847</v>
      </c>
      <c r="G31" s="144">
        <f t="shared" si="3"/>
        <v>1.9871794871794872</v>
      </c>
      <c r="I31" s="145">
        <f t="shared" si="4"/>
        <v>0.5161585201577058</v>
      </c>
      <c r="M31" s="147">
        <f t="shared" si="0"/>
        <v>12.308395480683753</v>
      </c>
      <c r="N31" s="147"/>
      <c r="O31" s="148">
        <f t="shared" si="1"/>
        <v>4.1561585201577058</v>
      </c>
      <c r="P31" s="147">
        <f t="shared" si="5"/>
        <v>99.108395480683768</v>
      </c>
    </row>
    <row r="32" spans="1:16" s="146" customFormat="1" ht="12" customHeight="1">
      <c r="A32" s="138" t="s">
        <v>334</v>
      </c>
      <c r="B32" s="138" t="s">
        <v>335</v>
      </c>
      <c r="C32" s="142">
        <v>6.97</v>
      </c>
      <c r="D32" s="143">
        <v>5602.1400000000021</v>
      </c>
      <c r="F32" s="144">
        <f t="shared" si="2"/>
        <v>803.75035868005773</v>
      </c>
      <c r="G32" s="144">
        <f t="shared" si="3"/>
        <v>66.979196556671482</v>
      </c>
      <c r="I32" s="145">
        <f t="shared" si="4"/>
        <v>0.98835848502725532</v>
      </c>
      <c r="M32" s="147">
        <f t="shared" si="0"/>
        <v>794.39348684513493</v>
      </c>
      <c r="N32" s="147"/>
      <c r="O32" s="148">
        <f t="shared" si="1"/>
        <v>7.9583584850272553</v>
      </c>
      <c r="P32" s="147">
        <f t="shared" si="5"/>
        <v>6396.5334868451373</v>
      </c>
    </row>
    <row r="33" spans="1:16" s="146" customFormat="1" ht="12" customHeight="1">
      <c r="A33" s="138" t="s">
        <v>336</v>
      </c>
      <c r="B33" s="138" t="s">
        <v>337</v>
      </c>
      <c r="C33" s="142">
        <v>3.64</v>
      </c>
      <c r="D33" s="143">
        <v>0</v>
      </c>
      <c r="F33" s="144">
        <f t="shared" si="2"/>
        <v>0</v>
      </c>
      <c r="G33" s="144">
        <f t="shared" si="3"/>
        <v>0</v>
      </c>
      <c r="I33" s="145">
        <f t="shared" si="4"/>
        <v>0.5161585201577058</v>
      </c>
      <c r="M33" s="147">
        <f t="shared" si="0"/>
        <v>0</v>
      </c>
      <c r="N33" s="147"/>
      <c r="O33" s="148">
        <f t="shared" si="1"/>
        <v>4.1561585201577058</v>
      </c>
      <c r="P33" s="147">
        <f t="shared" si="5"/>
        <v>0</v>
      </c>
    </row>
    <row r="34" spans="1:16" s="146" customFormat="1" ht="12" customHeight="1">
      <c r="A34" s="138" t="s">
        <v>44</v>
      </c>
      <c r="B34" s="138" t="s">
        <v>45</v>
      </c>
      <c r="C34" s="142">
        <v>23.04</v>
      </c>
      <c r="D34" s="143">
        <v>322.56</v>
      </c>
      <c r="F34" s="144">
        <f t="shared" si="2"/>
        <v>14</v>
      </c>
      <c r="G34" s="144">
        <f t="shared" si="3"/>
        <v>1.1666666666666667</v>
      </c>
      <c r="I34" s="145">
        <f t="shared" si="4"/>
        <v>3.2671132704487751</v>
      </c>
      <c r="M34" s="147">
        <f t="shared" si="0"/>
        <v>45.739585786282852</v>
      </c>
      <c r="N34" s="147"/>
      <c r="O34" s="148">
        <f t="shared" si="1"/>
        <v>26.307113270448774</v>
      </c>
      <c r="P34" s="147">
        <f t="shared" si="5"/>
        <v>368.29958578628288</v>
      </c>
    </row>
    <row r="35" spans="1:16" s="146" customFormat="1" ht="12" customHeight="1">
      <c r="A35" s="138" t="s">
        <v>46</v>
      </c>
      <c r="B35" s="138" t="s">
        <v>47</v>
      </c>
      <c r="C35" s="142">
        <v>13.83</v>
      </c>
      <c r="D35" s="143">
        <v>1244.7</v>
      </c>
      <c r="F35" s="144">
        <f t="shared" si="2"/>
        <v>90</v>
      </c>
      <c r="G35" s="144">
        <f t="shared" si="3"/>
        <v>7.5</v>
      </c>
      <c r="I35" s="145">
        <f t="shared" si="4"/>
        <v>1.9611187730167778</v>
      </c>
      <c r="M35" s="147">
        <f t="shared" si="0"/>
        <v>176.50068957151001</v>
      </c>
      <c r="N35" s="147"/>
      <c r="O35" s="148">
        <f t="shared" si="1"/>
        <v>15.791118773016779</v>
      </c>
      <c r="P35" s="147">
        <f t="shared" si="5"/>
        <v>1421.2006895715101</v>
      </c>
    </row>
    <row r="36" spans="1:16" s="146" customFormat="1" ht="12" customHeight="1">
      <c r="A36" s="138" t="s">
        <v>338</v>
      </c>
      <c r="B36" s="138" t="s">
        <v>339</v>
      </c>
      <c r="C36" s="142">
        <v>107.53</v>
      </c>
      <c r="D36" s="143">
        <v>0</v>
      </c>
      <c r="F36" s="144">
        <f t="shared" si="2"/>
        <v>0</v>
      </c>
      <c r="G36" s="144">
        <f t="shared" si="3"/>
        <v>0</v>
      </c>
      <c r="I36" s="145">
        <f t="shared" si="4"/>
        <v>15.247946613340138</v>
      </c>
      <c r="M36" s="147">
        <f t="shared" si="0"/>
        <v>0</v>
      </c>
      <c r="N36" s="147"/>
      <c r="O36" s="148">
        <f t="shared" si="1"/>
        <v>122.77794661334013</v>
      </c>
      <c r="P36" s="147">
        <f t="shared" si="5"/>
        <v>0</v>
      </c>
    </row>
    <row r="37" spans="1:16" s="146" customFormat="1" ht="7.5" customHeight="1" thickBot="1">
      <c r="A37" s="178"/>
      <c r="B37" s="178"/>
      <c r="C37" s="142"/>
      <c r="D37" s="144"/>
      <c r="M37" s="147"/>
      <c r="N37" s="147"/>
      <c r="O37" s="148"/>
      <c r="P37" s="147"/>
    </row>
    <row r="38" spans="1:16" s="146" customFormat="1" ht="12" customHeight="1" thickBot="1">
      <c r="B38" s="149" t="s">
        <v>48</v>
      </c>
      <c r="C38" s="142"/>
      <c r="D38" s="150">
        <f>SUM(D12:D37)</f>
        <v>1066202.5249999999</v>
      </c>
      <c r="F38" s="179"/>
      <c r="G38" s="180">
        <f>SUM(G12:G22)</f>
        <v>3350.164817567867</v>
      </c>
      <c r="M38" s="181">
        <f>SUM(M12:M37)</f>
        <v>151189.42788252997</v>
      </c>
      <c r="N38" s="147"/>
      <c r="O38" s="182"/>
      <c r="P38" s="181">
        <f>SUM(P12:P37)</f>
        <v>1217391.9528825302</v>
      </c>
    </row>
    <row r="39" spans="1:16" s="146" customFormat="1" ht="7.5" customHeight="1">
      <c r="A39" s="176"/>
      <c r="B39" s="183"/>
      <c r="C39" s="142"/>
      <c r="D39" s="143"/>
      <c r="F39" s="144"/>
      <c r="M39" s="147"/>
      <c r="N39" s="147"/>
      <c r="O39" s="148"/>
      <c r="P39" s="147"/>
    </row>
    <row r="40" spans="1:16" s="146" customFormat="1" ht="12" customHeight="1">
      <c r="A40" s="137" t="s">
        <v>340</v>
      </c>
      <c r="B40" s="137" t="s">
        <v>340</v>
      </c>
      <c r="C40" s="142"/>
      <c r="D40" s="143"/>
      <c r="F40" s="144"/>
      <c r="I40" s="138"/>
      <c r="J40" s="138"/>
      <c r="K40" s="138"/>
      <c r="L40" s="138"/>
      <c r="M40" s="140"/>
      <c r="N40" s="140"/>
      <c r="O40" s="141"/>
      <c r="P40" s="140"/>
    </row>
    <row r="41" spans="1:16" s="146" customFormat="1" ht="12" customHeight="1">
      <c r="A41" s="138" t="s">
        <v>341</v>
      </c>
      <c r="B41" s="138" t="s">
        <v>342</v>
      </c>
      <c r="C41" s="142">
        <v>9.98</v>
      </c>
      <c r="D41" s="143">
        <v>4815.3600000000006</v>
      </c>
      <c r="F41" s="144">
        <f>IFERROR(D41/C41,0)</f>
        <v>482.50100200400806</v>
      </c>
      <c r="G41" s="144">
        <f>F41/12</f>
        <v>40.208416833667336</v>
      </c>
      <c r="H41" s="144"/>
      <c r="I41" s="145"/>
      <c r="J41" s="145">
        <f>J5*C41</f>
        <v>0</v>
      </c>
      <c r="K41" s="145">
        <f>K5*D41</f>
        <v>3513.0416846179091</v>
      </c>
      <c r="M41" s="147">
        <f>G41*SUM(I41:J41)*12</f>
        <v>0</v>
      </c>
      <c r="N41" s="147"/>
      <c r="O41" s="148">
        <f>+C41+SUM(I41:J41)</f>
        <v>9.98</v>
      </c>
      <c r="P41" s="147">
        <f t="shared" ref="P41" si="6">D41+M41</f>
        <v>4815.3600000000006</v>
      </c>
    </row>
    <row r="42" spans="1:16" s="146" customFormat="1" ht="7.5" customHeight="1" thickBot="1">
      <c r="A42" s="184"/>
      <c r="B42" s="138"/>
      <c r="C42" s="142"/>
      <c r="D42" s="144"/>
      <c r="F42" s="144"/>
      <c r="M42" s="147"/>
      <c r="N42" s="147"/>
      <c r="O42" s="148"/>
      <c r="P42" s="147"/>
    </row>
    <row r="43" spans="1:16" s="146" customFormat="1" ht="12" customHeight="1" thickBot="1">
      <c r="B43" s="149" t="s">
        <v>343</v>
      </c>
      <c r="C43" s="142"/>
      <c r="D43" s="150">
        <f>SUM(D41:D42)</f>
        <v>4815.3600000000006</v>
      </c>
      <c r="F43" s="179"/>
      <c r="G43" s="180">
        <f>SUM(G41)</f>
        <v>40.208416833667336</v>
      </c>
      <c r="I43" s="145"/>
      <c r="M43" s="181">
        <f>SUM(M41)</f>
        <v>0</v>
      </c>
      <c r="N43" s="147"/>
      <c r="O43" s="182"/>
      <c r="P43" s="181">
        <f>SUM(P41)</f>
        <v>4815.3600000000006</v>
      </c>
    </row>
    <row r="44" spans="1:16" s="146" customFormat="1" ht="6.75" customHeight="1">
      <c r="C44" s="142"/>
      <c r="D44" s="143"/>
      <c r="F44" s="144"/>
      <c r="I44" s="145"/>
      <c r="M44" s="147"/>
      <c r="N44" s="147"/>
      <c r="O44" s="148"/>
      <c r="P44" s="147"/>
    </row>
    <row r="45" spans="1:16" s="146" customFormat="1" ht="6.75" customHeight="1">
      <c r="C45" s="142"/>
      <c r="F45" s="144"/>
      <c r="I45" s="145"/>
      <c r="M45" s="147"/>
      <c r="N45" s="147"/>
      <c r="O45" s="148"/>
      <c r="P45" s="147"/>
    </row>
    <row r="46" spans="1:16" ht="12" customHeight="1">
      <c r="A46" s="176" t="s">
        <v>49</v>
      </c>
      <c r="B46" s="176" t="s">
        <v>49</v>
      </c>
      <c r="I46" s="145"/>
      <c r="J46" s="146"/>
      <c r="K46" s="146"/>
      <c r="L46" s="146"/>
      <c r="M46" s="147"/>
      <c r="N46" s="147"/>
      <c r="O46" s="148"/>
      <c r="P46" s="147"/>
    </row>
    <row r="47" spans="1:16" ht="6.75" customHeight="1">
      <c r="A47" s="176"/>
      <c r="B47" s="176"/>
      <c r="I47" s="145"/>
      <c r="J47" s="146"/>
      <c r="K47" s="146"/>
      <c r="L47" s="146"/>
      <c r="M47" s="147"/>
      <c r="N47" s="147"/>
      <c r="O47" s="148"/>
      <c r="P47" s="147"/>
    </row>
    <row r="48" spans="1:16" s="146" customFormat="1" ht="12" customHeight="1">
      <c r="A48" s="137" t="s">
        <v>50</v>
      </c>
      <c r="B48" s="137" t="s">
        <v>50</v>
      </c>
      <c r="C48" s="142"/>
      <c r="F48" s="144"/>
      <c r="I48" s="145"/>
      <c r="M48" s="147"/>
      <c r="N48" s="147"/>
      <c r="O48" s="148"/>
      <c r="P48" s="147"/>
    </row>
    <row r="49" spans="1:16" s="146" customFormat="1" ht="12" customHeight="1">
      <c r="A49" s="138" t="s">
        <v>51</v>
      </c>
      <c r="B49" s="138" t="s">
        <v>52</v>
      </c>
      <c r="C49" s="142">
        <v>68.25</v>
      </c>
      <c r="D49" s="143">
        <v>209582.46000000002</v>
      </c>
      <c r="F49" s="144">
        <f t="shared" ref="F49:F112" si="7">IFERROR(D49/C49,0)</f>
        <v>3070.805274725275</v>
      </c>
      <c r="G49" s="144">
        <f t="shared" ref="G49:G112" si="8">F49/12</f>
        <v>255.90043956043959</v>
      </c>
      <c r="H49" s="144"/>
      <c r="I49" s="145">
        <f t="shared" ref="I49:I112" si="9">$I$5*C49</f>
        <v>9.6779722529569838</v>
      </c>
      <c r="M49" s="147">
        <f t="shared" ref="M49:M80" si="10">G49*SUM(I49:J49)*12</f>
        <v>29719.16824302516</v>
      </c>
      <c r="N49" s="147"/>
      <c r="O49" s="148">
        <f t="shared" ref="O49:O112" si="11">+C49+SUM(I49:J49)</f>
        <v>77.927972252956977</v>
      </c>
      <c r="P49" s="147">
        <f>D49+M49</f>
        <v>239301.62824302519</v>
      </c>
    </row>
    <row r="50" spans="1:16" s="146" customFormat="1" ht="12" customHeight="1">
      <c r="A50" s="138" t="s">
        <v>344</v>
      </c>
      <c r="B50" s="138" t="s">
        <v>345</v>
      </c>
      <c r="C50" s="142">
        <v>15.75</v>
      </c>
      <c r="D50" s="143">
        <v>189</v>
      </c>
      <c r="F50" s="144">
        <f t="shared" si="7"/>
        <v>12</v>
      </c>
      <c r="G50" s="144">
        <f t="shared" si="8"/>
        <v>1</v>
      </c>
      <c r="H50" s="144"/>
      <c r="I50" s="145">
        <f t="shared" si="9"/>
        <v>2.2333782122208423</v>
      </c>
      <c r="M50" s="147">
        <f t="shared" si="10"/>
        <v>26.80053854665011</v>
      </c>
      <c r="N50" s="147"/>
      <c r="O50" s="148">
        <f t="shared" si="11"/>
        <v>17.983378212220842</v>
      </c>
      <c r="P50" s="147">
        <f t="shared" ref="P50:P113" si="12">D50+M50</f>
        <v>215.8005385466501</v>
      </c>
    </row>
    <row r="51" spans="1:16" s="146" customFormat="1" ht="12" customHeight="1">
      <c r="A51" s="138" t="s">
        <v>458</v>
      </c>
      <c r="B51" s="138" t="s">
        <v>459</v>
      </c>
      <c r="C51" s="142">
        <v>136.5</v>
      </c>
      <c r="D51" s="143">
        <v>1365</v>
      </c>
      <c r="F51" s="144">
        <f t="shared" si="7"/>
        <v>10</v>
      </c>
      <c r="G51" s="144">
        <f t="shared" si="8"/>
        <v>0.83333333333333337</v>
      </c>
      <c r="H51" s="144"/>
      <c r="I51" s="145">
        <f t="shared" si="9"/>
        <v>19.355944505913968</v>
      </c>
      <c r="M51" s="147">
        <f t="shared" si="10"/>
        <v>193.5594450591397</v>
      </c>
      <c r="N51" s="147"/>
      <c r="O51" s="148">
        <f t="shared" si="11"/>
        <v>155.85594450591395</v>
      </c>
      <c r="P51" s="147">
        <f t="shared" si="12"/>
        <v>1558.5594450591398</v>
      </c>
    </row>
    <row r="52" spans="1:16" s="146" customFormat="1" ht="12" customHeight="1">
      <c r="A52" s="138" t="s">
        <v>53</v>
      </c>
      <c r="B52" s="138" t="s">
        <v>54</v>
      </c>
      <c r="C52" s="142">
        <v>204.74</v>
      </c>
      <c r="D52" s="143">
        <v>2456.88</v>
      </c>
      <c r="F52" s="144">
        <f t="shared" si="7"/>
        <v>12</v>
      </c>
      <c r="G52" s="144">
        <f t="shared" si="8"/>
        <v>1</v>
      </c>
      <c r="H52" s="144"/>
      <c r="I52" s="145">
        <f t="shared" si="9"/>
        <v>29.032498740958431</v>
      </c>
      <c r="M52" s="147">
        <f t="shared" si="10"/>
        <v>348.38998489150117</v>
      </c>
      <c r="N52" s="147"/>
      <c r="O52" s="148">
        <f t="shared" si="11"/>
        <v>233.77249874095844</v>
      </c>
      <c r="P52" s="147">
        <f t="shared" si="12"/>
        <v>2805.2699848915013</v>
      </c>
    </row>
    <row r="53" spans="1:16" s="146" customFormat="1" ht="12" customHeight="1">
      <c r="A53" s="138" t="s">
        <v>55</v>
      </c>
      <c r="B53" s="138" t="s">
        <v>56</v>
      </c>
      <c r="C53" s="142">
        <v>23.74</v>
      </c>
      <c r="D53" s="143">
        <v>1424.4000000000003</v>
      </c>
      <c r="F53" s="144">
        <f t="shared" si="7"/>
        <v>60.000000000000014</v>
      </c>
      <c r="G53" s="144">
        <f t="shared" si="8"/>
        <v>5.0000000000000009</v>
      </c>
      <c r="H53" s="144"/>
      <c r="I53" s="145">
        <f t="shared" si="9"/>
        <v>3.366374524325257</v>
      </c>
      <c r="M53" s="147">
        <f t="shared" si="10"/>
        <v>201.98247145951547</v>
      </c>
      <c r="N53" s="147"/>
      <c r="O53" s="148">
        <f t="shared" si="11"/>
        <v>27.106374524325254</v>
      </c>
      <c r="P53" s="147">
        <f t="shared" si="12"/>
        <v>1626.3824714595157</v>
      </c>
    </row>
    <row r="54" spans="1:16" s="146" customFormat="1" ht="12" customHeight="1">
      <c r="A54" s="138" t="s">
        <v>57</v>
      </c>
      <c r="B54" s="138" t="s">
        <v>58</v>
      </c>
      <c r="C54" s="142">
        <v>102.86</v>
      </c>
      <c r="D54" s="143">
        <v>110860.82999999999</v>
      </c>
      <c r="F54" s="144">
        <f t="shared" si="7"/>
        <v>1077.7836865642621</v>
      </c>
      <c r="G54" s="144">
        <f t="shared" si="8"/>
        <v>89.815307213688513</v>
      </c>
      <c r="H54" s="144"/>
      <c r="I54" s="145">
        <f t="shared" si="9"/>
        <v>14.585732248192752</v>
      </c>
      <c r="M54" s="147">
        <f t="shared" si="10"/>
        <v>15720.264273696428</v>
      </c>
      <c r="N54" s="147"/>
      <c r="O54" s="148">
        <f t="shared" si="11"/>
        <v>117.44573224819275</v>
      </c>
      <c r="P54" s="147">
        <f t="shared" si="12"/>
        <v>126581.09427369642</v>
      </c>
    </row>
    <row r="55" spans="1:16" s="146" customFormat="1" ht="12" customHeight="1">
      <c r="A55" s="138" t="s">
        <v>59</v>
      </c>
      <c r="B55" s="138" t="s">
        <v>60</v>
      </c>
      <c r="C55" s="142">
        <v>205.73</v>
      </c>
      <c r="D55" s="143">
        <v>3394.5499999999997</v>
      </c>
      <c r="F55" s="144">
        <f t="shared" si="7"/>
        <v>16.500024303699021</v>
      </c>
      <c r="G55" s="144">
        <f t="shared" si="8"/>
        <v>1.3750020253082518</v>
      </c>
      <c r="H55" s="144"/>
      <c r="I55" s="145">
        <f t="shared" si="9"/>
        <v>29.172882514298024</v>
      </c>
      <c r="M55" s="147">
        <f t="shared" si="10"/>
        <v>481.35327049487358</v>
      </c>
      <c r="N55" s="147"/>
      <c r="O55" s="148">
        <f t="shared" si="11"/>
        <v>234.90288251429803</v>
      </c>
      <c r="P55" s="147">
        <f t="shared" si="12"/>
        <v>3875.9032704948731</v>
      </c>
    </row>
    <row r="56" spans="1:16" s="146" customFormat="1" ht="12" customHeight="1">
      <c r="A56" s="138" t="s">
        <v>61</v>
      </c>
      <c r="B56" s="138" t="s">
        <v>62</v>
      </c>
      <c r="C56" s="142">
        <v>308.58999999999997</v>
      </c>
      <c r="D56" s="143">
        <v>3085.9</v>
      </c>
      <c r="F56" s="144">
        <f t="shared" si="7"/>
        <v>10.000000000000002</v>
      </c>
      <c r="G56" s="144">
        <f t="shared" si="8"/>
        <v>0.83333333333333348</v>
      </c>
      <c r="H56" s="144"/>
      <c r="I56" s="145">
        <f t="shared" si="9"/>
        <v>43.758614762490772</v>
      </c>
      <c r="M56" s="147">
        <f t="shared" si="10"/>
        <v>437.58614762490782</v>
      </c>
      <c r="N56" s="147"/>
      <c r="O56" s="148">
        <f t="shared" si="11"/>
        <v>352.34861476249074</v>
      </c>
      <c r="P56" s="147">
        <f t="shared" si="12"/>
        <v>3523.486147624908</v>
      </c>
    </row>
    <row r="57" spans="1:16" s="146" customFormat="1" ht="12" customHeight="1">
      <c r="A57" s="138" t="s">
        <v>63</v>
      </c>
      <c r="B57" s="138" t="s">
        <v>64</v>
      </c>
      <c r="C57" s="142">
        <v>205.73</v>
      </c>
      <c r="D57" s="143">
        <v>16458.400000000005</v>
      </c>
      <c r="F57" s="144">
        <f t="shared" si="7"/>
        <v>80.000000000000028</v>
      </c>
      <c r="G57" s="144">
        <f t="shared" si="8"/>
        <v>6.6666666666666687</v>
      </c>
      <c r="H57" s="144"/>
      <c r="I57" s="145">
        <f t="shared" si="9"/>
        <v>29.172882514298024</v>
      </c>
      <c r="M57" s="147">
        <f t="shared" si="10"/>
        <v>2333.8306011438426</v>
      </c>
      <c r="N57" s="147"/>
      <c r="O57" s="148">
        <f t="shared" si="11"/>
        <v>234.90288251429803</v>
      </c>
      <c r="P57" s="147">
        <f t="shared" si="12"/>
        <v>18792.230601143849</v>
      </c>
    </row>
    <row r="58" spans="1:16" s="146" customFormat="1" ht="12" customHeight="1">
      <c r="A58" s="138" t="s">
        <v>65</v>
      </c>
      <c r="B58" s="138" t="s">
        <v>66</v>
      </c>
      <c r="C58" s="142">
        <v>308.58999999999997</v>
      </c>
      <c r="D58" s="143">
        <v>7406.1600000000008</v>
      </c>
      <c r="F58" s="144">
        <f t="shared" si="7"/>
        <v>24.000000000000004</v>
      </c>
      <c r="G58" s="144">
        <f t="shared" si="8"/>
        <v>2.0000000000000004</v>
      </c>
      <c r="H58" s="144"/>
      <c r="I58" s="145">
        <f t="shared" si="9"/>
        <v>43.758614762490772</v>
      </c>
      <c r="M58" s="147">
        <f t="shared" si="10"/>
        <v>1050.2067542997788</v>
      </c>
      <c r="N58" s="147"/>
      <c r="O58" s="148">
        <f t="shared" si="11"/>
        <v>352.34861476249074</v>
      </c>
      <c r="P58" s="147">
        <f t="shared" si="12"/>
        <v>8456.3667542997791</v>
      </c>
    </row>
    <row r="59" spans="1:16" s="146" customFormat="1" ht="12" customHeight="1">
      <c r="A59" s="138" t="s">
        <v>67</v>
      </c>
      <c r="B59" s="138" t="s">
        <v>68</v>
      </c>
      <c r="C59" s="142">
        <v>31.64</v>
      </c>
      <c r="D59" s="143">
        <v>1139.04</v>
      </c>
      <c r="F59" s="144">
        <f t="shared" si="7"/>
        <v>36</v>
      </c>
      <c r="G59" s="144">
        <f t="shared" si="8"/>
        <v>3</v>
      </c>
      <c r="H59" s="144"/>
      <c r="I59" s="145">
        <f t="shared" si="9"/>
        <v>4.4866086752169814</v>
      </c>
      <c r="M59" s="147">
        <f t="shared" si="10"/>
        <v>161.51791230781134</v>
      </c>
      <c r="N59" s="147"/>
      <c r="O59" s="148">
        <f t="shared" si="11"/>
        <v>36.126608675216985</v>
      </c>
      <c r="P59" s="147">
        <f t="shared" si="12"/>
        <v>1300.5579123078114</v>
      </c>
    </row>
    <row r="60" spans="1:16" s="146" customFormat="1" ht="12" customHeight="1">
      <c r="A60" s="138" t="s">
        <v>69</v>
      </c>
      <c r="B60" s="138" t="s">
        <v>70</v>
      </c>
      <c r="C60" s="142">
        <v>137.13</v>
      </c>
      <c r="D60" s="143">
        <v>90947.27</v>
      </c>
      <c r="F60" s="144">
        <f t="shared" si="7"/>
        <v>663.21935389776127</v>
      </c>
      <c r="G60" s="144">
        <f t="shared" si="8"/>
        <v>55.268279491480108</v>
      </c>
      <c r="H60" s="144"/>
      <c r="I60" s="145">
        <f t="shared" si="9"/>
        <v>19.445279634402802</v>
      </c>
      <c r="M60" s="147">
        <f t="shared" si="10"/>
        <v>12896.485795489922</v>
      </c>
      <c r="N60" s="147"/>
      <c r="O60" s="148">
        <f t="shared" si="11"/>
        <v>156.57527963440279</v>
      </c>
      <c r="P60" s="147">
        <f t="shared" si="12"/>
        <v>103843.75579548992</v>
      </c>
    </row>
    <row r="61" spans="1:16" s="146" customFormat="1" ht="12" customHeight="1">
      <c r="A61" s="138" t="s">
        <v>71</v>
      </c>
      <c r="B61" s="138" t="s">
        <v>72</v>
      </c>
      <c r="C61" s="142">
        <v>274.25</v>
      </c>
      <c r="D61" s="143">
        <v>6582</v>
      </c>
      <c r="F61" s="144">
        <f t="shared" si="7"/>
        <v>24</v>
      </c>
      <c r="G61" s="144">
        <f t="shared" si="8"/>
        <v>2</v>
      </c>
      <c r="H61" s="144"/>
      <c r="I61" s="145">
        <f t="shared" si="9"/>
        <v>38.889141250893083</v>
      </c>
      <c r="M61" s="147">
        <f t="shared" si="10"/>
        <v>933.33939002143393</v>
      </c>
      <c r="N61" s="147"/>
      <c r="O61" s="148">
        <f t="shared" si="11"/>
        <v>313.13914125089309</v>
      </c>
      <c r="P61" s="147">
        <f t="shared" si="12"/>
        <v>7515.3393900214342</v>
      </c>
    </row>
    <row r="62" spans="1:16" s="146" customFormat="1" ht="12" customHeight="1">
      <c r="A62" s="138" t="s">
        <v>73</v>
      </c>
      <c r="B62" s="138" t="s">
        <v>74</v>
      </c>
      <c r="C62" s="142">
        <v>411.38</v>
      </c>
      <c r="D62" s="143">
        <v>9873.1200000000008</v>
      </c>
      <c r="F62" s="144">
        <f t="shared" si="7"/>
        <v>24.000000000000004</v>
      </c>
      <c r="G62" s="144">
        <f t="shared" si="8"/>
        <v>2.0000000000000004</v>
      </c>
      <c r="H62" s="144"/>
      <c r="I62" s="145">
        <f t="shared" si="9"/>
        <v>58.334420885295884</v>
      </c>
      <c r="M62" s="147">
        <f t="shared" si="10"/>
        <v>1400.0261012471015</v>
      </c>
      <c r="N62" s="147"/>
      <c r="O62" s="148">
        <f t="shared" si="11"/>
        <v>469.71442088529591</v>
      </c>
      <c r="P62" s="147">
        <f t="shared" si="12"/>
        <v>11273.146101247103</v>
      </c>
    </row>
    <row r="63" spans="1:16" s="146" customFormat="1" ht="12" customHeight="1">
      <c r="A63" s="138" t="s">
        <v>75</v>
      </c>
      <c r="B63" s="138" t="s">
        <v>76</v>
      </c>
      <c r="C63" s="142">
        <v>193.92</v>
      </c>
      <c r="D63" s="143">
        <v>68647.680000000008</v>
      </c>
      <c r="F63" s="144">
        <f t="shared" si="7"/>
        <v>354.00000000000006</v>
      </c>
      <c r="G63" s="144">
        <f t="shared" si="8"/>
        <v>29.500000000000004</v>
      </c>
      <c r="H63" s="144"/>
      <c r="I63" s="145">
        <f t="shared" si="9"/>
        <v>27.498203359610521</v>
      </c>
      <c r="M63" s="147">
        <f t="shared" si="10"/>
        <v>9734.3639893021245</v>
      </c>
      <c r="N63" s="147"/>
      <c r="O63" s="148">
        <f t="shared" si="11"/>
        <v>221.41820335961052</v>
      </c>
      <c r="P63" s="147">
        <f t="shared" si="12"/>
        <v>78382.043989302125</v>
      </c>
    </row>
    <row r="64" spans="1:16" s="146" customFormat="1" ht="12" customHeight="1">
      <c r="A64" s="138" t="s">
        <v>77</v>
      </c>
      <c r="B64" s="138" t="s">
        <v>78</v>
      </c>
      <c r="C64" s="142">
        <v>387.83</v>
      </c>
      <c r="D64" s="143">
        <v>6787.0199999999995</v>
      </c>
      <c r="F64" s="144">
        <f t="shared" si="7"/>
        <v>17.499987107753398</v>
      </c>
      <c r="G64" s="144">
        <f t="shared" si="8"/>
        <v>1.4583322589794498</v>
      </c>
      <c r="H64" s="144"/>
      <c r="I64" s="145">
        <f t="shared" si="9"/>
        <v>54.994988701308522</v>
      </c>
      <c r="M64" s="147">
        <f t="shared" si="10"/>
        <v>962.4115932639429</v>
      </c>
      <c r="N64" s="147"/>
      <c r="O64" s="148">
        <f t="shared" si="11"/>
        <v>442.82498870130848</v>
      </c>
      <c r="P64" s="147">
        <f t="shared" si="12"/>
        <v>7749.431593263942</v>
      </c>
    </row>
    <row r="65" spans="1:16" s="146" customFormat="1" ht="12" customHeight="1">
      <c r="A65" s="138" t="s">
        <v>79</v>
      </c>
      <c r="B65" s="138" t="s">
        <v>80</v>
      </c>
      <c r="C65" s="142">
        <v>387.83</v>
      </c>
      <c r="D65" s="143">
        <v>23269.800000000003</v>
      </c>
      <c r="F65" s="144">
        <f t="shared" si="7"/>
        <v>60.000000000000007</v>
      </c>
      <c r="G65" s="144">
        <f t="shared" si="8"/>
        <v>5.0000000000000009</v>
      </c>
      <c r="H65" s="144"/>
      <c r="I65" s="145">
        <f t="shared" si="9"/>
        <v>54.994988701308522</v>
      </c>
      <c r="M65" s="147">
        <f t="shared" si="10"/>
        <v>3299.6993220785121</v>
      </c>
      <c r="N65" s="147"/>
      <c r="O65" s="148">
        <f t="shared" si="11"/>
        <v>442.82498870130848</v>
      </c>
      <c r="P65" s="147">
        <f t="shared" si="12"/>
        <v>26569.499322078515</v>
      </c>
    </row>
    <row r="66" spans="1:16" s="146" customFormat="1" ht="12" customHeight="1">
      <c r="A66" s="138" t="s">
        <v>81</v>
      </c>
      <c r="B66" s="138" t="s">
        <v>82</v>
      </c>
      <c r="C66" s="142">
        <v>581.75</v>
      </c>
      <c r="D66" s="143">
        <v>6981</v>
      </c>
      <c r="F66" s="144">
        <f t="shared" si="7"/>
        <v>12</v>
      </c>
      <c r="G66" s="144">
        <f t="shared" si="8"/>
        <v>1</v>
      </c>
      <c r="H66" s="144"/>
      <c r="I66" s="145">
        <f t="shared" si="9"/>
        <v>82.493192060919057</v>
      </c>
      <c r="M66" s="147">
        <f t="shared" si="10"/>
        <v>989.91830473102868</v>
      </c>
      <c r="N66" s="147"/>
      <c r="O66" s="148">
        <f t="shared" si="11"/>
        <v>664.243192060919</v>
      </c>
      <c r="P66" s="147">
        <f t="shared" si="12"/>
        <v>7970.9183047310289</v>
      </c>
    </row>
    <row r="67" spans="1:16" s="146" customFormat="1" ht="12" customHeight="1">
      <c r="A67" s="138" t="s">
        <v>460</v>
      </c>
      <c r="B67" s="138" t="s">
        <v>461</v>
      </c>
      <c r="C67" s="142">
        <v>1163.5</v>
      </c>
      <c r="D67" s="143">
        <v>11053.26</v>
      </c>
      <c r="F67" s="144">
        <f t="shared" si="7"/>
        <v>9.5000085947571975</v>
      </c>
      <c r="G67" s="144">
        <f t="shared" si="8"/>
        <v>0.79166738289643312</v>
      </c>
      <c r="H67" s="144"/>
      <c r="I67" s="145">
        <f t="shared" si="9"/>
        <v>164.98638412183811</v>
      </c>
      <c r="M67" s="147">
        <f t="shared" si="10"/>
        <v>1567.3720671753745</v>
      </c>
      <c r="N67" s="147"/>
      <c r="O67" s="148">
        <f t="shared" si="11"/>
        <v>1328.486384121838</v>
      </c>
      <c r="P67" s="147">
        <f t="shared" si="12"/>
        <v>12620.632067175375</v>
      </c>
    </row>
    <row r="68" spans="1:16" s="146" customFormat="1" ht="12" customHeight="1">
      <c r="A68" s="138" t="s">
        <v>83</v>
      </c>
      <c r="B68" s="138" t="s">
        <v>84</v>
      </c>
      <c r="C68" s="142">
        <v>257.54000000000002</v>
      </c>
      <c r="D68" s="143">
        <v>43073.64</v>
      </c>
      <c r="F68" s="144">
        <f t="shared" si="7"/>
        <v>167.25029121689832</v>
      </c>
      <c r="G68" s="144">
        <f t="shared" si="8"/>
        <v>13.93752426807486</v>
      </c>
      <c r="H68" s="144"/>
      <c r="I68" s="145">
        <f t="shared" si="9"/>
        <v>36.519633319070209</v>
      </c>
      <c r="M68" s="147">
        <f t="shared" si="10"/>
        <v>6107.9193077488353</v>
      </c>
      <c r="N68" s="147"/>
      <c r="O68" s="148">
        <f t="shared" si="11"/>
        <v>294.05963331907026</v>
      </c>
      <c r="P68" s="147">
        <f t="shared" si="12"/>
        <v>49181.559307748837</v>
      </c>
    </row>
    <row r="69" spans="1:16" s="146" customFormat="1" ht="12" customHeight="1">
      <c r="A69" s="138" t="s">
        <v>85</v>
      </c>
      <c r="B69" s="138" t="s">
        <v>86</v>
      </c>
      <c r="C69" s="142">
        <v>515.09</v>
      </c>
      <c r="D69" s="143">
        <v>19058.34</v>
      </c>
      <c r="F69" s="144">
        <f t="shared" si="7"/>
        <v>37.000019414082971</v>
      </c>
      <c r="G69" s="144">
        <f t="shared" si="8"/>
        <v>3.083334951173581</v>
      </c>
      <c r="H69" s="144"/>
      <c r="I69" s="145">
        <f t="shared" si="9"/>
        <v>73.040684656052932</v>
      </c>
      <c r="M69" s="147">
        <f t="shared" si="10"/>
        <v>2702.506750291871</v>
      </c>
      <c r="N69" s="147"/>
      <c r="O69" s="148">
        <f t="shared" si="11"/>
        <v>588.13068465605295</v>
      </c>
      <c r="P69" s="147">
        <f t="shared" si="12"/>
        <v>21760.846750291872</v>
      </c>
    </row>
    <row r="70" spans="1:16" s="146" customFormat="1" ht="12" customHeight="1">
      <c r="A70" s="138" t="s">
        <v>462</v>
      </c>
      <c r="B70" s="138" t="s">
        <v>463</v>
      </c>
      <c r="C70" s="142">
        <v>515.09</v>
      </c>
      <c r="D70" s="143">
        <v>5150.9000000000005</v>
      </c>
      <c r="F70" s="144">
        <f t="shared" si="7"/>
        <v>10</v>
      </c>
      <c r="G70" s="144">
        <f t="shared" si="8"/>
        <v>0.83333333333333337</v>
      </c>
      <c r="H70" s="144"/>
      <c r="I70" s="145">
        <f t="shared" si="9"/>
        <v>73.040684656052932</v>
      </c>
      <c r="M70" s="147">
        <f t="shared" si="10"/>
        <v>730.40684656052929</v>
      </c>
      <c r="N70" s="147"/>
      <c r="O70" s="148">
        <f t="shared" si="11"/>
        <v>588.13068465605295</v>
      </c>
      <c r="P70" s="147">
        <f t="shared" si="12"/>
        <v>5881.3068465605302</v>
      </c>
    </row>
    <row r="71" spans="1:16" s="146" customFormat="1" ht="12" customHeight="1">
      <c r="A71" s="138" t="s">
        <v>87</v>
      </c>
      <c r="B71" s="138" t="s">
        <v>88</v>
      </c>
      <c r="C71" s="142">
        <v>772.63</v>
      </c>
      <c r="D71" s="143">
        <v>9271.56</v>
      </c>
      <c r="F71" s="144">
        <f t="shared" si="7"/>
        <v>12</v>
      </c>
      <c r="G71" s="144">
        <f t="shared" si="8"/>
        <v>1</v>
      </c>
      <c r="H71" s="144"/>
      <c r="I71" s="145">
        <f t="shared" si="9"/>
        <v>109.56031797512314</v>
      </c>
      <c r="M71" s="147">
        <f t="shared" si="10"/>
        <v>1314.7238157014776</v>
      </c>
      <c r="N71" s="147"/>
      <c r="O71" s="148">
        <f t="shared" si="11"/>
        <v>882.19031797512309</v>
      </c>
      <c r="P71" s="147">
        <f t="shared" si="12"/>
        <v>10586.283815701478</v>
      </c>
    </row>
    <row r="72" spans="1:16" s="146" customFormat="1" ht="12" customHeight="1">
      <c r="A72" s="138" t="s">
        <v>89</v>
      </c>
      <c r="B72" s="138" t="s">
        <v>90</v>
      </c>
      <c r="C72" s="142">
        <v>1030.17</v>
      </c>
      <c r="D72" s="143">
        <v>12362.04</v>
      </c>
      <c r="F72" s="144">
        <f t="shared" si="7"/>
        <v>12</v>
      </c>
      <c r="G72" s="144">
        <f t="shared" si="8"/>
        <v>1</v>
      </c>
      <c r="H72" s="144"/>
      <c r="I72" s="145">
        <f t="shared" si="9"/>
        <v>146.07995129419336</v>
      </c>
      <c r="M72" s="147">
        <f t="shared" si="10"/>
        <v>1752.9594155303203</v>
      </c>
      <c r="N72" s="147"/>
      <c r="O72" s="148">
        <f t="shared" si="11"/>
        <v>1176.2499512941934</v>
      </c>
      <c r="P72" s="147">
        <f t="shared" si="12"/>
        <v>14114.999415530321</v>
      </c>
    </row>
    <row r="73" spans="1:16" s="146" customFormat="1" ht="12" customHeight="1">
      <c r="A73" s="138" t="s">
        <v>91</v>
      </c>
      <c r="B73" s="138" t="s">
        <v>92</v>
      </c>
      <c r="C73" s="142">
        <v>375.05</v>
      </c>
      <c r="D73" s="143">
        <v>40130.36</v>
      </c>
      <c r="F73" s="144">
        <f t="shared" si="7"/>
        <v>107.00002666311158</v>
      </c>
      <c r="G73" s="144">
        <f t="shared" si="8"/>
        <v>8.916668888592632</v>
      </c>
      <c r="H73" s="144"/>
      <c r="I73" s="145">
        <f t="shared" si="9"/>
        <v>53.182761809106474</v>
      </c>
      <c r="M73" s="147">
        <f t="shared" si="10"/>
        <v>5690.5569315923049</v>
      </c>
      <c r="N73" s="147"/>
      <c r="O73" s="148">
        <f t="shared" si="11"/>
        <v>428.23276180910648</v>
      </c>
      <c r="P73" s="147">
        <f t="shared" si="12"/>
        <v>45820.916931592306</v>
      </c>
    </row>
    <row r="74" spans="1:16" s="146" customFormat="1" ht="12" customHeight="1">
      <c r="A74" s="138" t="s">
        <v>93</v>
      </c>
      <c r="B74" s="138" t="s">
        <v>94</v>
      </c>
      <c r="C74" s="142">
        <v>750.11</v>
      </c>
      <c r="D74" s="143">
        <v>7501.0999999999985</v>
      </c>
      <c r="F74" s="144">
        <f t="shared" si="7"/>
        <v>9.9999999999999982</v>
      </c>
      <c r="G74" s="144">
        <f t="shared" si="8"/>
        <v>0.83333333333333315</v>
      </c>
      <c r="H74" s="144"/>
      <c r="I74" s="145">
        <f t="shared" si="9"/>
        <v>106.36694163612546</v>
      </c>
      <c r="M74" s="147">
        <f t="shared" si="10"/>
        <v>1063.6694163612542</v>
      </c>
      <c r="N74" s="147"/>
      <c r="O74" s="148">
        <f t="shared" si="11"/>
        <v>856.4769416361255</v>
      </c>
      <c r="P74" s="147">
        <f t="shared" si="12"/>
        <v>8564.7694163612523</v>
      </c>
    </row>
    <row r="75" spans="1:16" s="146" customFormat="1" ht="12" customHeight="1">
      <c r="A75" s="138" t="s">
        <v>95</v>
      </c>
      <c r="B75" s="138" t="s">
        <v>96</v>
      </c>
      <c r="C75" s="142">
        <v>750.11</v>
      </c>
      <c r="D75" s="143">
        <v>9001.32</v>
      </c>
      <c r="F75" s="144">
        <f t="shared" si="7"/>
        <v>12</v>
      </c>
      <c r="G75" s="144">
        <f t="shared" si="8"/>
        <v>1</v>
      </c>
      <c r="H75" s="144"/>
      <c r="I75" s="145">
        <f t="shared" si="9"/>
        <v>106.36694163612546</v>
      </c>
      <c r="M75" s="147">
        <f t="shared" si="10"/>
        <v>1276.4032996335054</v>
      </c>
      <c r="N75" s="147"/>
      <c r="O75" s="148">
        <f t="shared" si="11"/>
        <v>856.4769416361255</v>
      </c>
      <c r="P75" s="147">
        <f t="shared" si="12"/>
        <v>10277.723299633504</v>
      </c>
    </row>
    <row r="76" spans="1:16" s="146" customFormat="1" ht="12" customHeight="1">
      <c r="A76" s="138" t="s">
        <v>97</v>
      </c>
      <c r="B76" s="138" t="s">
        <v>98</v>
      </c>
      <c r="C76" s="142">
        <v>1500.21</v>
      </c>
      <c r="D76" s="143">
        <v>18002.519999999997</v>
      </c>
      <c r="F76" s="144">
        <f t="shared" si="7"/>
        <v>11.999999999999998</v>
      </c>
      <c r="G76" s="144">
        <f t="shared" si="8"/>
        <v>0.99999999999999989</v>
      </c>
      <c r="H76" s="144"/>
      <c r="I76" s="145">
        <f t="shared" si="9"/>
        <v>212.73246525433842</v>
      </c>
      <c r="M76" s="147">
        <f t="shared" si="10"/>
        <v>2552.7895830520606</v>
      </c>
      <c r="N76" s="147"/>
      <c r="O76" s="148">
        <f t="shared" si="11"/>
        <v>1712.9424652543385</v>
      </c>
      <c r="P76" s="147">
        <f t="shared" si="12"/>
        <v>20555.309583052058</v>
      </c>
    </row>
    <row r="77" spans="1:16" s="146" customFormat="1" ht="12" customHeight="1">
      <c r="A77" s="138" t="s">
        <v>346</v>
      </c>
      <c r="B77" s="138" t="s">
        <v>347</v>
      </c>
      <c r="C77" s="142">
        <v>1875.26</v>
      </c>
      <c r="D77" s="143">
        <v>22503.119999999995</v>
      </c>
      <c r="F77" s="144">
        <f t="shared" si="7"/>
        <v>11.999999999999998</v>
      </c>
      <c r="G77" s="144">
        <f t="shared" si="8"/>
        <v>0.99999999999999989</v>
      </c>
      <c r="H77" s="144"/>
      <c r="I77" s="145">
        <f t="shared" si="9"/>
        <v>265.91522706344489</v>
      </c>
      <c r="M77" s="147">
        <f t="shared" si="10"/>
        <v>3190.982724761338</v>
      </c>
      <c r="N77" s="147"/>
      <c r="O77" s="148">
        <f t="shared" si="11"/>
        <v>2141.1752270634447</v>
      </c>
      <c r="P77" s="147">
        <f t="shared" si="12"/>
        <v>25694.102724761335</v>
      </c>
    </row>
    <row r="78" spans="1:16" s="146" customFormat="1" ht="12" customHeight="1">
      <c r="A78" s="138" t="s">
        <v>99</v>
      </c>
      <c r="B78" s="138" t="s">
        <v>100</v>
      </c>
      <c r="C78" s="142">
        <v>488.17</v>
      </c>
      <c r="D78" s="143">
        <v>5858.04</v>
      </c>
      <c r="F78" s="144">
        <f t="shared" si="7"/>
        <v>12</v>
      </c>
      <c r="G78" s="144">
        <f t="shared" si="8"/>
        <v>1</v>
      </c>
      <c r="H78" s="144"/>
      <c r="I78" s="145">
        <f t="shared" si="9"/>
        <v>69.223380435545948</v>
      </c>
      <c r="M78" s="147">
        <f t="shared" si="10"/>
        <v>830.68056522655138</v>
      </c>
      <c r="N78" s="147"/>
      <c r="O78" s="148">
        <f t="shared" si="11"/>
        <v>557.39338043554596</v>
      </c>
      <c r="P78" s="147">
        <f t="shared" si="12"/>
        <v>6688.7205652265511</v>
      </c>
    </row>
    <row r="79" spans="1:16" s="146" customFormat="1" ht="12" customHeight="1">
      <c r="A79" s="138" t="s">
        <v>101</v>
      </c>
      <c r="B79" s="138" t="s">
        <v>102</v>
      </c>
      <c r="C79" s="142">
        <v>976.33</v>
      </c>
      <c r="D79" s="143">
        <v>11715.960000000001</v>
      </c>
      <c r="F79" s="144">
        <f t="shared" si="7"/>
        <v>12</v>
      </c>
      <c r="G79" s="144">
        <f t="shared" si="8"/>
        <v>1</v>
      </c>
      <c r="H79" s="144"/>
      <c r="I79" s="145">
        <f t="shared" si="9"/>
        <v>138.44534285317937</v>
      </c>
      <c r="M79" s="147">
        <f t="shared" si="10"/>
        <v>1661.3441142381525</v>
      </c>
      <c r="N79" s="147"/>
      <c r="O79" s="148">
        <f t="shared" si="11"/>
        <v>1114.7753428531794</v>
      </c>
      <c r="P79" s="147">
        <f t="shared" si="12"/>
        <v>13377.304114238153</v>
      </c>
    </row>
    <row r="80" spans="1:16" s="146" customFormat="1" ht="12" customHeight="1">
      <c r="A80" s="138" t="s">
        <v>103</v>
      </c>
      <c r="B80" s="138" t="s">
        <v>104</v>
      </c>
      <c r="C80" s="142">
        <v>18.5</v>
      </c>
      <c r="D80" s="143">
        <v>10614.42</v>
      </c>
      <c r="F80" s="144">
        <f t="shared" si="7"/>
        <v>573.75243243243244</v>
      </c>
      <c r="G80" s="144">
        <f t="shared" si="8"/>
        <v>47.812702702702701</v>
      </c>
      <c r="H80" s="144"/>
      <c r="I80" s="145">
        <f t="shared" si="9"/>
        <v>2.6233331381641642</v>
      </c>
      <c r="M80" s="147">
        <f t="shared" si="10"/>
        <v>1505.1437691022957</v>
      </c>
      <c r="N80" s="147"/>
      <c r="O80" s="148">
        <f t="shared" si="11"/>
        <v>21.123333138164163</v>
      </c>
      <c r="P80" s="147">
        <f t="shared" si="12"/>
        <v>12119.563769102297</v>
      </c>
    </row>
    <row r="81" spans="1:16" s="146" customFormat="1" ht="12" customHeight="1">
      <c r="A81" s="138" t="s">
        <v>105</v>
      </c>
      <c r="B81" s="138" t="s">
        <v>106</v>
      </c>
      <c r="C81" s="142">
        <v>36.9</v>
      </c>
      <c r="D81" s="143">
        <v>2887.43</v>
      </c>
      <c r="F81" s="144">
        <f t="shared" si="7"/>
        <v>78.250135501355018</v>
      </c>
      <c r="G81" s="144">
        <f t="shared" si="8"/>
        <v>6.5208446251129182</v>
      </c>
      <c r="H81" s="144"/>
      <c r="I81" s="145">
        <f t="shared" si="9"/>
        <v>5.2324860972031164</v>
      </c>
      <c r="M81" s="147">
        <f t="shared" ref="M81:M129" si="13">G81*SUM(I81:J81)*12</f>
        <v>409.44274611510014</v>
      </c>
      <c r="N81" s="147"/>
      <c r="O81" s="148">
        <f t="shared" si="11"/>
        <v>42.132486097203113</v>
      </c>
      <c r="P81" s="147">
        <f t="shared" si="12"/>
        <v>3296.8727461151002</v>
      </c>
    </row>
    <row r="82" spans="1:16" s="146" customFormat="1" ht="12" customHeight="1">
      <c r="A82" s="138" t="s">
        <v>348</v>
      </c>
      <c r="B82" s="138" t="s">
        <v>349</v>
      </c>
      <c r="C82" s="142">
        <v>55.35</v>
      </c>
      <c r="D82" s="143">
        <v>0</v>
      </c>
      <c r="F82" s="144">
        <f t="shared" si="7"/>
        <v>0</v>
      </c>
      <c r="G82" s="144">
        <f t="shared" si="8"/>
        <v>0</v>
      </c>
      <c r="H82" s="144"/>
      <c r="I82" s="145">
        <f t="shared" si="9"/>
        <v>7.8487291458046746</v>
      </c>
      <c r="M82" s="147">
        <f t="shared" si="13"/>
        <v>0</v>
      </c>
      <c r="N82" s="147"/>
      <c r="O82" s="148">
        <f t="shared" si="11"/>
        <v>63.198729145804677</v>
      </c>
      <c r="P82" s="147">
        <f t="shared" si="12"/>
        <v>0</v>
      </c>
    </row>
    <row r="83" spans="1:16" s="146" customFormat="1" ht="12" customHeight="1">
      <c r="A83" s="138" t="s">
        <v>107</v>
      </c>
      <c r="B83" s="138" t="s">
        <v>108</v>
      </c>
      <c r="C83" s="142">
        <v>34.409999999999997</v>
      </c>
      <c r="D83" s="143">
        <v>15178.949999999999</v>
      </c>
      <c r="F83" s="144">
        <f t="shared" si="7"/>
        <v>441.12031386224936</v>
      </c>
      <c r="G83" s="144">
        <f t="shared" si="8"/>
        <v>36.760026155187447</v>
      </c>
      <c r="H83" s="144"/>
      <c r="I83" s="145">
        <f t="shared" si="9"/>
        <v>4.8793996369853447</v>
      </c>
      <c r="M83" s="147">
        <f t="shared" si="13"/>
        <v>2152.4022993263211</v>
      </c>
      <c r="N83" s="147"/>
      <c r="O83" s="148">
        <f t="shared" si="11"/>
        <v>39.289399636985344</v>
      </c>
      <c r="P83" s="147">
        <f t="shared" si="12"/>
        <v>17331.352299326321</v>
      </c>
    </row>
    <row r="84" spans="1:16" s="146" customFormat="1" ht="12" customHeight="1">
      <c r="A84" s="138" t="s">
        <v>350</v>
      </c>
      <c r="B84" s="138" t="s">
        <v>351</v>
      </c>
      <c r="C84" s="142">
        <v>68.83</v>
      </c>
      <c r="D84" s="143">
        <v>3303.8400000000006</v>
      </c>
      <c r="F84" s="144">
        <f t="shared" si="7"/>
        <v>48.000000000000007</v>
      </c>
      <c r="G84" s="144">
        <f t="shared" si="8"/>
        <v>4.0000000000000009</v>
      </c>
      <c r="H84" s="144"/>
      <c r="I84" s="145">
        <f t="shared" si="9"/>
        <v>9.7602172918832117</v>
      </c>
      <c r="M84" s="147">
        <f t="shared" si="13"/>
        <v>468.49043001039422</v>
      </c>
      <c r="N84" s="147"/>
      <c r="O84" s="148">
        <f t="shared" si="11"/>
        <v>78.590217291883206</v>
      </c>
      <c r="P84" s="147">
        <f t="shared" si="12"/>
        <v>3772.3304300103946</v>
      </c>
    </row>
    <row r="85" spans="1:16" s="146" customFormat="1" ht="12" customHeight="1">
      <c r="A85" s="138" t="s">
        <v>109</v>
      </c>
      <c r="B85" s="138" t="s">
        <v>110</v>
      </c>
      <c r="C85" s="142">
        <v>172.07</v>
      </c>
      <c r="D85" s="143">
        <v>2064.8399999999997</v>
      </c>
      <c r="F85" s="144">
        <f t="shared" si="7"/>
        <v>11.999999999999998</v>
      </c>
      <c r="G85" s="144">
        <f t="shared" si="8"/>
        <v>0.99999999999999989</v>
      </c>
      <c r="H85" s="144"/>
      <c r="I85" s="145">
        <f t="shared" si="9"/>
        <v>24.399834220751767</v>
      </c>
      <c r="M85" s="147">
        <f t="shared" si="13"/>
        <v>292.79801064902119</v>
      </c>
      <c r="N85" s="147"/>
      <c r="O85" s="148">
        <f t="shared" si="11"/>
        <v>196.46983422075175</v>
      </c>
      <c r="P85" s="147">
        <f t="shared" si="12"/>
        <v>2357.638010649021</v>
      </c>
    </row>
    <row r="86" spans="1:16" s="146" customFormat="1" ht="12" customHeight="1">
      <c r="A86" s="138" t="s">
        <v>111</v>
      </c>
      <c r="B86" s="138" t="s">
        <v>112</v>
      </c>
      <c r="C86" s="142">
        <v>41.17</v>
      </c>
      <c r="D86" s="143">
        <v>66345.48</v>
      </c>
      <c r="F86" s="144">
        <f t="shared" si="7"/>
        <v>1611.5006072382801</v>
      </c>
      <c r="G86" s="144">
        <f t="shared" si="8"/>
        <v>134.29171726985666</v>
      </c>
      <c r="H86" s="144"/>
      <c r="I86" s="145">
        <f t="shared" si="9"/>
        <v>5.8379797458496565</v>
      </c>
      <c r="M86" s="147">
        <f t="shared" si="13"/>
        <v>9407.9079054815011</v>
      </c>
      <c r="N86" s="147"/>
      <c r="O86" s="148">
        <f t="shared" si="11"/>
        <v>47.00797974584966</v>
      </c>
      <c r="P86" s="147">
        <f t="shared" si="12"/>
        <v>75753.387905481504</v>
      </c>
    </row>
    <row r="87" spans="1:16" s="146" customFormat="1" ht="12" customHeight="1">
      <c r="A87" s="138" t="s">
        <v>113</v>
      </c>
      <c r="B87" s="138" t="s">
        <v>114</v>
      </c>
      <c r="C87" s="142">
        <v>82.33</v>
      </c>
      <c r="D87" s="143">
        <v>12915.13</v>
      </c>
      <c r="F87" s="144">
        <f t="shared" si="7"/>
        <v>156.87027814891292</v>
      </c>
      <c r="G87" s="144">
        <f t="shared" si="8"/>
        <v>13.072523179076077</v>
      </c>
      <c r="H87" s="144"/>
      <c r="I87" s="145">
        <f t="shared" si="9"/>
        <v>11.674541473786791</v>
      </c>
      <c r="M87" s="147">
        <f t="shared" si="13"/>
        <v>1831.3885682539535</v>
      </c>
      <c r="N87" s="147"/>
      <c r="O87" s="148">
        <f t="shared" si="11"/>
        <v>94.004541473786787</v>
      </c>
      <c r="P87" s="147">
        <f t="shared" si="12"/>
        <v>14746.518568253952</v>
      </c>
    </row>
    <row r="88" spans="1:16" s="146" customFormat="1" ht="12" customHeight="1">
      <c r="A88" s="138" t="s">
        <v>115</v>
      </c>
      <c r="B88" s="138" t="s">
        <v>116</v>
      </c>
      <c r="C88" s="142">
        <v>82.33</v>
      </c>
      <c r="D88" s="143">
        <v>987.97000000000025</v>
      </c>
      <c r="F88" s="144">
        <f t="shared" si="7"/>
        <v>12.000121462407389</v>
      </c>
      <c r="G88" s="144">
        <f t="shared" si="8"/>
        <v>1.0000101218672823</v>
      </c>
      <c r="H88" s="144"/>
      <c r="I88" s="145">
        <f t="shared" si="9"/>
        <v>11.674541473786791</v>
      </c>
      <c r="M88" s="147">
        <f t="shared" si="13"/>
        <v>140.09591570335405</v>
      </c>
      <c r="N88" s="147"/>
      <c r="O88" s="148">
        <f t="shared" si="11"/>
        <v>94.004541473786787</v>
      </c>
      <c r="P88" s="147">
        <f t="shared" si="12"/>
        <v>1128.0659157033542</v>
      </c>
    </row>
    <row r="89" spans="1:16" s="146" customFormat="1" ht="12" customHeight="1">
      <c r="A89" s="138" t="s">
        <v>117</v>
      </c>
      <c r="B89" s="138" t="s">
        <v>118</v>
      </c>
      <c r="C89" s="142">
        <v>329.3</v>
      </c>
      <c r="D89" s="143">
        <v>3951.6000000000008</v>
      </c>
      <c r="F89" s="144">
        <f t="shared" si="7"/>
        <v>12.000000000000002</v>
      </c>
      <c r="G89" s="144">
        <f t="shared" si="8"/>
        <v>1.0000000000000002</v>
      </c>
      <c r="H89" s="144"/>
      <c r="I89" s="145">
        <f t="shared" si="9"/>
        <v>46.695329859322122</v>
      </c>
      <c r="M89" s="147">
        <f t="shared" si="13"/>
        <v>560.34395831186555</v>
      </c>
      <c r="N89" s="147"/>
      <c r="O89" s="148">
        <f t="shared" si="11"/>
        <v>375.99532985932211</v>
      </c>
      <c r="P89" s="147">
        <f t="shared" si="12"/>
        <v>4511.9439583118665</v>
      </c>
    </row>
    <row r="90" spans="1:16" s="146" customFormat="1" ht="12" customHeight="1">
      <c r="A90" s="138" t="s">
        <v>139</v>
      </c>
      <c r="B90" s="138" t="s">
        <v>140</v>
      </c>
      <c r="C90" s="142">
        <v>18.36</v>
      </c>
      <c r="D90" s="143">
        <v>110.16</v>
      </c>
      <c r="F90" s="144">
        <f t="shared" si="7"/>
        <v>6</v>
      </c>
      <c r="G90" s="144">
        <f t="shared" si="8"/>
        <v>0.5</v>
      </c>
      <c r="H90" s="144"/>
      <c r="I90" s="145">
        <f t="shared" si="9"/>
        <v>2.6034808873888675</v>
      </c>
      <c r="M90" s="147">
        <f t="shared" si="13"/>
        <v>15.620885324333205</v>
      </c>
      <c r="N90" s="147"/>
      <c r="O90" s="148">
        <f t="shared" si="11"/>
        <v>20.963480887388869</v>
      </c>
      <c r="P90" s="147">
        <f t="shared" si="12"/>
        <v>125.7808853243332</v>
      </c>
    </row>
    <row r="91" spans="1:16" s="146" customFormat="1" ht="12" customHeight="1">
      <c r="A91" s="138" t="s">
        <v>137</v>
      </c>
      <c r="B91" s="138" t="s">
        <v>138</v>
      </c>
      <c r="C91" s="142">
        <v>27.66</v>
      </c>
      <c r="D91" s="143">
        <v>165.96</v>
      </c>
      <c r="F91" s="144">
        <f t="shared" si="7"/>
        <v>6</v>
      </c>
      <c r="G91" s="144">
        <f t="shared" si="8"/>
        <v>0.5</v>
      </c>
      <c r="H91" s="144"/>
      <c r="I91" s="145">
        <f t="shared" si="9"/>
        <v>3.9222375460335557</v>
      </c>
      <c r="M91" s="147">
        <f t="shared" si="13"/>
        <v>23.533425276201335</v>
      </c>
      <c r="N91" s="147"/>
      <c r="O91" s="148">
        <f t="shared" si="11"/>
        <v>31.582237546033557</v>
      </c>
      <c r="P91" s="147">
        <f t="shared" si="12"/>
        <v>189.49342527620135</v>
      </c>
    </row>
    <row r="92" spans="1:16" s="146" customFormat="1" ht="12" customHeight="1">
      <c r="A92" s="138" t="s">
        <v>141</v>
      </c>
      <c r="B92" s="138" t="s">
        <v>142</v>
      </c>
      <c r="C92" s="142">
        <v>38.18</v>
      </c>
      <c r="D92" s="143">
        <v>1030.44</v>
      </c>
      <c r="F92" s="144">
        <f t="shared" si="7"/>
        <v>26.988999476165532</v>
      </c>
      <c r="G92" s="144">
        <f t="shared" si="8"/>
        <v>2.2490832896804611</v>
      </c>
      <c r="H92" s="144"/>
      <c r="I92" s="145">
        <f t="shared" si="9"/>
        <v>5.4139923900058262</v>
      </c>
      <c r="M92" s="147">
        <f t="shared" si="13"/>
        <v>146.11823777783141</v>
      </c>
      <c r="N92" s="147"/>
      <c r="O92" s="148">
        <f t="shared" si="11"/>
        <v>43.593992390005823</v>
      </c>
      <c r="P92" s="147">
        <f t="shared" si="12"/>
        <v>1176.5582377778314</v>
      </c>
    </row>
    <row r="93" spans="1:16" s="146" customFormat="1" ht="12" customHeight="1">
      <c r="A93" s="138" t="s">
        <v>143</v>
      </c>
      <c r="B93" s="138" t="s">
        <v>144</v>
      </c>
      <c r="C93" s="142">
        <v>51.27</v>
      </c>
      <c r="D93" s="143">
        <v>3024.9299999999994</v>
      </c>
      <c r="F93" s="144">
        <f t="shared" si="7"/>
        <v>58.999999999999986</v>
      </c>
      <c r="G93" s="144">
        <f t="shared" si="8"/>
        <v>4.9166666666666652</v>
      </c>
      <c r="H93" s="144"/>
      <c r="I93" s="145">
        <f t="shared" si="9"/>
        <v>7.2701778374960382</v>
      </c>
      <c r="M93" s="147">
        <f t="shared" si="13"/>
        <v>428.94049241226611</v>
      </c>
      <c r="N93" s="147"/>
      <c r="O93" s="148">
        <f t="shared" si="11"/>
        <v>58.540177837496039</v>
      </c>
      <c r="P93" s="147">
        <f t="shared" si="12"/>
        <v>3453.8704924122653</v>
      </c>
    </row>
    <row r="94" spans="1:16" s="146" customFormat="1" ht="12" customHeight="1">
      <c r="A94" s="138" t="s">
        <v>145</v>
      </c>
      <c r="B94" s="138" t="s">
        <v>146</v>
      </c>
      <c r="C94" s="142">
        <v>67.27</v>
      </c>
      <c r="D94" s="143">
        <v>8038.7599999999993</v>
      </c>
      <c r="F94" s="144">
        <f t="shared" si="7"/>
        <v>119.4999256726624</v>
      </c>
      <c r="G94" s="144">
        <f t="shared" si="8"/>
        <v>9.9583271393885333</v>
      </c>
      <c r="H94" s="144"/>
      <c r="I94" s="145">
        <f t="shared" si="9"/>
        <v>9.5390064975299076</v>
      </c>
      <c r="M94" s="147">
        <f t="shared" si="13"/>
        <v>1139.9105674458676</v>
      </c>
      <c r="N94" s="147"/>
      <c r="O94" s="148">
        <f t="shared" si="11"/>
        <v>76.809006497529907</v>
      </c>
      <c r="P94" s="147">
        <f t="shared" si="12"/>
        <v>9178.6705674458663</v>
      </c>
    </row>
    <row r="95" spans="1:16" s="146" customFormat="1" ht="12" customHeight="1">
      <c r="A95" s="138" t="s">
        <v>121</v>
      </c>
      <c r="B95" s="138" t="s">
        <v>122</v>
      </c>
      <c r="C95" s="142">
        <v>4.26</v>
      </c>
      <c r="D95" s="143">
        <v>14080.189999999999</v>
      </c>
      <c r="F95" s="144">
        <f t="shared" si="7"/>
        <v>3305.2089201877934</v>
      </c>
      <c r="G95" s="144">
        <f t="shared" si="8"/>
        <v>275.43407668231612</v>
      </c>
      <c r="H95" s="144"/>
      <c r="I95" s="145">
        <f t="shared" si="9"/>
        <v>0.60407563073401827</v>
      </c>
      <c r="M95" s="147">
        <f t="shared" si="13"/>
        <v>1996.5961631701448</v>
      </c>
      <c r="N95" s="147"/>
      <c r="O95" s="148">
        <f t="shared" si="11"/>
        <v>4.8640756307340176</v>
      </c>
      <c r="P95" s="147">
        <f t="shared" si="12"/>
        <v>16076.786163170143</v>
      </c>
    </row>
    <row r="96" spans="1:16" s="146" customFormat="1" ht="12" customHeight="1">
      <c r="A96" s="138" t="s">
        <v>123</v>
      </c>
      <c r="B96" s="138" t="s">
        <v>124</v>
      </c>
      <c r="C96" s="142">
        <v>4.26</v>
      </c>
      <c r="D96" s="143">
        <v>25.559999999999995</v>
      </c>
      <c r="F96" s="144">
        <f t="shared" si="7"/>
        <v>5.9999999999999991</v>
      </c>
      <c r="G96" s="144">
        <f t="shared" si="8"/>
        <v>0.49999999999999994</v>
      </c>
      <c r="H96" s="144"/>
      <c r="I96" s="145">
        <f t="shared" si="9"/>
        <v>0.60407563073401827</v>
      </c>
      <c r="M96" s="147">
        <f t="shared" si="13"/>
        <v>3.6244537844041087</v>
      </c>
      <c r="N96" s="147"/>
      <c r="O96" s="148">
        <f t="shared" si="11"/>
        <v>4.8640756307340176</v>
      </c>
      <c r="P96" s="147">
        <f t="shared" si="12"/>
        <v>29.184453784404106</v>
      </c>
    </row>
    <row r="97" spans="1:16" s="146" customFormat="1" ht="12" customHeight="1">
      <c r="A97" s="138" t="s">
        <v>125</v>
      </c>
      <c r="B97" s="138" t="s">
        <v>126</v>
      </c>
      <c r="C97" s="142">
        <v>4.26</v>
      </c>
      <c r="D97" s="143">
        <v>0</v>
      </c>
      <c r="F97" s="144">
        <f t="shared" si="7"/>
        <v>0</v>
      </c>
      <c r="G97" s="144">
        <f t="shared" si="8"/>
        <v>0</v>
      </c>
      <c r="H97" s="144"/>
      <c r="I97" s="145">
        <f t="shared" si="9"/>
        <v>0.60407563073401827</v>
      </c>
      <c r="M97" s="147">
        <f t="shared" si="13"/>
        <v>0</v>
      </c>
      <c r="N97" s="147"/>
      <c r="O97" s="148">
        <f t="shared" si="11"/>
        <v>4.8640756307340176</v>
      </c>
      <c r="P97" s="147">
        <f t="shared" si="12"/>
        <v>0</v>
      </c>
    </row>
    <row r="98" spans="1:16" s="146" customFormat="1" ht="12" customHeight="1">
      <c r="A98" s="138" t="s">
        <v>127</v>
      </c>
      <c r="B98" s="138" t="s">
        <v>128</v>
      </c>
      <c r="C98" s="142">
        <v>38.159999999999997</v>
      </c>
      <c r="D98" s="143">
        <v>343.43999999999994</v>
      </c>
      <c r="F98" s="144">
        <f t="shared" si="7"/>
        <v>9</v>
      </c>
      <c r="G98" s="144">
        <f t="shared" si="8"/>
        <v>0.75</v>
      </c>
      <c r="H98" s="144"/>
      <c r="I98" s="145">
        <f t="shared" si="9"/>
        <v>5.4111563541807834</v>
      </c>
      <c r="M98" s="147">
        <f t="shared" si="13"/>
        <v>48.70040718762705</v>
      </c>
      <c r="N98" s="147"/>
      <c r="O98" s="148">
        <f t="shared" si="11"/>
        <v>43.571156354180779</v>
      </c>
      <c r="P98" s="147">
        <f t="shared" si="12"/>
        <v>392.14040718762698</v>
      </c>
    </row>
    <row r="99" spans="1:16" s="146" customFormat="1" ht="12" customHeight="1">
      <c r="A99" s="138" t="s">
        <v>129</v>
      </c>
      <c r="B99" s="138" t="s">
        <v>130</v>
      </c>
      <c r="C99" s="142">
        <v>54.86</v>
      </c>
      <c r="D99" s="143">
        <v>1261.1199999999997</v>
      </c>
      <c r="F99" s="144">
        <f t="shared" si="7"/>
        <v>22.987969376594965</v>
      </c>
      <c r="G99" s="144">
        <f t="shared" si="8"/>
        <v>1.915664114716247</v>
      </c>
      <c r="H99" s="144"/>
      <c r="I99" s="145">
        <f t="shared" si="9"/>
        <v>7.7792462680911374</v>
      </c>
      <c r="M99" s="147">
        <f t="shared" si="13"/>
        <v>178.82907498386973</v>
      </c>
      <c r="N99" s="147"/>
      <c r="O99" s="148">
        <f t="shared" si="11"/>
        <v>62.639246268091135</v>
      </c>
      <c r="P99" s="147">
        <f t="shared" si="12"/>
        <v>1439.9490749838694</v>
      </c>
    </row>
    <row r="100" spans="1:16" s="146" customFormat="1" ht="12" customHeight="1">
      <c r="A100" s="138" t="s">
        <v>131</v>
      </c>
      <c r="B100" s="138" t="s">
        <v>132</v>
      </c>
      <c r="C100" s="142">
        <v>64.63</v>
      </c>
      <c r="D100" s="143">
        <v>1679.9599999999996</v>
      </c>
      <c r="F100" s="144">
        <f t="shared" si="7"/>
        <v>25.993501469905613</v>
      </c>
      <c r="G100" s="144">
        <f t="shared" si="8"/>
        <v>2.1661251224921343</v>
      </c>
      <c r="H100" s="144"/>
      <c r="I100" s="145">
        <f t="shared" si="9"/>
        <v>9.1646497686243187</v>
      </c>
      <c r="M100" s="147">
        <f t="shared" si="13"/>
        <v>238.22133723190635</v>
      </c>
      <c r="N100" s="147"/>
      <c r="O100" s="148">
        <f t="shared" si="11"/>
        <v>73.794649768624311</v>
      </c>
      <c r="P100" s="147">
        <f t="shared" si="12"/>
        <v>1918.1813372319059</v>
      </c>
    </row>
    <row r="101" spans="1:16" s="146" customFormat="1" ht="12" customHeight="1">
      <c r="A101" s="138" t="s">
        <v>133</v>
      </c>
      <c r="B101" s="138" t="s">
        <v>134</v>
      </c>
      <c r="C101" s="142">
        <v>83.33</v>
      </c>
      <c r="D101" s="143">
        <v>916.63000000000011</v>
      </c>
      <c r="F101" s="144">
        <f t="shared" si="7"/>
        <v>11.000000000000002</v>
      </c>
      <c r="G101" s="144">
        <f t="shared" si="8"/>
        <v>0.91666666666666685</v>
      </c>
      <c r="H101" s="144"/>
      <c r="I101" s="145">
        <f t="shared" si="9"/>
        <v>11.816343265038908</v>
      </c>
      <c r="M101" s="147">
        <f t="shared" si="13"/>
        <v>129.97977591542801</v>
      </c>
      <c r="N101" s="147"/>
      <c r="O101" s="148">
        <f t="shared" si="11"/>
        <v>95.146343265038908</v>
      </c>
      <c r="P101" s="147">
        <f t="shared" si="12"/>
        <v>1046.6097759154281</v>
      </c>
    </row>
    <row r="102" spans="1:16" s="146" customFormat="1" ht="12" customHeight="1">
      <c r="A102" s="138" t="s">
        <v>135</v>
      </c>
      <c r="B102" s="138" t="s">
        <v>136</v>
      </c>
      <c r="C102" s="142">
        <v>103.23</v>
      </c>
      <c r="D102" s="143">
        <v>1341.99</v>
      </c>
      <c r="F102" s="144">
        <f t="shared" si="7"/>
        <v>13</v>
      </c>
      <c r="G102" s="144">
        <f t="shared" si="8"/>
        <v>1.0833333333333333</v>
      </c>
      <c r="H102" s="144"/>
      <c r="I102" s="145">
        <f t="shared" si="9"/>
        <v>14.638198910956037</v>
      </c>
      <c r="M102" s="147">
        <f t="shared" si="13"/>
        <v>190.29658584242847</v>
      </c>
      <c r="N102" s="147"/>
      <c r="O102" s="148">
        <f t="shared" si="11"/>
        <v>117.86819891095604</v>
      </c>
      <c r="P102" s="147">
        <f t="shared" si="12"/>
        <v>1532.2865858424284</v>
      </c>
    </row>
    <row r="103" spans="1:16" s="146" customFormat="1" ht="12" customHeight="1">
      <c r="A103" s="138" t="s">
        <v>352</v>
      </c>
      <c r="B103" s="138" t="s">
        <v>353</v>
      </c>
      <c r="C103" s="142">
        <v>139.16</v>
      </c>
      <c r="D103" s="143">
        <v>298.86</v>
      </c>
      <c r="F103" s="144">
        <f t="shared" si="7"/>
        <v>2.1475998850244324</v>
      </c>
      <c r="G103" s="144">
        <f t="shared" si="8"/>
        <v>0.17896665708536938</v>
      </c>
      <c r="H103" s="144"/>
      <c r="I103" s="145">
        <f t="shared" si="9"/>
        <v>19.733137270644598</v>
      </c>
      <c r="M103" s="147">
        <f t="shared" si="13"/>
        <v>42.378883333607682</v>
      </c>
      <c r="N103" s="147"/>
      <c r="O103" s="148">
        <f t="shared" si="11"/>
        <v>158.89313727064459</v>
      </c>
      <c r="P103" s="147">
        <f t="shared" si="12"/>
        <v>341.2388833336077</v>
      </c>
    </row>
    <row r="104" spans="1:16" s="146" customFormat="1" ht="12" customHeight="1">
      <c r="A104" s="138" t="s">
        <v>464</v>
      </c>
      <c r="B104" s="138" t="s">
        <v>465</v>
      </c>
      <c r="C104" s="142">
        <v>176.15</v>
      </c>
      <c r="D104" s="143">
        <v>176.15</v>
      </c>
      <c r="F104" s="144">
        <f t="shared" si="7"/>
        <v>1</v>
      </c>
      <c r="G104" s="144">
        <f t="shared" si="8"/>
        <v>8.3333333333333329E-2</v>
      </c>
      <c r="H104" s="144"/>
      <c r="I104" s="145">
        <f t="shared" si="9"/>
        <v>24.978385529060407</v>
      </c>
      <c r="M104" s="147">
        <f t="shared" si="13"/>
        <v>24.978385529060404</v>
      </c>
      <c r="N104" s="147"/>
      <c r="O104" s="148">
        <f t="shared" si="11"/>
        <v>201.12838552906041</v>
      </c>
      <c r="P104" s="147">
        <f t="shared" si="12"/>
        <v>201.12838552906041</v>
      </c>
    </row>
    <row r="105" spans="1:16" s="146" customFormat="1" ht="12" customHeight="1">
      <c r="A105" s="138" t="s">
        <v>119</v>
      </c>
      <c r="B105" s="138" t="s">
        <v>120</v>
      </c>
      <c r="C105" s="142">
        <v>11.64</v>
      </c>
      <c r="D105" s="143">
        <v>197.88</v>
      </c>
      <c r="F105" s="144">
        <f t="shared" si="7"/>
        <v>17</v>
      </c>
      <c r="G105" s="144">
        <f t="shared" si="8"/>
        <v>1.4166666666666667</v>
      </c>
      <c r="H105" s="144"/>
      <c r="I105" s="145">
        <f t="shared" si="9"/>
        <v>1.6505728501746417</v>
      </c>
      <c r="M105" s="147">
        <f t="shared" si="13"/>
        <v>28.059738452968912</v>
      </c>
      <c r="N105" s="147"/>
      <c r="O105" s="148">
        <f t="shared" si="11"/>
        <v>13.290572850174643</v>
      </c>
      <c r="P105" s="147">
        <f t="shared" si="12"/>
        <v>225.9397384529689</v>
      </c>
    </row>
    <row r="106" spans="1:16" s="146" customFormat="1" ht="12" customHeight="1">
      <c r="A106" s="138" t="s">
        <v>466</v>
      </c>
      <c r="B106" s="138" t="s">
        <v>467</v>
      </c>
      <c r="C106" s="142">
        <v>18.95</v>
      </c>
      <c r="D106" s="143">
        <v>88.22999999999999</v>
      </c>
      <c r="F106" s="144">
        <f t="shared" si="7"/>
        <v>4.6559366754617413</v>
      </c>
      <c r="G106" s="144">
        <f t="shared" si="8"/>
        <v>0.38799472295514509</v>
      </c>
      <c r="H106" s="144"/>
      <c r="I106" s="145">
        <f t="shared" si="9"/>
        <v>2.6871439442276168</v>
      </c>
      <c r="M106" s="147">
        <f t="shared" si="13"/>
        <v>12.51117204217428</v>
      </c>
      <c r="N106" s="147"/>
      <c r="O106" s="148">
        <f t="shared" si="11"/>
        <v>21.637143944227617</v>
      </c>
      <c r="P106" s="147">
        <f t="shared" si="12"/>
        <v>100.74117204217427</v>
      </c>
    </row>
    <row r="107" spans="1:16" s="146" customFormat="1" ht="12" customHeight="1">
      <c r="A107" s="138" t="s">
        <v>147</v>
      </c>
      <c r="B107" s="138" t="s">
        <v>148</v>
      </c>
      <c r="C107" s="142">
        <v>20.78</v>
      </c>
      <c r="D107" s="143">
        <v>8070.18</v>
      </c>
      <c r="F107" s="144">
        <f t="shared" si="7"/>
        <v>388.36284889316647</v>
      </c>
      <c r="G107" s="144">
        <f t="shared" si="8"/>
        <v>32.363570741097206</v>
      </c>
      <c r="H107" s="144"/>
      <c r="I107" s="145">
        <f t="shared" si="9"/>
        <v>2.9466412222189908</v>
      </c>
      <c r="M107" s="147">
        <f t="shared" si="13"/>
        <v>1144.3659797270093</v>
      </c>
      <c r="N107" s="147"/>
      <c r="O107" s="148">
        <f t="shared" si="11"/>
        <v>23.726641222218991</v>
      </c>
      <c r="P107" s="147">
        <f t="shared" si="12"/>
        <v>9214.5459797270087</v>
      </c>
    </row>
    <row r="108" spans="1:16" s="146" customFormat="1" ht="12" customHeight="1">
      <c r="A108" s="138" t="s">
        <v>468</v>
      </c>
      <c r="B108" s="138" t="s">
        <v>469</v>
      </c>
      <c r="C108" s="142">
        <v>15.56</v>
      </c>
      <c r="D108" s="143">
        <v>15.56</v>
      </c>
      <c r="F108" s="144">
        <f t="shared" si="7"/>
        <v>1</v>
      </c>
      <c r="G108" s="144">
        <f t="shared" si="8"/>
        <v>8.3333333333333329E-2</v>
      </c>
      <c r="H108" s="144"/>
      <c r="I108" s="145">
        <f t="shared" si="9"/>
        <v>2.2064358718829404</v>
      </c>
      <c r="M108" s="147">
        <f t="shared" si="13"/>
        <v>2.20643587188294</v>
      </c>
      <c r="N108" s="147"/>
      <c r="O108" s="148">
        <f t="shared" si="11"/>
        <v>17.76643587188294</v>
      </c>
      <c r="P108" s="147">
        <f t="shared" si="12"/>
        <v>17.76643587188294</v>
      </c>
    </row>
    <row r="109" spans="1:16" s="146" customFormat="1" ht="12" customHeight="1">
      <c r="A109" s="138" t="s">
        <v>153</v>
      </c>
      <c r="B109" s="138" t="s">
        <v>154</v>
      </c>
      <c r="C109" s="142">
        <v>10.66</v>
      </c>
      <c r="D109" s="143">
        <v>32438.83</v>
      </c>
      <c r="F109" s="144">
        <f t="shared" si="7"/>
        <v>3043.0422138836775</v>
      </c>
      <c r="G109" s="144">
        <f t="shared" si="8"/>
        <v>253.58685115697313</v>
      </c>
      <c r="H109" s="144"/>
      <c r="I109" s="145">
        <f t="shared" si="9"/>
        <v>1.511607094747567</v>
      </c>
      <c r="M109" s="147">
        <f t="shared" si="13"/>
        <v>4599.8842001229104</v>
      </c>
      <c r="N109" s="147"/>
      <c r="O109" s="148">
        <f t="shared" si="11"/>
        <v>12.171607094747568</v>
      </c>
      <c r="P109" s="147">
        <f t="shared" si="12"/>
        <v>37038.714200122915</v>
      </c>
    </row>
    <row r="110" spans="1:16" s="185" customFormat="1" ht="12" customHeight="1">
      <c r="A110" s="138" t="s">
        <v>155</v>
      </c>
      <c r="B110" s="138" t="s">
        <v>156</v>
      </c>
      <c r="C110" s="142">
        <v>23.51</v>
      </c>
      <c r="D110" s="143">
        <v>82.29</v>
      </c>
      <c r="F110" s="144">
        <f t="shared" si="7"/>
        <v>3.5002126754572522</v>
      </c>
      <c r="G110" s="144">
        <f t="shared" si="8"/>
        <v>0.29168438962143767</v>
      </c>
      <c r="H110" s="144"/>
      <c r="I110" s="145">
        <f t="shared" si="9"/>
        <v>3.3337601123372704</v>
      </c>
      <c r="J110" s="146"/>
      <c r="K110" s="146"/>
      <c r="L110" s="146"/>
      <c r="M110" s="147">
        <f t="shared" si="13"/>
        <v>11.668869402136707</v>
      </c>
      <c r="N110" s="147"/>
      <c r="O110" s="148">
        <f t="shared" si="11"/>
        <v>26.843760112337272</v>
      </c>
      <c r="P110" s="147">
        <f t="shared" si="12"/>
        <v>93.958869402136713</v>
      </c>
    </row>
    <row r="111" spans="1:16" s="146" customFormat="1" ht="12" customHeight="1">
      <c r="A111" s="138" t="s">
        <v>149</v>
      </c>
      <c r="B111" s="138" t="s">
        <v>150</v>
      </c>
      <c r="C111" s="142">
        <v>12.81</v>
      </c>
      <c r="D111" s="143">
        <v>14565.029999999999</v>
      </c>
      <c r="F111" s="144">
        <f t="shared" si="7"/>
        <v>1137.0046838407493</v>
      </c>
      <c r="G111" s="144">
        <f t="shared" si="8"/>
        <v>94.750390320062436</v>
      </c>
      <c r="H111" s="144"/>
      <c r="I111" s="145">
        <f t="shared" si="9"/>
        <v>1.8164809459396185</v>
      </c>
      <c r="M111" s="147">
        <f t="shared" si="13"/>
        <v>2065.3473436408212</v>
      </c>
      <c r="N111" s="147"/>
      <c r="O111" s="148">
        <f t="shared" si="11"/>
        <v>14.626480945939619</v>
      </c>
      <c r="P111" s="147">
        <f t="shared" si="12"/>
        <v>16630.377343640819</v>
      </c>
    </row>
    <row r="112" spans="1:16" s="146" customFormat="1" ht="12" customHeight="1">
      <c r="A112" s="138" t="s">
        <v>151</v>
      </c>
      <c r="B112" s="138" t="s">
        <v>152</v>
      </c>
      <c r="C112" s="142">
        <v>25.86</v>
      </c>
      <c r="D112" s="143">
        <v>51.72</v>
      </c>
      <c r="F112" s="144">
        <f t="shared" si="7"/>
        <v>2</v>
      </c>
      <c r="G112" s="144">
        <f t="shared" si="8"/>
        <v>0.16666666666666666</v>
      </c>
      <c r="H112" s="144"/>
      <c r="I112" s="145">
        <f t="shared" si="9"/>
        <v>3.6669943217797449</v>
      </c>
      <c r="M112" s="147">
        <f t="shared" si="13"/>
        <v>7.333988643559489</v>
      </c>
      <c r="N112" s="147"/>
      <c r="O112" s="148">
        <f t="shared" si="11"/>
        <v>29.526994321779746</v>
      </c>
      <c r="P112" s="147">
        <f t="shared" si="12"/>
        <v>59.053988643559485</v>
      </c>
    </row>
    <row r="113" spans="1:16" s="185" customFormat="1" ht="12" customHeight="1">
      <c r="A113" s="138" t="s">
        <v>157</v>
      </c>
      <c r="B113" s="138" t="s">
        <v>158</v>
      </c>
      <c r="C113" s="142">
        <v>17.59</v>
      </c>
      <c r="D113" s="143">
        <v>12475.750000000002</v>
      </c>
      <c r="F113" s="144">
        <f t="shared" ref="F113:F129" si="14">IFERROR(D113/C113,0)</f>
        <v>709.25241614553738</v>
      </c>
      <c r="G113" s="144">
        <f t="shared" ref="G113:G129" si="15">F113/12</f>
        <v>59.104368012128113</v>
      </c>
      <c r="H113" s="144"/>
      <c r="I113" s="145">
        <f t="shared" ref="I113:I129" si="16">$I$5*C113</f>
        <v>2.4942935081247377</v>
      </c>
      <c r="J113" s="146"/>
      <c r="K113" s="146"/>
      <c r="L113" s="146"/>
      <c r="M113" s="147">
        <f t="shared" si="13"/>
        <v>1769.0836972135987</v>
      </c>
      <c r="N113" s="147"/>
      <c r="O113" s="148">
        <f t="shared" ref="O113:O129" si="17">+C113+SUM(I113:J113)</f>
        <v>20.084293508124738</v>
      </c>
      <c r="P113" s="147">
        <f t="shared" si="12"/>
        <v>14244.8336972136</v>
      </c>
    </row>
    <row r="114" spans="1:16" s="146" customFormat="1" ht="12" customHeight="1">
      <c r="A114" s="138" t="s">
        <v>159</v>
      </c>
      <c r="B114" s="138" t="s">
        <v>160</v>
      </c>
      <c r="C114" s="142">
        <v>35.26</v>
      </c>
      <c r="D114" s="143">
        <v>644.11</v>
      </c>
      <c r="F114" s="144">
        <f t="shared" si="14"/>
        <v>18.267441860465119</v>
      </c>
      <c r="G114" s="144">
        <f t="shared" si="15"/>
        <v>1.5222868217054266</v>
      </c>
      <c r="H114" s="144"/>
      <c r="I114" s="145">
        <f t="shared" si="16"/>
        <v>4.9999311595496447</v>
      </c>
      <c r="M114" s="147">
        <f t="shared" si="13"/>
        <v>91.335951763401084</v>
      </c>
      <c r="N114" s="147"/>
      <c r="O114" s="148">
        <f t="shared" si="17"/>
        <v>40.259931159549645</v>
      </c>
      <c r="P114" s="147">
        <f t="shared" ref="P114:P129" si="18">D114+M114</f>
        <v>735.44595176340113</v>
      </c>
    </row>
    <row r="115" spans="1:16" s="146" customFormat="1" ht="12" customHeight="1">
      <c r="A115" s="138" t="s">
        <v>161</v>
      </c>
      <c r="B115" s="138" t="s">
        <v>162</v>
      </c>
      <c r="C115" s="142">
        <v>21.71</v>
      </c>
      <c r="D115" s="143">
        <v>9636.7900000000009</v>
      </c>
      <c r="F115" s="144">
        <f t="shared" si="14"/>
        <v>443.8871487793644</v>
      </c>
      <c r="G115" s="144">
        <f t="shared" si="15"/>
        <v>36.990595731613702</v>
      </c>
      <c r="H115" s="144"/>
      <c r="I115" s="145">
        <f t="shared" si="16"/>
        <v>3.0785168880834597</v>
      </c>
      <c r="M115" s="147">
        <f t="shared" si="13"/>
        <v>1366.5140839204887</v>
      </c>
      <c r="N115" s="147"/>
      <c r="O115" s="148">
        <f t="shared" si="17"/>
        <v>24.788516888083461</v>
      </c>
      <c r="P115" s="147">
        <f t="shared" si="18"/>
        <v>11003.30408392049</v>
      </c>
    </row>
    <row r="116" spans="1:16" s="146" customFormat="1" ht="12" customHeight="1">
      <c r="A116" s="138" t="s">
        <v>163</v>
      </c>
      <c r="B116" s="138" t="s">
        <v>164</v>
      </c>
      <c r="C116" s="142">
        <v>42.3</v>
      </c>
      <c r="D116" s="143">
        <v>2093.85</v>
      </c>
      <c r="F116" s="144">
        <f t="shared" si="14"/>
        <v>49.5</v>
      </c>
      <c r="G116" s="144">
        <f t="shared" si="15"/>
        <v>4.125</v>
      </c>
      <c r="H116" s="144"/>
      <c r="I116" s="145">
        <f t="shared" si="16"/>
        <v>5.9982157699645473</v>
      </c>
      <c r="M116" s="147">
        <f t="shared" si="13"/>
        <v>296.9116806132451</v>
      </c>
      <c r="N116" s="147"/>
      <c r="O116" s="148">
        <f t="shared" si="17"/>
        <v>48.298215769964543</v>
      </c>
      <c r="P116" s="147">
        <f t="shared" si="18"/>
        <v>2390.7616806132451</v>
      </c>
    </row>
    <row r="117" spans="1:16" s="146" customFormat="1" ht="12" customHeight="1">
      <c r="A117" s="138" t="s">
        <v>165</v>
      </c>
      <c r="B117" s="138" t="s">
        <v>166</v>
      </c>
      <c r="C117" s="142">
        <v>24.58</v>
      </c>
      <c r="D117" s="143">
        <v>6741.15</v>
      </c>
      <c r="F117" s="144">
        <f t="shared" si="14"/>
        <v>274.25345809601305</v>
      </c>
      <c r="G117" s="144">
        <f t="shared" si="15"/>
        <v>22.85445484133442</v>
      </c>
      <c r="H117" s="144"/>
      <c r="I117" s="145">
        <f t="shared" si="16"/>
        <v>3.4854880289770351</v>
      </c>
      <c r="M117" s="147">
        <f t="shared" si="13"/>
        <v>955.90714509920838</v>
      </c>
      <c r="N117" s="147"/>
      <c r="O117" s="148">
        <f t="shared" si="17"/>
        <v>28.065488028977033</v>
      </c>
      <c r="P117" s="147">
        <f t="shared" si="18"/>
        <v>7697.0571450992084</v>
      </c>
    </row>
    <row r="118" spans="1:16" s="146" customFormat="1" ht="12" customHeight="1">
      <c r="A118" s="138" t="s">
        <v>167</v>
      </c>
      <c r="B118" s="138" t="s">
        <v>168</v>
      </c>
      <c r="C118" s="142">
        <v>47.01</v>
      </c>
      <c r="D118" s="143">
        <v>3868.1099999999997</v>
      </c>
      <c r="F118" s="144">
        <f t="shared" si="14"/>
        <v>82.28270580727505</v>
      </c>
      <c r="G118" s="144">
        <f t="shared" si="15"/>
        <v>6.8568921506062539</v>
      </c>
      <c r="H118" s="144"/>
      <c r="I118" s="145">
        <f t="shared" si="16"/>
        <v>6.6661022067620186</v>
      </c>
      <c r="M118" s="147">
        <f t="shared" si="13"/>
        <v>548.50492676022611</v>
      </c>
      <c r="N118" s="147"/>
      <c r="O118" s="148">
        <f t="shared" si="17"/>
        <v>53.676102206762017</v>
      </c>
      <c r="P118" s="147">
        <f t="shared" si="18"/>
        <v>4416.6149267602259</v>
      </c>
    </row>
    <row r="119" spans="1:16" s="146" customFormat="1" ht="12" customHeight="1">
      <c r="A119" s="138" t="s">
        <v>169</v>
      </c>
      <c r="B119" s="138" t="s">
        <v>170</v>
      </c>
      <c r="C119" s="142">
        <v>32.56</v>
      </c>
      <c r="D119" s="143">
        <v>5421.3500000000013</v>
      </c>
      <c r="F119" s="144">
        <f t="shared" si="14"/>
        <v>166.50337837837841</v>
      </c>
      <c r="G119" s="144">
        <f t="shared" si="15"/>
        <v>13.875281531531535</v>
      </c>
      <c r="H119" s="144"/>
      <c r="I119" s="145">
        <f t="shared" si="16"/>
        <v>4.6170663231689293</v>
      </c>
      <c r="M119" s="147">
        <f t="shared" si="13"/>
        <v>768.75714100466462</v>
      </c>
      <c r="N119" s="147"/>
      <c r="O119" s="148">
        <f t="shared" si="17"/>
        <v>37.17706632316893</v>
      </c>
      <c r="P119" s="147">
        <f t="shared" si="18"/>
        <v>6190.1071410046661</v>
      </c>
    </row>
    <row r="120" spans="1:16" s="146" customFormat="1" ht="12" customHeight="1">
      <c r="A120" s="138" t="s">
        <v>171</v>
      </c>
      <c r="B120" s="138" t="s">
        <v>172</v>
      </c>
      <c r="C120" s="142">
        <v>39.36</v>
      </c>
      <c r="D120" s="143">
        <v>944.64000000000021</v>
      </c>
      <c r="F120" s="144">
        <f t="shared" si="14"/>
        <v>24.000000000000007</v>
      </c>
      <c r="G120" s="144">
        <f t="shared" si="15"/>
        <v>2.0000000000000004</v>
      </c>
      <c r="H120" s="144"/>
      <c r="I120" s="145">
        <f t="shared" si="16"/>
        <v>5.5813185036833239</v>
      </c>
      <c r="M120" s="147">
        <f t="shared" si="13"/>
        <v>133.9516440883998</v>
      </c>
      <c r="N120" s="147"/>
      <c r="O120" s="148">
        <f t="shared" si="17"/>
        <v>44.94131850368332</v>
      </c>
      <c r="P120" s="147">
        <f t="shared" si="18"/>
        <v>1078.5916440884</v>
      </c>
    </row>
    <row r="121" spans="1:16" s="146" customFormat="1" ht="12" customHeight="1">
      <c r="A121" s="138" t="s">
        <v>470</v>
      </c>
      <c r="B121" s="138" t="s">
        <v>471</v>
      </c>
      <c r="C121" s="142">
        <v>25.35</v>
      </c>
      <c r="D121" s="143">
        <v>25.35</v>
      </c>
      <c r="F121" s="144">
        <f t="shared" si="14"/>
        <v>1</v>
      </c>
      <c r="G121" s="144">
        <f t="shared" si="15"/>
        <v>8.3333333333333329E-2</v>
      </c>
      <c r="H121" s="144"/>
      <c r="I121" s="145">
        <f t="shared" si="16"/>
        <v>3.5946754082411654</v>
      </c>
      <c r="M121" s="147">
        <f t="shared" si="13"/>
        <v>3.5946754082411649</v>
      </c>
      <c r="N121" s="147"/>
      <c r="O121" s="148">
        <f t="shared" si="17"/>
        <v>28.944675408241167</v>
      </c>
      <c r="P121" s="147">
        <f t="shared" si="18"/>
        <v>28.944675408241167</v>
      </c>
    </row>
    <row r="122" spans="1:16" s="146" customFormat="1" ht="12" customHeight="1">
      <c r="A122" s="138" t="s">
        <v>472</v>
      </c>
      <c r="B122" s="138" t="s">
        <v>473</v>
      </c>
      <c r="C122" s="142">
        <v>3.64</v>
      </c>
      <c r="D122" s="143">
        <v>88.27000000000001</v>
      </c>
      <c r="F122" s="144">
        <f t="shared" si="14"/>
        <v>24.250000000000004</v>
      </c>
      <c r="G122" s="144">
        <f t="shared" si="15"/>
        <v>2.0208333333333335</v>
      </c>
      <c r="H122" s="144"/>
      <c r="I122" s="145">
        <f t="shared" si="16"/>
        <v>0.5161585201577058</v>
      </c>
      <c r="M122" s="147">
        <f t="shared" si="13"/>
        <v>12.516844113824366</v>
      </c>
      <c r="N122" s="147"/>
      <c r="O122" s="148">
        <f t="shared" si="17"/>
        <v>4.1561585201577058</v>
      </c>
      <c r="P122" s="147">
        <f t="shared" si="18"/>
        <v>100.78684411382437</v>
      </c>
    </row>
    <row r="123" spans="1:16" s="146" customFormat="1" ht="12" customHeight="1">
      <c r="A123" s="138" t="s">
        <v>173</v>
      </c>
      <c r="B123" s="138" t="s">
        <v>174</v>
      </c>
      <c r="C123" s="142">
        <v>54.65</v>
      </c>
      <c r="D123" s="143">
        <v>5199.1499999999996</v>
      </c>
      <c r="F123" s="144">
        <f t="shared" si="14"/>
        <v>95.135407136322044</v>
      </c>
      <c r="G123" s="144">
        <f t="shared" si="15"/>
        <v>7.9279505946935034</v>
      </c>
      <c r="H123" s="144"/>
      <c r="I123" s="145">
        <f t="shared" si="16"/>
        <v>7.7494678919281927</v>
      </c>
      <c r="M123" s="147">
        <f t="shared" si="13"/>
        <v>737.24878298844396</v>
      </c>
      <c r="N123" s="147"/>
      <c r="O123" s="148">
        <f t="shared" si="17"/>
        <v>62.39946789192819</v>
      </c>
      <c r="P123" s="147">
        <f t="shared" si="18"/>
        <v>5936.3987829884436</v>
      </c>
    </row>
    <row r="124" spans="1:16" s="146" customFormat="1" ht="12" customHeight="1">
      <c r="A124" s="138" t="s">
        <v>175</v>
      </c>
      <c r="B124" s="138" t="s">
        <v>176</v>
      </c>
      <c r="C124" s="142">
        <v>56.46</v>
      </c>
      <c r="D124" s="143">
        <v>56.46</v>
      </c>
      <c r="F124" s="144">
        <f t="shared" si="14"/>
        <v>1</v>
      </c>
      <c r="G124" s="144">
        <f t="shared" si="15"/>
        <v>8.3333333333333329E-2</v>
      </c>
      <c r="H124" s="144"/>
      <c r="I124" s="145">
        <f t="shared" si="16"/>
        <v>8.0061291340945253</v>
      </c>
      <c r="M124" s="147">
        <f t="shared" si="13"/>
        <v>8.0061291340945253</v>
      </c>
      <c r="N124" s="147"/>
      <c r="O124" s="148">
        <f t="shared" si="17"/>
        <v>64.46612913409453</v>
      </c>
      <c r="P124" s="147">
        <f t="shared" si="18"/>
        <v>64.46612913409453</v>
      </c>
    </row>
    <row r="125" spans="1:16" s="146" customFormat="1" ht="12" customHeight="1">
      <c r="A125" s="138" t="s">
        <v>354</v>
      </c>
      <c r="B125" s="138" t="s">
        <v>355</v>
      </c>
      <c r="C125" s="142">
        <v>6.97</v>
      </c>
      <c r="D125" s="143">
        <v>501.84</v>
      </c>
      <c r="F125" s="144">
        <f t="shared" si="14"/>
        <v>72</v>
      </c>
      <c r="G125" s="144">
        <f t="shared" si="15"/>
        <v>6</v>
      </c>
      <c r="H125" s="144"/>
      <c r="I125" s="145">
        <f t="shared" si="16"/>
        <v>0.98835848502725532</v>
      </c>
      <c r="M125" s="147">
        <f t="shared" si="13"/>
        <v>71.16181092196237</v>
      </c>
      <c r="N125" s="147"/>
      <c r="O125" s="148">
        <f t="shared" si="17"/>
        <v>7.9583584850272553</v>
      </c>
      <c r="P125" s="147">
        <f t="shared" si="18"/>
        <v>573.00181092196237</v>
      </c>
    </row>
    <row r="126" spans="1:16" s="146" customFormat="1" ht="12" customHeight="1">
      <c r="A126" s="138" t="s">
        <v>177</v>
      </c>
      <c r="B126" s="138" t="s">
        <v>178</v>
      </c>
      <c r="C126" s="142">
        <v>13.83</v>
      </c>
      <c r="D126" s="143">
        <v>179.79000000000002</v>
      </c>
      <c r="F126" s="144">
        <f t="shared" si="14"/>
        <v>13.000000000000002</v>
      </c>
      <c r="G126" s="144">
        <f t="shared" si="15"/>
        <v>1.0833333333333335</v>
      </c>
      <c r="H126" s="144"/>
      <c r="I126" s="145">
        <f t="shared" si="16"/>
        <v>1.9611187730167778</v>
      </c>
      <c r="M126" s="147">
        <f t="shared" si="13"/>
        <v>25.494544049218117</v>
      </c>
      <c r="N126" s="147"/>
      <c r="O126" s="148">
        <f t="shared" si="17"/>
        <v>15.791118773016779</v>
      </c>
      <c r="P126" s="147">
        <f t="shared" si="18"/>
        <v>205.28454404921814</v>
      </c>
    </row>
    <row r="127" spans="1:16" s="146" customFormat="1" ht="12" customHeight="1">
      <c r="A127" s="138" t="s">
        <v>179</v>
      </c>
      <c r="B127" s="138" t="s">
        <v>180</v>
      </c>
      <c r="C127" s="142">
        <v>5.89</v>
      </c>
      <c r="D127" s="143">
        <v>212.04000000000008</v>
      </c>
      <c r="F127" s="144">
        <f t="shared" si="14"/>
        <v>36.000000000000014</v>
      </c>
      <c r="G127" s="144">
        <f t="shared" si="15"/>
        <v>3.0000000000000013</v>
      </c>
      <c r="H127" s="144"/>
      <c r="I127" s="145">
        <f t="shared" si="16"/>
        <v>0.8352125504749689</v>
      </c>
      <c r="M127" s="147">
        <f t="shared" si="13"/>
        <v>30.067651817098895</v>
      </c>
      <c r="N127" s="147"/>
      <c r="O127" s="148">
        <f t="shared" si="17"/>
        <v>6.7252125504749687</v>
      </c>
      <c r="P127" s="147">
        <f t="shared" si="18"/>
        <v>242.10765181709897</v>
      </c>
    </row>
    <row r="128" spans="1:16" s="146" customFormat="1" ht="12" customHeight="1">
      <c r="A128" s="138" t="s">
        <v>181</v>
      </c>
      <c r="B128" s="138" t="s">
        <v>182</v>
      </c>
      <c r="C128" s="142">
        <v>40.33</v>
      </c>
      <c r="D128" s="143">
        <v>80.66</v>
      </c>
      <c r="F128" s="144">
        <f t="shared" si="14"/>
        <v>2</v>
      </c>
      <c r="G128" s="144">
        <f t="shared" si="15"/>
        <v>0.16666666666666666</v>
      </c>
      <c r="H128" s="144"/>
      <c r="I128" s="145">
        <f t="shared" si="16"/>
        <v>5.718866241197877</v>
      </c>
      <c r="M128" s="147">
        <f t="shared" si="13"/>
        <v>11.437732482395752</v>
      </c>
      <c r="N128" s="147"/>
      <c r="O128" s="148">
        <f t="shared" si="17"/>
        <v>46.048866241197878</v>
      </c>
      <c r="P128" s="147">
        <f t="shared" si="18"/>
        <v>92.097732482395742</v>
      </c>
    </row>
    <row r="129" spans="1:19" s="146" customFormat="1" ht="12" customHeight="1">
      <c r="A129" s="138" t="s">
        <v>183</v>
      </c>
      <c r="B129" s="138" t="s">
        <v>184</v>
      </c>
      <c r="C129" s="142">
        <v>10.78</v>
      </c>
      <c r="D129" s="143">
        <v>388.07999999999987</v>
      </c>
      <c r="F129" s="144">
        <f t="shared" si="14"/>
        <v>35.999999999999993</v>
      </c>
      <c r="G129" s="144">
        <f t="shared" si="15"/>
        <v>2.9999999999999996</v>
      </c>
      <c r="H129" s="144"/>
      <c r="I129" s="145">
        <f t="shared" si="16"/>
        <v>1.528623309697821</v>
      </c>
      <c r="M129" s="147">
        <f t="shared" si="13"/>
        <v>55.030439149121548</v>
      </c>
      <c r="N129" s="147"/>
      <c r="O129" s="148">
        <f t="shared" si="17"/>
        <v>12.30862330969782</v>
      </c>
      <c r="P129" s="147">
        <f t="shared" si="18"/>
        <v>443.11043914912142</v>
      </c>
    </row>
    <row r="130" spans="1:19" s="146" customFormat="1" ht="6.75" customHeight="1" thickBot="1">
      <c r="A130" s="186"/>
      <c r="B130" s="186"/>
      <c r="C130" s="142"/>
      <c r="D130" s="144"/>
      <c r="F130" s="144"/>
      <c r="G130" s="144"/>
      <c r="H130" s="144"/>
      <c r="I130" s="138"/>
      <c r="J130" s="138"/>
      <c r="K130" s="138"/>
      <c r="L130" s="138"/>
      <c r="M130" s="140"/>
      <c r="N130" s="140"/>
      <c r="O130" s="141"/>
      <c r="P130" s="140"/>
    </row>
    <row r="131" spans="1:19" s="146" customFormat="1" ht="12" customHeight="1" thickBot="1">
      <c r="A131" s="186"/>
      <c r="B131" s="149" t="s">
        <v>185</v>
      </c>
      <c r="C131" s="142"/>
      <c r="D131" s="150">
        <f>SUM(D49:D130)</f>
        <v>1039943.5900000001</v>
      </c>
      <c r="F131" s="179"/>
      <c r="G131" s="180">
        <f>SUM(G49:G94)</f>
        <v>762.62845719017207</v>
      </c>
      <c r="H131" s="144"/>
      <c r="I131" s="138"/>
      <c r="J131" s="138"/>
      <c r="K131" s="138"/>
      <c r="L131" s="138"/>
      <c r="M131" s="153">
        <f>SUM(M49:M129)</f>
        <v>147465.86386315705</v>
      </c>
      <c r="N131" s="140"/>
      <c r="O131" s="154"/>
      <c r="P131" s="153">
        <f>SUM(P49:P129)</f>
        <v>1187409.4538631581</v>
      </c>
    </row>
    <row r="132" spans="1:19" s="146" customFormat="1" ht="6.75" customHeight="1">
      <c r="A132" s="186"/>
      <c r="B132" s="186"/>
      <c r="C132" s="142"/>
      <c r="D132" s="144"/>
      <c r="F132" s="144"/>
      <c r="G132" s="144"/>
      <c r="H132" s="144"/>
      <c r="I132" s="138"/>
      <c r="J132" s="138"/>
      <c r="K132" s="138"/>
      <c r="L132" s="138"/>
      <c r="M132" s="140"/>
      <c r="N132" s="140"/>
      <c r="O132" s="141"/>
      <c r="P132" s="140"/>
    </row>
    <row r="133" spans="1:19" ht="12" customHeight="1">
      <c r="A133" s="137" t="s">
        <v>356</v>
      </c>
      <c r="B133" s="137" t="s">
        <v>474</v>
      </c>
      <c r="F133" s="139"/>
      <c r="G133" s="139"/>
      <c r="H133" s="139"/>
    </row>
    <row r="134" spans="1:19" ht="12" customHeight="1">
      <c r="A134" s="138" t="s">
        <v>357</v>
      </c>
      <c r="B134" s="138" t="s">
        <v>358</v>
      </c>
      <c r="C134" s="142">
        <v>20</v>
      </c>
      <c r="D134" s="143">
        <v>7280</v>
      </c>
      <c r="F134" s="144">
        <f>D134/C134</f>
        <v>364</v>
      </c>
      <c r="G134" s="144">
        <f>F134/12</f>
        <v>30.333333333333332</v>
      </c>
      <c r="H134" s="139"/>
      <c r="I134" s="145"/>
      <c r="J134" s="145"/>
      <c r="K134" s="145"/>
      <c r="L134" s="146"/>
      <c r="M134" s="147">
        <f>G134*SUM(I134:J134)*12</f>
        <v>0</v>
      </c>
      <c r="N134" s="147"/>
      <c r="O134" s="148"/>
      <c r="P134" s="147"/>
    </row>
    <row r="135" spans="1:19" ht="12" customHeight="1" thickBot="1">
      <c r="A135" s="146"/>
      <c r="B135" s="146"/>
      <c r="F135" s="139"/>
      <c r="G135" s="139"/>
      <c r="H135" s="139"/>
    </row>
    <row r="136" spans="1:19" ht="12" customHeight="1" thickBot="1">
      <c r="A136" s="146"/>
      <c r="B136" s="149" t="s">
        <v>359</v>
      </c>
      <c r="D136" s="150">
        <f>SUM(D134:D135)</f>
        <v>7280</v>
      </c>
      <c r="F136" s="151"/>
      <c r="G136" s="152">
        <f>SUM(G134)</f>
        <v>30.333333333333332</v>
      </c>
      <c r="H136" s="139"/>
      <c r="M136" s="153">
        <f>SUM(M134)</f>
        <v>0</v>
      </c>
      <c r="O136" s="154"/>
      <c r="P136" s="153">
        <f>SUM(P134)</f>
        <v>0</v>
      </c>
    </row>
    <row r="137" spans="1:19" ht="6.75" customHeight="1">
      <c r="A137" s="146"/>
      <c r="B137" s="149"/>
      <c r="D137" s="187"/>
      <c r="F137" s="139"/>
      <c r="G137" s="139"/>
      <c r="H137" s="139"/>
    </row>
    <row r="138" spans="1:19" ht="12" customHeight="1">
      <c r="A138" s="137" t="s">
        <v>360</v>
      </c>
      <c r="B138" s="137" t="s">
        <v>360</v>
      </c>
      <c r="D138" s="187"/>
      <c r="F138" s="139"/>
      <c r="G138" s="139"/>
      <c r="H138" s="139"/>
    </row>
    <row r="139" spans="1:19" s="146" customFormat="1" ht="12" customHeight="1">
      <c r="A139" s="138" t="s">
        <v>361</v>
      </c>
      <c r="B139" s="138" t="s">
        <v>362</v>
      </c>
      <c r="C139" s="142">
        <v>33.630000000000003</v>
      </c>
      <c r="D139" s="143">
        <v>5808.2699999999995</v>
      </c>
      <c r="F139" s="144">
        <f>D139/C139</f>
        <v>172.71097234611952</v>
      </c>
      <c r="G139" s="144">
        <f>F139/12</f>
        <v>14.392581028843294</v>
      </c>
      <c r="I139" s="145"/>
      <c r="K139" s="145">
        <f>C139*$K$5</f>
        <v>24.534737143993446</v>
      </c>
      <c r="M139" s="147">
        <f>G139*SUM(K139)*12</f>
        <v>4237.4183083955631</v>
      </c>
      <c r="N139" s="147"/>
      <c r="O139" s="148">
        <f>+C139+SUM(K139)</f>
        <v>58.164737143993449</v>
      </c>
      <c r="P139" s="147">
        <f t="shared" ref="P139:P141" si="19">D139+M139</f>
        <v>10045.688308395562</v>
      </c>
      <c r="S139" s="188"/>
    </row>
    <row r="140" spans="1:19" s="146" customFormat="1" ht="12" customHeight="1">
      <c r="A140" s="138" t="s">
        <v>475</v>
      </c>
      <c r="B140" s="138" t="s">
        <v>476</v>
      </c>
      <c r="C140" s="142">
        <v>21.52</v>
      </c>
      <c r="D140" s="143">
        <v>1592.48</v>
      </c>
      <c r="F140" s="144">
        <f>D140/C140</f>
        <v>74</v>
      </c>
      <c r="G140" s="144">
        <f>F140/12</f>
        <v>6.166666666666667</v>
      </c>
      <c r="I140" s="145"/>
      <c r="K140" s="145">
        <f>C140*$K$5</f>
        <v>15.69989721494912</v>
      </c>
      <c r="M140" s="147">
        <f>G140*SUM(K140)*12</f>
        <v>1161.7923939062348</v>
      </c>
      <c r="N140" s="147"/>
      <c r="O140" s="148">
        <f>+C140+SUM(K140)</f>
        <v>37.219897214949121</v>
      </c>
      <c r="P140" s="147">
        <f t="shared" si="19"/>
        <v>2754.2723939062348</v>
      </c>
      <c r="S140" s="188"/>
    </row>
    <row r="141" spans="1:19" s="146" customFormat="1" ht="12" customHeight="1">
      <c r="A141" s="138" t="s">
        <v>477</v>
      </c>
      <c r="B141" s="138" t="s">
        <v>478</v>
      </c>
      <c r="C141" s="142">
        <v>26.963000000000001</v>
      </c>
      <c r="D141" s="143">
        <v>6659.12</v>
      </c>
      <c r="F141" s="144">
        <f>D141/C141</f>
        <v>246.972517894893</v>
      </c>
      <c r="G141" s="144">
        <f>F141/12</f>
        <v>20.58104315790775</v>
      </c>
      <c r="I141" s="145"/>
      <c r="K141" s="145">
        <f>C141*$K$5</f>
        <v>19.670833113692989</v>
      </c>
      <c r="M141" s="147">
        <f>G141*SUM(K141)*12</f>
        <v>4858.1551831789957</v>
      </c>
      <c r="N141" s="147"/>
      <c r="O141" s="148">
        <f>+C141+SUM(K141)</f>
        <v>46.633833113692987</v>
      </c>
      <c r="P141" s="147">
        <f t="shared" si="19"/>
        <v>11517.275183178996</v>
      </c>
      <c r="S141" s="188"/>
    </row>
    <row r="142" spans="1:19" ht="12" customHeight="1" thickBot="1">
      <c r="A142" s="146"/>
      <c r="B142" s="149"/>
    </row>
    <row r="143" spans="1:19" ht="12" customHeight="1" thickBot="1">
      <c r="A143" s="146"/>
      <c r="B143" s="149" t="s">
        <v>363</v>
      </c>
      <c r="D143" s="150">
        <f>SUM(D138:D142)</f>
        <v>14059.869999999999</v>
      </c>
      <c r="F143" s="189"/>
      <c r="G143" s="190">
        <f>SUM(G139:G141)</f>
        <v>41.14029085341771</v>
      </c>
      <c r="M143" s="153">
        <f>SUM(M139:M141)</f>
        <v>10257.365885480795</v>
      </c>
      <c r="O143" s="154"/>
      <c r="P143" s="153">
        <f>SUM(P139:P141)</f>
        <v>24317.23588548079</v>
      </c>
    </row>
    <row r="144" spans="1:19" ht="6.75" customHeight="1">
      <c r="A144" s="146"/>
      <c r="B144" s="146"/>
    </row>
    <row r="145" spans="1:16" ht="12" customHeight="1">
      <c r="A145" s="176" t="s">
        <v>364</v>
      </c>
      <c r="B145" s="176" t="s">
        <v>364</v>
      </c>
    </row>
    <row r="146" spans="1:16" ht="6.75" customHeight="1">
      <c r="A146" s="183"/>
      <c r="B146" s="183"/>
    </row>
    <row r="147" spans="1:16" ht="12" customHeight="1">
      <c r="A147" s="191" t="s">
        <v>365</v>
      </c>
      <c r="B147" s="191" t="s">
        <v>365</v>
      </c>
    </row>
    <row r="148" spans="1:16" ht="12" customHeight="1">
      <c r="A148" s="138" t="s">
        <v>366</v>
      </c>
      <c r="B148" s="138" t="s">
        <v>367</v>
      </c>
      <c r="C148" s="142">
        <v>241.93</v>
      </c>
      <c r="D148" s="143">
        <v>7628.3900000000012</v>
      </c>
      <c r="F148" s="144">
        <f>D148/C148</f>
        <v>31.531393378249913</v>
      </c>
      <c r="G148" s="144">
        <f>F148/12</f>
        <v>2.6276161148541592</v>
      </c>
      <c r="H148" s="146"/>
      <c r="I148" s="145">
        <f t="shared" ref="I148:I155" si="20">$I$5*C148</f>
        <v>34.306107357624661</v>
      </c>
      <c r="J148" s="146"/>
      <c r="K148" s="146"/>
      <c r="L148" s="146"/>
      <c r="M148" s="147">
        <f t="shared" ref="M148:M155" si="21">G148*SUM(I148:J148)*12</f>
        <v>1081.7193663697367</v>
      </c>
      <c r="N148" s="147"/>
      <c r="O148" s="148">
        <f t="shared" ref="O148:O155" si="22">+C148+SUM(I148:J148)</f>
        <v>276.23610735762469</v>
      </c>
      <c r="P148" s="147">
        <f t="shared" ref="P148:P155" si="23">D148+M148</f>
        <v>8710.1093663697375</v>
      </c>
    </row>
    <row r="149" spans="1:16" ht="12" customHeight="1">
      <c r="A149" s="138" t="s">
        <v>368</v>
      </c>
      <c r="B149" s="138" t="s">
        <v>369</v>
      </c>
      <c r="C149" s="142">
        <v>223.49</v>
      </c>
      <c r="D149" s="143">
        <v>16091.28</v>
      </c>
      <c r="F149" s="144">
        <f t="shared" ref="F149:F155" si="24">D149/C149</f>
        <v>72</v>
      </c>
      <c r="G149" s="144">
        <f t="shared" ref="G149:G155" si="25">F149/12</f>
        <v>6</v>
      </c>
      <c r="H149" s="146"/>
      <c r="I149" s="145">
        <f t="shared" si="20"/>
        <v>31.691282326935625</v>
      </c>
      <c r="J149" s="146"/>
      <c r="K149" s="146"/>
      <c r="L149" s="146"/>
      <c r="M149" s="147">
        <f t="shared" si="21"/>
        <v>2281.7723275393651</v>
      </c>
      <c r="N149" s="147"/>
      <c r="O149" s="148">
        <f t="shared" si="22"/>
        <v>255.18128232693564</v>
      </c>
      <c r="P149" s="147">
        <f t="shared" si="23"/>
        <v>18373.052327539364</v>
      </c>
    </row>
    <row r="150" spans="1:16" ht="12" customHeight="1">
      <c r="A150" s="138" t="s">
        <v>370</v>
      </c>
      <c r="B150" s="138" t="s">
        <v>371</v>
      </c>
      <c r="C150" s="142">
        <v>346.56</v>
      </c>
      <c r="D150" s="143">
        <v>3171.8399999999997</v>
      </c>
      <c r="F150" s="144">
        <f t="shared" si="24"/>
        <v>9.1523545706371188</v>
      </c>
      <c r="G150" s="144">
        <f t="shared" si="25"/>
        <v>0.76269621421975986</v>
      </c>
      <c r="H150" s="146"/>
      <c r="I150" s="145">
        <f t="shared" si="20"/>
        <v>49.142828776333658</v>
      </c>
      <c r="J150" s="146"/>
      <c r="K150" s="146"/>
      <c r="L150" s="146"/>
      <c r="M150" s="147">
        <f t="shared" si="21"/>
        <v>449.77259356511468</v>
      </c>
      <c r="N150" s="147"/>
      <c r="O150" s="148">
        <f t="shared" si="22"/>
        <v>395.70282877633366</v>
      </c>
      <c r="P150" s="147">
        <f t="shared" si="23"/>
        <v>3621.6125935651144</v>
      </c>
    </row>
    <row r="151" spans="1:16" ht="12" customHeight="1">
      <c r="A151" s="138" t="s">
        <v>372</v>
      </c>
      <c r="B151" s="138" t="s">
        <v>373</v>
      </c>
      <c r="C151" s="142">
        <v>330.7</v>
      </c>
      <c r="D151" s="143">
        <v>24471.800000000003</v>
      </c>
      <c r="F151" s="144">
        <f t="shared" si="24"/>
        <v>74.000000000000014</v>
      </c>
      <c r="G151" s="144">
        <f t="shared" si="25"/>
        <v>6.1666666666666679</v>
      </c>
      <c r="H151" s="146"/>
      <c r="I151" s="145">
        <f t="shared" si="20"/>
        <v>46.893852367075084</v>
      </c>
      <c r="J151" s="146"/>
      <c r="K151" s="146"/>
      <c r="L151" s="146"/>
      <c r="M151" s="147">
        <f t="shared" si="21"/>
        <v>3470.1450751635566</v>
      </c>
      <c r="N151" s="147"/>
      <c r="O151" s="148">
        <f t="shared" si="22"/>
        <v>377.5938523670751</v>
      </c>
      <c r="P151" s="147">
        <f t="shared" si="23"/>
        <v>27941.94507516356</v>
      </c>
    </row>
    <row r="152" spans="1:16" ht="12" customHeight="1">
      <c r="A152" s="138" t="s">
        <v>374</v>
      </c>
      <c r="B152" s="138" t="s">
        <v>375</v>
      </c>
      <c r="C152" s="142">
        <v>101.52</v>
      </c>
      <c r="D152" s="143">
        <v>5320.44</v>
      </c>
      <c r="F152" s="144">
        <f t="shared" si="24"/>
        <v>52.407801418439718</v>
      </c>
      <c r="G152" s="144">
        <f t="shared" si="25"/>
        <v>4.3673167848699768</v>
      </c>
      <c r="H152" s="146"/>
      <c r="I152" s="145">
        <f t="shared" si="20"/>
        <v>14.395717847914915</v>
      </c>
      <c r="J152" s="146"/>
      <c r="K152" s="146"/>
      <c r="L152" s="146"/>
      <c r="M152" s="147">
        <f t="shared" si="21"/>
        <v>754.4479222494133</v>
      </c>
      <c r="N152" s="147"/>
      <c r="O152" s="148">
        <f t="shared" si="22"/>
        <v>115.91571784791491</v>
      </c>
      <c r="P152" s="147">
        <f t="shared" si="23"/>
        <v>6074.8879222494124</v>
      </c>
    </row>
    <row r="153" spans="1:16" ht="12" customHeight="1">
      <c r="A153" s="138" t="s">
        <v>376</v>
      </c>
      <c r="B153" s="138" t="s">
        <v>377</v>
      </c>
      <c r="C153" s="142">
        <v>126.82</v>
      </c>
      <c r="D153" s="143">
        <v>7435.5899999999992</v>
      </c>
      <c r="F153" s="144">
        <f t="shared" si="24"/>
        <v>58.63105188456079</v>
      </c>
      <c r="G153" s="144">
        <f t="shared" si="25"/>
        <v>4.8859209903800656</v>
      </c>
      <c r="H153" s="146"/>
      <c r="I153" s="145">
        <f t="shared" si="20"/>
        <v>17.983303166593473</v>
      </c>
      <c r="J153" s="146"/>
      <c r="K153" s="146"/>
      <c r="L153" s="146"/>
      <c r="M153" s="147">
        <f t="shared" si="21"/>
        <v>1054.3799810163282</v>
      </c>
      <c r="N153" s="147"/>
      <c r="O153" s="148">
        <f t="shared" si="22"/>
        <v>144.80330316659348</v>
      </c>
      <c r="P153" s="147">
        <f t="shared" si="23"/>
        <v>8489.9699810163274</v>
      </c>
    </row>
    <row r="154" spans="1:16" ht="12" customHeight="1">
      <c r="A154" s="138" t="s">
        <v>378</v>
      </c>
      <c r="B154" s="138" t="s">
        <v>379</v>
      </c>
      <c r="C154" s="142">
        <v>74.37</v>
      </c>
      <c r="D154" s="143">
        <v>6172.68</v>
      </c>
      <c r="F154" s="144">
        <f t="shared" si="24"/>
        <v>82.999596611536916</v>
      </c>
      <c r="G154" s="144">
        <f t="shared" si="25"/>
        <v>6.9166330509614093</v>
      </c>
      <c r="H154" s="146"/>
      <c r="I154" s="145">
        <f t="shared" si="20"/>
        <v>10.54579921541994</v>
      </c>
      <c r="J154" s="146"/>
      <c r="K154" s="146"/>
      <c r="L154" s="146"/>
      <c r="M154" s="147">
        <f t="shared" si="21"/>
        <v>875.29708082611751</v>
      </c>
      <c r="N154" s="147"/>
      <c r="O154" s="148">
        <f t="shared" si="22"/>
        <v>84.915799215419952</v>
      </c>
      <c r="P154" s="147">
        <f t="shared" si="23"/>
        <v>7047.9770808261183</v>
      </c>
    </row>
    <row r="155" spans="1:16" ht="12" customHeight="1">
      <c r="A155" s="138" t="s">
        <v>380</v>
      </c>
      <c r="B155" s="138" t="s">
        <v>381</v>
      </c>
      <c r="C155" s="142">
        <v>5.54</v>
      </c>
      <c r="D155" s="143">
        <v>22641.980000000003</v>
      </c>
      <c r="F155" s="144">
        <f t="shared" si="24"/>
        <v>4087.0000000000005</v>
      </c>
      <c r="G155" s="144">
        <f t="shared" si="25"/>
        <v>340.58333333333337</v>
      </c>
      <c r="H155" s="146"/>
      <c r="I155" s="145">
        <f t="shared" si="20"/>
        <v>0.78558192353672807</v>
      </c>
      <c r="J155" s="146"/>
      <c r="K155" s="146"/>
      <c r="L155" s="146"/>
      <c r="M155" s="147">
        <f t="shared" si="21"/>
        <v>3210.673321494608</v>
      </c>
      <c r="N155" s="147"/>
      <c r="O155" s="148">
        <f t="shared" si="22"/>
        <v>6.3255819235367277</v>
      </c>
      <c r="P155" s="147">
        <f t="shared" si="23"/>
        <v>25852.65332149461</v>
      </c>
    </row>
    <row r="156" spans="1:16" ht="6.75" customHeight="1">
      <c r="C156" s="142"/>
      <c r="D156" s="143"/>
      <c r="F156" s="144"/>
    </row>
    <row r="157" spans="1:16" s="146" customFormat="1" ht="6.75" customHeight="1" thickBot="1">
      <c r="A157" s="138"/>
      <c r="B157" s="138"/>
      <c r="C157" s="142"/>
      <c r="D157" s="144"/>
      <c r="I157" s="138"/>
      <c r="J157" s="138"/>
      <c r="K157" s="138"/>
      <c r="L157" s="138"/>
      <c r="M157" s="140"/>
      <c r="N157" s="140"/>
      <c r="O157" s="141"/>
      <c r="P157" s="140"/>
    </row>
    <row r="158" spans="1:16" s="146" customFormat="1" ht="12" customHeight="1" thickBot="1">
      <c r="A158" s="138"/>
      <c r="B158" s="149" t="s">
        <v>382</v>
      </c>
      <c r="C158" s="142"/>
      <c r="D158" s="150">
        <f>SUM(D148:D157)</f>
        <v>92934</v>
      </c>
      <c r="F158" s="189"/>
      <c r="G158" s="190">
        <f>SUM(G148:G151)</f>
        <v>15.556978995740588</v>
      </c>
      <c r="I158" s="138"/>
      <c r="J158" s="138"/>
      <c r="K158" s="138"/>
      <c r="L158" s="138"/>
      <c r="M158" s="153">
        <f>SUM(M148:M155)</f>
        <v>13178.20766822424</v>
      </c>
      <c r="N158" s="140"/>
      <c r="O158" s="154"/>
      <c r="P158" s="153">
        <f>SUM(P148:P155)</f>
        <v>106112.20766822425</v>
      </c>
    </row>
    <row r="159" spans="1:16" ht="6.75" customHeight="1">
      <c r="A159" s="146"/>
      <c r="B159" s="146"/>
    </row>
    <row r="160" spans="1:16" ht="12" customHeight="1">
      <c r="A160" s="191" t="s">
        <v>383</v>
      </c>
      <c r="B160" s="191" t="s">
        <v>383</v>
      </c>
    </row>
    <row r="161" spans="1:16" ht="12" customHeight="1">
      <c r="A161" s="138" t="s">
        <v>384</v>
      </c>
      <c r="B161" s="138" t="s">
        <v>385</v>
      </c>
      <c r="C161" s="142">
        <v>106</v>
      </c>
      <c r="D161" s="143">
        <v>69478.92</v>
      </c>
      <c r="F161" s="144">
        <f>D161/C161</f>
        <v>655.46150943396219</v>
      </c>
      <c r="G161" s="144">
        <f>F161/12</f>
        <v>54.621792452830185</v>
      </c>
      <c r="I161" s="145"/>
      <c r="J161" s="146"/>
      <c r="K161" s="146"/>
      <c r="L161" s="146"/>
      <c r="M161" s="147">
        <f>G161*SUM(I161:J161)*12</f>
        <v>0</v>
      </c>
      <c r="N161" s="147"/>
      <c r="O161" s="148">
        <f>+C161+SUM(I161:J161)</f>
        <v>106</v>
      </c>
      <c r="P161" s="147">
        <f t="shared" ref="P161" si="26">D161+M161</f>
        <v>69478.92</v>
      </c>
    </row>
    <row r="162" spans="1:16" ht="6.75" customHeight="1"/>
    <row r="163" spans="1:16" ht="12" customHeight="1">
      <c r="A163" s="146"/>
      <c r="B163" s="149" t="s">
        <v>386</v>
      </c>
      <c r="D163" s="150">
        <f>SUM(D161:D162)</f>
        <v>69478.92</v>
      </c>
      <c r="M163" s="153">
        <f>SUM(M161)</f>
        <v>0</v>
      </c>
      <c r="O163" s="154"/>
      <c r="P163" s="153">
        <f>SUM(P161)</f>
        <v>69478.92</v>
      </c>
    </row>
    <row r="164" spans="1:16" ht="6.75" customHeight="1">
      <c r="A164" s="146"/>
      <c r="B164" s="149"/>
      <c r="D164" s="187"/>
    </row>
    <row r="165" spans="1:16" s="146" customFormat="1" ht="12" customHeight="1">
      <c r="A165" s="183" t="s">
        <v>387</v>
      </c>
      <c r="B165" s="183" t="s">
        <v>387</v>
      </c>
      <c r="C165" s="142"/>
      <c r="F165" s="144"/>
      <c r="I165" s="138"/>
      <c r="J165" s="138"/>
      <c r="K165" s="138"/>
      <c r="L165" s="138"/>
      <c r="M165" s="192" t="s">
        <v>479</v>
      </c>
      <c r="N165" s="140"/>
      <c r="O165" s="141"/>
      <c r="P165" s="140"/>
    </row>
    <row r="166" spans="1:16" s="146" customFormat="1" ht="12" customHeight="1">
      <c r="A166" s="138" t="s">
        <v>388</v>
      </c>
      <c r="B166" s="138" t="s">
        <v>389</v>
      </c>
      <c r="C166" s="142">
        <v>1</v>
      </c>
      <c r="D166" s="143">
        <v>3441.6700000000005</v>
      </c>
      <c r="F166" s="144"/>
      <c r="J166" s="140"/>
      <c r="K166" s="140"/>
      <c r="L166" s="193" t="s">
        <v>480</v>
      </c>
      <c r="M166" s="194">
        <v>83352.586916825763</v>
      </c>
      <c r="O166" s="195" t="s">
        <v>481</v>
      </c>
      <c r="P166" s="140">
        <v>206881.77713080705</v>
      </c>
    </row>
    <row r="167" spans="1:16" s="146" customFormat="1" ht="12" customHeight="1">
      <c r="A167" s="138" t="s">
        <v>390</v>
      </c>
      <c r="B167" s="138" t="s">
        <v>391</v>
      </c>
      <c r="C167" s="142">
        <v>19.010000000000002</v>
      </c>
      <c r="D167" s="143">
        <v>190.10000000000002</v>
      </c>
      <c r="F167" s="144"/>
      <c r="I167" s="138"/>
      <c r="L167" s="196" t="s">
        <v>482</v>
      </c>
      <c r="M167" s="197">
        <f>SUM(M38+M131+M158)</f>
        <v>311833.49941391125</v>
      </c>
      <c r="N167" s="140"/>
      <c r="O167" s="198" t="s">
        <v>483</v>
      </c>
      <c r="P167" s="140">
        <v>170051.98410623468</v>
      </c>
    </row>
    <row r="168" spans="1:16" s="146" customFormat="1" ht="12" customHeight="1">
      <c r="A168" s="138" t="s">
        <v>392</v>
      </c>
      <c r="B168" s="138" t="s">
        <v>393</v>
      </c>
      <c r="C168" s="142">
        <v>0</v>
      </c>
      <c r="D168" s="143">
        <v>-76.989999999999995</v>
      </c>
      <c r="F168" s="144"/>
      <c r="I168" s="138"/>
      <c r="J168" s="138"/>
      <c r="K168" s="138"/>
      <c r="L168" s="138"/>
      <c r="M168" s="199">
        <f>SUM(M166:M167)</f>
        <v>395186.08633073699</v>
      </c>
      <c r="N168" s="140"/>
      <c r="O168" s="198" t="s">
        <v>484</v>
      </c>
      <c r="P168" s="200">
        <v>18252.32509369529</v>
      </c>
    </row>
    <row r="169" spans="1:16" s="146" customFormat="1" ht="9.75" customHeight="1">
      <c r="A169" s="178"/>
      <c r="B169" s="178"/>
      <c r="C169" s="142"/>
      <c r="F169" s="144"/>
      <c r="I169" s="138"/>
      <c r="J169" s="201" t="s">
        <v>485</v>
      </c>
      <c r="K169" s="201" t="s">
        <v>485</v>
      </c>
      <c r="L169" s="202"/>
      <c r="M169" s="203">
        <v>395447.05513210944</v>
      </c>
      <c r="N169" s="140"/>
      <c r="O169" s="141"/>
      <c r="P169" s="140">
        <f>SUM(P166:P168)</f>
        <v>395186.08633073705</v>
      </c>
    </row>
    <row r="170" spans="1:16" s="146" customFormat="1" ht="12" customHeight="1">
      <c r="B170" s="149" t="s">
        <v>394</v>
      </c>
      <c r="C170" s="142"/>
      <c r="D170" s="150">
        <f>SUM(D166:D168)</f>
        <v>3554.7800000000007</v>
      </c>
      <c r="F170" s="144"/>
      <c r="I170" s="138"/>
      <c r="J170" s="138"/>
      <c r="K170" s="138"/>
      <c r="L170" s="138"/>
      <c r="M170" s="204">
        <f>M168-M169</f>
        <v>-260.96880137245171</v>
      </c>
      <c r="N170" s="140"/>
      <c r="O170" s="141"/>
      <c r="P170" s="140"/>
    </row>
    <row r="171" spans="1:16" ht="6.75" customHeight="1">
      <c r="A171" s="146"/>
      <c r="B171" s="149"/>
    </row>
    <row r="172" spans="1:16" ht="12" customHeight="1">
      <c r="A172" s="191"/>
      <c r="B172" s="149" t="s">
        <v>395</v>
      </c>
      <c r="D172" s="150">
        <f>SUM(D38,D43,D131,D136,D158,D163,D170,D143)</f>
        <v>2298269.0449999999</v>
      </c>
    </row>
    <row r="173" spans="1:16" ht="6.75" customHeight="1">
      <c r="A173" s="191"/>
      <c r="B173" s="191"/>
    </row>
    <row r="174" spans="1:16" ht="7.5" customHeight="1">
      <c r="C174" s="205"/>
      <c r="D174" s="206"/>
    </row>
    <row r="175" spans="1:16">
      <c r="C175" s="205"/>
      <c r="D175" s="207"/>
      <c r="F175" s="184"/>
      <c r="G175" s="184"/>
      <c r="H175" s="184"/>
    </row>
  </sheetData>
  <mergeCells count="2">
    <mergeCell ref="M4:M5"/>
    <mergeCell ref="O4:P4"/>
  </mergeCells>
  <pageMargins left="0.7" right="0.7" top="0.75" bottom="0.75" header="0.3" footer="0.3"/>
  <pageSetup scale="66" orientation="landscape" r:id="rId1"/>
  <rowBreaks count="2" manualBreakCount="2">
    <brk id="45" max="15" man="1"/>
    <brk id="109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FF6431D2DF13141BD2563A55394FBDA" ma:contentTypeVersion="20" ma:contentTypeDescription="" ma:contentTypeScope="" ma:versionID="53bd1d7466c54891221ac71d9d48ee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2022-12-08T08:00:00+00:00</OpenedDate>
    <SignificantOrder xmlns="dc463f71-b30c-4ab2-9473-d307f9d35888">false</SignificantOrder>
    <Date1 xmlns="dc463f71-b30c-4ab2-9473-d307f9d35888">2022-12-08T08:00:00+00:00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EMPIRE DISPOSAL INC.   </CaseCompanyNames>
    <Nickname xmlns="http://schemas.microsoft.com/sharepoint/v3" xsi:nil="true"/>
    <DocketNumber xmlns="dc463f71-b30c-4ab2-9473-d307f9d35888">220911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022119F-FEFE-444C-9630-28D82F4D1C35}"/>
</file>

<file path=customXml/itemProps2.xml><?xml version="1.0" encoding="utf-8"?>
<ds:datastoreItem xmlns:ds="http://schemas.openxmlformats.org/officeDocument/2006/customXml" ds:itemID="{56E2E945-3CFF-4670-B808-D2D89979DF38}"/>
</file>

<file path=customXml/itemProps3.xml><?xml version="1.0" encoding="utf-8"?>
<ds:datastoreItem xmlns:ds="http://schemas.openxmlformats.org/officeDocument/2006/customXml" ds:itemID="{A196A509-2196-413B-B09B-C477F3A7017F}"/>
</file>

<file path=customXml/itemProps4.xml><?xml version="1.0" encoding="utf-8"?>
<ds:datastoreItem xmlns:ds="http://schemas.openxmlformats.org/officeDocument/2006/customXml" ds:itemID="{C37C986F-44EA-40FB-97C1-73E73F4EE1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References</vt:lpstr>
      <vt:lpstr>Whitman DF Calc</vt:lpstr>
      <vt:lpstr>Proposed Rates</vt:lpstr>
      <vt:lpstr>Disposal Schedule</vt:lpstr>
      <vt:lpstr>Whitman Reg - Price Out</vt:lpstr>
      <vt:lpstr>'Disposal Schedule'!Print_Area</vt:lpstr>
      <vt:lpstr>'Proposed Rates'!Print_Area</vt:lpstr>
      <vt:lpstr>'Whitman DF Calc'!Print_Area</vt:lpstr>
      <vt:lpstr>'Whitman Reg - Price Out'!Print_Area</vt:lpstr>
      <vt:lpstr>'Proposed Rates'!Print_Titles</vt:lpstr>
      <vt:lpstr>'Whitman DF Calc'!Print_Titles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Brian Vandenburg</cp:lastModifiedBy>
  <cp:lastPrinted>2022-12-08T18:54:40Z</cp:lastPrinted>
  <dcterms:created xsi:type="dcterms:W3CDTF">2014-11-03T21:22:13Z</dcterms:created>
  <dcterms:modified xsi:type="dcterms:W3CDTF">2022-12-08T20:33:33Z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0x0101006E56B4D1795A2E4DB2F0B01679ED314A007FF6431D2DF13141BD2563A55394FBDA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