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040FDB5-4D41-42F1-A20B-0323D59A9F4C}" xr6:coauthVersionLast="46" xr6:coauthVersionMax="46" xr10:uidLastSave="{00000000-0000-0000-0000-000000000000}"/>
  <bookViews>
    <workbookView xWindow="28680" yWindow="-120" windowWidth="29040" windowHeight="15840" activeTab="4" xr2:uid="{00000000-000D-0000-FFFF-FFFF00000000}"/>
  </bookViews>
  <sheets>
    <sheet name="WA Sch 25" sheetId="7" r:id="rId1"/>
    <sheet name="WA Electric" sheetId="1" r:id="rId2"/>
    <sheet name="ID Sch 25" sheetId="9" r:id="rId3"/>
    <sheet name="ID Electric" sheetId="3" r:id="rId4"/>
    <sheet name="WA Nat Gas" sheetId="4" r:id="rId5"/>
    <sheet name="ID Nat Gas" sheetId="5" r:id="rId6"/>
    <sheet name="OR Nat Gas" sheetId="6" r:id="rId7"/>
  </sheets>
  <externalReferences>
    <externalReference r:id="rId8"/>
    <externalReference r:id="rId9"/>
    <externalReference r:id="rId10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Area" localSheetId="3">'ID Electric'!$A$1:$P$152,'ID Electric'!$R$1:$AH$104</definedName>
    <definedName name="_xlnm.Print_Area" localSheetId="1">'WA Electric'!$A$1:$P$149,'WA Electric'!$R$1:$AH$103</definedName>
    <definedName name="_xlnm.Print_Area" localSheetId="0">'WA Sch 25'!$A$1:$T$113</definedName>
    <definedName name="_xlnm.Print_Titles" localSheetId="3">'ID Electric'!$A:$B,'ID Electric'!$2:$2</definedName>
    <definedName name="_xlnm.Print_Titles" localSheetId="5">'ID Nat Gas'!$A:$B,'ID Nat Gas'!$2:$2</definedName>
    <definedName name="_xlnm.Print_Titles" localSheetId="6">'OR Nat Gas'!$A:$B,'OR Nat Gas'!$2:$2</definedName>
    <definedName name="_xlnm.Print_Titles" localSheetId="1">'WA Electric'!$A:$B,'WA Electric'!$2:$2</definedName>
    <definedName name="_xlnm.Print_Titles" localSheetId="4">'WA Nat Gas'!$A:$B,'WA Nat Gas'!$2:$2</definedName>
    <definedName name="Recover">[3]Macro1!$A$162</definedName>
    <definedName name="Sch25_Annual_excess_kva" localSheetId="0">'WA Sch 25'!$R$69:$R$93</definedName>
    <definedName name="Sch25_Annual_excess_kva">#REF!</definedName>
    <definedName name="Sch25_Annual_kva" localSheetId="0">'WA Sch 25'!$R$42:$R$66</definedName>
    <definedName name="Sch25_Annual_kva">#REF!</definedName>
    <definedName name="Sch25_Annual_kW" localSheetId="0">'WA Sch 25'!$R$69:$R$93</definedName>
    <definedName name="Sch25_Annual_kW">#REF!</definedName>
    <definedName name="Sch25_Annual_kWh" localSheetId="0">'WA Sch 25'!$R$4:$R$38</definedName>
    <definedName name="Sch25_Annual_kWh">#REF!</definedName>
    <definedName name="Sch25_kWh" localSheetId="0">'WA Sch 25'!$F$4:$Q$38</definedName>
    <definedName name="Sch25_kWh">#REF!</definedName>
    <definedName name="Sch25_n" localSheetId="0">'WA Sch 25'!$A$4:$A$38</definedName>
    <definedName name="Sch25_n">#REF!</definedName>
    <definedName name="Sch25_nD" localSheetId="0">'WA Sch 25'!$A$69:$A$93</definedName>
    <definedName name="Sch25_nD">#REF!</definedName>
    <definedName name="SL_RateIncr">'[1]St Lts'!$AD$1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90" i="1" l="1"/>
  <c r="AF90" i="1" s="1"/>
  <c r="AJ86" i="4" l="1"/>
  <c r="AJ85" i="4"/>
  <c r="AJ84" i="4"/>
  <c r="AJ82" i="4"/>
  <c r="AJ81" i="4"/>
  <c r="AE82" i="4" l="1"/>
  <c r="AL82" i="4" s="1"/>
  <c r="R76" i="4"/>
  <c r="S76" i="4" s="1"/>
  <c r="AD3" i="4"/>
  <c r="AE3" i="4"/>
  <c r="S5" i="4"/>
  <c r="S4" i="4"/>
  <c r="S3" i="4"/>
  <c r="AL86" i="4"/>
  <c r="R87" i="1" l="1"/>
  <c r="AD87" i="1" s="1"/>
  <c r="R84" i="1"/>
  <c r="Q47" i="1"/>
  <c r="Q46" i="1"/>
  <c r="Q45" i="1"/>
  <c r="W87" i="1" l="1"/>
  <c r="Z87" i="1"/>
  <c r="T87" i="1"/>
  <c r="AB87" i="1"/>
  <c r="X87" i="1"/>
  <c r="Y87" i="1"/>
  <c r="S87" i="1"/>
  <c r="AA87" i="1"/>
  <c r="U87" i="1"/>
  <c r="AC87" i="1"/>
  <c r="V87" i="1"/>
  <c r="AE87" i="1" l="1"/>
  <c r="G105" i="7" l="1"/>
  <c r="H105" i="7"/>
  <c r="I105" i="7"/>
  <c r="J105" i="7"/>
  <c r="K105" i="7"/>
  <c r="L105" i="7"/>
  <c r="M105" i="7"/>
  <c r="N105" i="7"/>
  <c r="O105" i="7"/>
  <c r="P105" i="7"/>
  <c r="Q105" i="7"/>
  <c r="F105" i="7"/>
  <c r="G103" i="7"/>
  <c r="H103" i="7"/>
  <c r="I103" i="7"/>
  <c r="J103" i="7"/>
  <c r="K103" i="7"/>
  <c r="L103" i="7"/>
  <c r="M103" i="7"/>
  <c r="N103" i="7"/>
  <c r="O103" i="7"/>
  <c r="P103" i="7"/>
  <c r="Q103" i="7"/>
  <c r="F103" i="7"/>
  <c r="H2" i="7"/>
  <c r="I2" i="7" s="1"/>
  <c r="J2" i="7" s="1"/>
  <c r="K2" i="7" s="1"/>
  <c r="L2" i="7" s="1"/>
  <c r="M2" i="7" s="1"/>
  <c r="N2" i="7" s="1"/>
  <c r="O2" i="7" s="1"/>
  <c r="P2" i="7" s="1"/>
  <c r="Q2" i="7" s="1"/>
  <c r="G2" i="7"/>
  <c r="G3" i="7"/>
  <c r="H3" i="7" s="1"/>
  <c r="I3" i="7" s="1"/>
  <c r="J3" i="7" s="1"/>
  <c r="K3" i="7" s="1"/>
  <c r="L3" i="7" s="1"/>
  <c r="M3" i="7" s="1"/>
  <c r="N3" i="7" s="1"/>
  <c r="O3" i="7" s="1"/>
  <c r="P3" i="7" s="1"/>
  <c r="Q3" i="7" s="1"/>
  <c r="N139" i="1"/>
  <c r="O139" i="1" s="1"/>
  <c r="E139" i="1"/>
  <c r="F139" i="1" s="1"/>
  <c r="G139" i="1" s="1"/>
  <c r="H139" i="1" s="1"/>
  <c r="I139" i="1" s="1"/>
  <c r="J139" i="1" s="1"/>
  <c r="K139" i="1" s="1"/>
  <c r="L139" i="1" s="1"/>
  <c r="O138" i="1"/>
  <c r="N138" i="1"/>
  <c r="F138" i="1"/>
  <c r="G138" i="1" s="1"/>
  <c r="H138" i="1" s="1"/>
  <c r="I138" i="1" s="1"/>
  <c r="J138" i="1" s="1"/>
  <c r="K138" i="1" s="1"/>
  <c r="L138" i="1" s="1"/>
  <c r="E138" i="1"/>
  <c r="N137" i="1"/>
  <c r="O137" i="1" s="1"/>
  <c r="E137" i="1"/>
  <c r="F137" i="1" s="1"/>
  <c r="G137" i="1" s="1"/>
  <c r="H137" i="1" s="1"/>
  <c r="I137" i="1" s="1"/>
  <c r="J137" i="1" s="1"/>
  <c r="K137" i="1" s="1"/>
  <c r="L137" i="1" s="1"/>
  <c r="N136" i="1"/>
  <c r="O136" i="1" s="1"/>
  <c r="E136" i="1"/>
  <c r="F136" i="1" s="1"/>
  <c r="G136" i="1" s="1"/>
  <c r="H136" i="1" s="1"/>
  <c r="I136" i="1" s="1"/>
  <c r="J136" i="1" s="1"/>
  <c r="K136" i="1" s="1"/>
  <c r="L136" i="1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F129" i="1"/>
  <c r="G129" i="1" s="1"/>
  <c r="H129" i="1" s="1"/>
  <c r="I129" i="1" s="1"/>
  <c r="J129" i="1" s="1"/>
  <c r="K129" i="1" s="1"/>
  <c r="L129" i="1" s="1"/>
  <c r="M129" i="1" s="1"/>
  <c r="N129" i="1" s="1"/>
  <c r="O129" i="1" s="1"/>
  <c r="E129" i="1"/>
  <c r="N128" i="1"/>
  <c r="O128" i="1" s="1"/>
  <c r="E128" i="1"/>
  <c r="F128" i="1" s="1"/>
  <c r="G128" i="1" s="1"/>
  <c r="H128" i="1" s="1"/>
  <c r="I128" i="1" s="1"/>
  <c r="J128" i="1" s="1"/>
  <c r="K128" i="1" s="1"/>
  <c r="L128" i="1" s="1"/>
  <c r="N123" i="1"/>
  <c r="O123" i="1" s="1"/>
  <c r="E123" i="1"/>
  <c r="F123" i="1" s="1"/>
  <c r="G123" i="1" s="1"/>
  <c r="H123" i="1" s="1"/>
  <c r="I123" i="1" s="1"/>
  <c r="J123" i="1" s="1"/>
  <c r="K123" i="1" s="1"/>
  <c r="L123" i="1" s="1"/>
  <c r="O122" i="1"/>
  <c r="N122" i="1"/>
  <c r="F122" i="1"/>
  <c r="G122" i="1" s="1"/>
  <c r="H122" i="1" s="1"/>
  <c r="I122" i="1" s="1"/>
  <c r="J122" i="1" s="1"/>
  <c r="K122" i="1" s="1"/>
  <c r="L122" i="1" s="1"/>
  <c r="E122" i="1"/>
  <c r="O121" i="1"/>
  <c r="N121" i="1"/>
  <c r="F121" i="1"/>
  <c r="G121" i="1" s="1"/>
  <c r="H121" i="1" s="1"/>
  <c r="I121" i="1" s="1"/>
  <c r="J121" i="1" s="1"/>
  <c r="K121" i="1" s="1"/>
  <c r="L121" i="1" s="1"/>
  <c r="E121" i="1"/>
  <c r="N116" i="1"/>
  <c r="O116" i="1" s="1"/>
  <c r="E116" i="1"/>
  <c r="F116" i="1" s="1"/>
  <c r="G116" i="1" s="1"/>
  <c r="H116" i="1" s="1"/>
  <c r="I116" i="1" s="1"/>
  <c r="J116" i="1" s="1"/>
  <c r="K116" i="1" s="1"/>
  <c r="L116" i="1" s="1"/>
  <c r="N115" i="1"/>
  <c r="O115" i="1" s="1"/>
  <c r="E115" i="1"/>
  <c r="F115" i="1" s="1"/>
  <c r="G115" i="1" s="1"/>
  <c r="H115" i="1" s="1"/>
  <c r="I115" i="1" s="1"/>
  <c r="J115" i="1" s="1"/>
  <c r="K115" i="1" s="1"/>
  <c r="L115" i="1" s="1"/>
  <c r="O111" i="1"/>
  <c r="N111" i="1"/>
  <c r="F111" i="1"/>
  <c r="G111" i="1" s="1"/>
  <c r="H111" i="1" s="1"/>
  <c r="I111" i="1" s="1"/>
  <c r="J111" i="1" s="1"/>
  <c r="K111" i="1" s="1"/>
  <c r="L111" i="1" s="1"/>
  <c r="E111" i="1"/>
  <c r="O110" i="1"/>
  <c r="N110" i="1"/>
  <c r="F110" i="1"/>
  <c r="G110" i="1" s="1"/>
  <c r="H110" i="1" s="1"/>
  <c r="I110" i="1" s="1"/>
  <c r="J110" i="1" s="1"/>
  <c r="K110" i="1" s="1"/>
  <c r="L110" i="1" s="1"/>
  <c r="E110" i="1"/>
  <c r="E94" i="1"/>
  <c r="F94" i="1"/>
  <c r="G94" i="1"/>
  <c r="H94" i="1"/>
  <c r="I94" i="1"/>
  <c r="J94" i="1"/>
  <c r="K94" i="1"/>
  <c r="L94" i="1"/>
  <c r="M94" i="1"/>
  <c r="N94" i="1"/>
  <c r="O94" i="1"/>
  <c r="D94" i="1"/>
  <c r="P87" i="1"/>
  <c r="P86" i="1"/>
  <c r="P85" i="1"/>
  <c r="P84" i="1"/>
  <c r="F34" i="7" l="1"/>
  <c r="R20" i="5" l="1"/>
  <c r="R18" i="5"/>
  <c r="R16" i="5"/>
  <c r="R14" i="5"/>
  <c r="R13" i="5"/>
  <c r="R12" i="5"/>
  <c r="R9" i="5"/>
  <c r="R8" i="5"/>
  <c r="R7" i="5"/>
  <c r="R4" i="5"/>
  <c r="AB95" i="1" l="1"/>
  <c r="R29" i="7" l="1"/>
  <c r="S19" i="4" l="1"/>
  <c r="T19" i="4"/>
  <c r="U19" i="4"/>
  <c r="S20" i="4"/>
  <c r="T20" i="4"/>
  <c r="U20" i="4"/>
  <c r="V20" i="4"/>
  <c r="W20" i="4"/>
  <c r="X20" i="4"/>
  <c r="Y20" i="4"/>
  <c r="Z20" i="4"/>
  <c r="AA20" i="4"/>
  <c r="AB20" i="4"/>
  <c r="AC20" i="4"/>
  <c r="AD20" i="4"/>
  <c r="V19" i="4"/>
  <c r="W19" i="4"/>
  <c r="X19" i="4"/>
  <c r="Y19" i="4"/>
  <c r="Z19" i="4"/>
  <c r="AA19" i="4"/>
  <c r="AB19" i="4"/>
  <c r="AC19" i="4"/>
  <c r="AD19" i="4"/>
  <c r="S14" i="4"/>
  <c r="S13" i="4"/>
  <c r="T14" i="4"/>
  <c r="T13" i="4"/>
  <c r="U14" i="4"/>
  <c r="U13" i="4"/>
  <c r="V14" i="4"/>
  <c r="W14" i="4"/>
  <c r="X14" i="4"/>
  <c r="Y14" i="4"/>
  <c r="Z14" i="4"/>
  <c r="AA14" i="4"/>
  <c r="AB14" i="4"/>
  <c r="AC14" i="4"/>
  <c r="AD14" i="4"/>
  <c r="V13" i="4"/>
  <c r="W13" i="4"/>
  <c r="X13" i="4"/>
  <c r="Y13" i="4"/>
  <c r="Z13" i="4"/>
  <c r="AA13" i="4"/>
  <c r="AB13" i="4"/>
  <c r="AC13" i="4"/>
  <c r="AD13" i="4"/>
  <c r="S4" i="1" l="1"/>
  <c r="P20" i="4" l="1"/>
  <c r="P19" i="4"/>
  <c r="P14" i="4"/>
  <c r="P13" i="4"/>
  <c r="Q54" i="9" l="1"/>
  <c r="P54" i="9"/>
  <c r="O54" i="9"/>
  <c r="N54" i="9"/>
  <c r="M54" i="9"/>
  <c r="L54" i="9"/>
  <c r="K54" i="9"/>
  <c r="J54" i="9"/>
  <c r="I54" i="9"/>
  <c r="H54" i="9"/>
  <c r="G54" i="9"/>
  <c r="F54" i="9"/>
  <c r="E36" i="3"/>
  <c r="F36" i="3"/>
  <c r="F93" i="3" s="1"/>
  <c r="H36" i="3"/>
  <c r="I36" i="3"/>
  <c r="J36" i="3"/>
  <c r="Y36" i="3" s="1"/>
  <c r="Y93" i="3" s="1"/>
  <c r="K36" i="3"/>
  <c r="K93" i="3" s="1"/>
  <c r="L36" i="3"/>
  <c r="L93" i="3" s="1"/>
  <c r="M36" i="3"/>
  <c r="N36" i="3"/>
  <c r="N93" i="3" s="1"/>
  <c r="O36" i="3"/>
  <c r="O93" i="3" s="1"/>
  <c r="D36" i="3"/>
  <c r="D93" i="3" s="1"/>
  <c r="P74" i="3"/>
  <c r="P73" i="3"/>
  <c r="E75" i="3"/>
  <c r="P75" i="3" s="1"/>
  <c r="F75" i="3"/>
  <c r="G75" i="3"/>
  <c r="H75" i="3"/>
  <c r="I75" i="3"/>
  <c r="J75" i="3"/>
  <c r="K75" i="3"/>
  <c r="L75" i="3"/>
  <c r="M75" i="3"/>
  <c r="N75" i="3"/>
  <c r="O75" i="3"/>
  <c r="D75" i="3"/>
  <c r="I39" i="9"/>
  <c r="R39" i="9" s="1"/>
  <c r="H44" i="9"/>
  <c r="I32" i="9"/>
  <c r="H33" i="9"/>
  <c r="I33" i="9"/>
  <c r="J32" i="9"/>
  <c r="G44" i="9"/>
  <c r="I44" i="9"/>
  <c r="J44" i="9"/>
  <c r="K44" i="9"/>
  <c r="L44" i="9"/>
  <c r="M44" i="9"/>
  <c r="N44" i="9"/>
  <c r="O44" i="9"/>
  <c r="P44" i="9"/>
  <c r="Q44" i="9"/>
  <c r="F44" i="9"/>
  <c r="R42" i="9"/>
  <c r="R43" i="9"/>
  <c r="R41" i="9"/>
  <c r="AA36" i="3" l="1"/>
  <c r="AA93" i="3" s="1"/>
  <c r="Z36" i="3"/>
  <c r="Z93" i="3" s="1"/>
  <c r="I93" i="3"/>
  <c r="H93" i="3"/>
  <c r="G36" i="3"/>
  <c r="V36" i="3" s="1"/>
  <c r="V93" i="3" s="1"/>
  <c r="M93" i="3"/>
  <c r="E93" i="3"/>
  <c r="J93" i="3"/>
  <c r="X36" i="3"/>
  <c r="X93" i="3" s="1"/>
  <c r="S36" i="3"/>
  <c r="W36" i="3"/>
  <c r="W93" i="3" s="1"/>
  <c r="AD36" i="3"/>
  <c r="AD93" i="3" s="1"/>
  <c r="G93" i="3"/>
  <c r="AC36" i="3"/>
  <c r="AC93" i="3" s="1"/>
  <c r="U36" i="3"/>
  <c r="U93" i="3" s="1"/>
  <c r="AB36" i="3"/>
  <c r="AB93" i="3" s="1"/>
  <c r="T36" i="3"/>
  <c r="T93" i="3" s="1"/>
  <c r="R44" i="9"/>
  <c r="F36" i="9"/>
  <c r="P93" i="3" l="1"/>
  <c r="P36" i="3"/>
  <c r="AE36" i="3"/>
  <c r="S93" i="3"/>
  <c r="F65" i="7"/>
  <c r="F129" i="7" s="1"/>
  <c r="F68" i="7"/>
  <c r="F69" i="7"/>
  <c r="F70" i="7"/>
  <c r="F71" i="7"/>
  <c r="F72" i="7"/>
  <c r="G32" i="7"/>
  <c r="H32" i="7"/>
  <c r="I32" i="7"/>
  <c r="J32" i="7"/>
  <c r="K32" i="7"/>
  <c r="L32" i="7"/>
  <c r="M32" i="7"/>
  <c r="N32" i="7"/>
  <c r="O32" i="7"/>
  <c r="P32" i="7"/>
  <c r="Q32" i="7"/>
  <c r="F32" i="7"/>
  <c r="AE93" i="3" l="1"/>
  <c r="F23" i="9" l="1"/>
  <c r="G3" i="9" l="1"/>
  <c r="H3" i="9" s="1"/>
  <c r="F27" i="7"/>
  <c r="F33" i="7" s="1"/>
  <c r="G34" i="7" s="1"/>
  <c r="I3" i="9" l="1"/>
  <c r="J3" i="9" s="1"/>
  <c r="K3" i="9" s="1"/>
  <c r="L3" i="9" s="1"/>
  <c r="M3" i="9" s="1"/>
  <c r="N3" i="9" s="1"/>
  <c r="O3" i="9" s="1"/>
  <c r="P3" i="9" s="1"/>
  <c r="Q3" i="9" s="1"/>
  <c r="H46" i="9"/>
  <c r="F37" i="7"/>
  <c r="F38" i="7" s="1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S63" i="7"/>
  <c r="S64" i="7"/>
  <c r="R63" i="7"/>
  <c r="R64" i="7"/>
  <c r="G65" i="7"/>
  <c r="G129" i="7" s="1"/>
  <c r="H65" i="7"/>
  <c r="H129" i="7" s="1"/>
  <c r="I65" i="7"/>
  <c r="I129" i="7" s="1"/>
  <c r="J65" i="7"/>
  <c r="J129" i="7" s="1"/>
  <c r="K65" i="7"/>
  <c r="K129" i="7" s="1"/>
  <c r="L65" i="7"/>
  <c r="L129" i="7" s="1"/>
  <c r="M65" i="7"/>
  <c r="M129" i="7" s="1"/>
  <c r="N65" i="7"/>
  <c r="N129" i="7" s="1"/>
  <c r="O65" i="7"/>
  <c r="O129" i="7" s="1"/>
  <c r="P65" i="7"/>
  <c r="P129" i="7" s="1"/>
  <c r="Q65" i="7"/>
  <c r="Q129" i="7" s="1"/>
  <c r="B63" i="7"/>
  <c r="C63" i="7"/>
  <c r="D63" i="7"/>
  <c r="B64" i="7"/>
  <c r="C64" i="7"/>
  <c r="D64" i="7"/>
  <c r="S25" i="7"/>
  <c r="T25" i="7" s="1"/>
  <c r="S26" i="7"/>
  <c r="T26" i="7" s="1"/>
  <c r="G27" i="7"/>
  <c r="G33" i="7" s="1"/>
  <c r="H34" i="7" s="1"/>
  <c r="H27" i="7"/>
  <c r="I27" i="7"/>
  <c r="J27" i="7"/>
  <c r="K27" i="7"/>
  <c r="L27" i="7"/>
  <c r="M27" i="7"/>
  <c r="N27" i="7"/>
  <c r="O27" i="7"/>
  <c r="P27" i="7"/>
  <c r="Q27" i="7"/>
  <c r="R26" i="7"/>
  <c r="R25" i="7"/>
  <c r="G126" i="7"/>
  <c r="H126" i="7"/>
  <c r="I126" i="7"/>
  <c r="J126" i="7"/>
  <c r="K126" i="7"/>
  <c r="L126" i="7"/>
  <c r="M126" i="7"/>
  <c r="N126" i="7"/>
  <c r="O126" i="7"/>
  <c r="P126" i="7"/>
  <c r="Q126" i="7"/>
  <c r="F126" i="7"/>
  <c r="H33" i="7" l="1"/>
  <c r="I34" i="7" s="1"/>
  <c r="I33" i="7" s="1"/>
  <c r="J34" i="7" s="1"/>
  <c r="J33" i="7" s="1"/>
  <c r="K34" i="7" s="1"/>
  <c r="K33" i="7" s="1"/>
  <c r="L34" i="7" s="1"/>
  <c r="L33" i="7" s="1"/>
  <c r="M34" i="7" s="1"/>
  <c r="M33" i="7" s="1"/>
  <c r="N34" i="7" s="1"/>
  <c r="N33" i="7" s="1"/>
  <c r="O34" i="7" s="1"/>
  <c r="O33" i="7" s="1"/>
  <c r="P34" i="7" s="1"/>
  <c r="P33" i="7" s="1"/>
  <c r="Q34" i="7" s="1"/>
  <c r="Q33" i="7" s="1"/>
  <c r="R91" i="7"/>
  <c r="R90" i="7"/>
  <c r="U26" i="7"/>
  <c r="U25" i="7"/>
  <c r="G37" i="7" l="1"/>
  <c r="H37" i="7" l="1"/>
  <c r="I37" i="7" l="1"/>
  <c r="P45" i="6"/>
  <c r="P46" i="6"/>
  <c r="P47" i="6"/>
  <c r="J37" i="7" l="1"/>
  <c r="E39" i="3"/>
  <c r="F39" i="3"/>
  <c r="G39" i="3"/>
  <c r="H39" i="3"/>
  <c r="I39" i="3"/>
  <c r="J39" i="3"/>
  <c r="K39" i="3"/>
  <c r="L39" i="3"/>
  <c r="M39" i="3"/>
  <c r="N39" i="3"/>
  <c r="O39" i="3"/>
  <c r="D39" i="3"/>
  <c r="E34" i="3"/>
  <c r="F34" i="3"/>
  <c r="G34" i="3"/>
  <c r="H34" i="3"/>
  <c r="I34" i="3"/>
  <c r="J34" i="3"/>
  <c r="K34" i="3"/>
  <c r="L34" i="3"/>
  <c r="M34" i="3"/>
  <c r="N34" i="3"/>
  <c r="O34" i="3"/>
  <c r="G101" i="9"/>
  <c r="H101" i="9"/>
  <c r="I101" i="9"/>
  <c r="J101" i="9"/>
  <c r="K101" i="9"/>
  <c r="L101" i="9"/>
  <c r="M101" i="9"/>
  <c r="N101" i="9"/>
  <c r="O101" i="9"/>
  <c r="P101" i="9"/>
  <c r="Q101" i="9"/>
  <c r="F101" i="9"/>
  <c r="R101" i="9" s="1"/>
  <c r="D34" i="3"/>
  <c r="E28" i="3"/>
  <c r="F28" i="3"/>
  <c r="G28" i="3"/>
  <c r="H28" i="3"/>
  <c r="I28" i="3"/>
  <c r="J28" i="3"/>
  <c r="K28" i="3"/>
  <c r="L28" i="3"/>
  <c r="M28" i="3"/>
  <c r="N28" i="3"/>
  <c r="O28" i="3"/>
  <c r="I29" i="3"/>
  <c r="D28" i="3"/>
  <c r="R99" i="9"/>
  <c r="G105" i="9"/>
  <c r="E29" i="3" s="1"/>
  <c r="H105" i="9"/>
  <c r="F29" i="3" s="1"/>
  <c r="I105" i="9"/>
  <c r="G29" i="3" s="1"/>
  <c r="J105" i="9"/>
  <c r="H29" i="3" s="1"/>
  <c r="K105" i="9"/>
  <c r="L105" i="9"/>
  <c r="J29" i="3" s="1"/>
  <c r="M105" i="9"/>
  <c r="K29" i="3" s="1"/>
  <c r="N105" i="9"/>
  <c r="L29" i="3" s="1"/>
  <c r="O105" i="9"/>
  <c r="M29" i="3" s="1"/>
  <c r="P105" i="9"/>
  <c r="N29" i="3" s="1"/>
  <c r="Q105" i="9"/>
  <c r="O29" i="3" s="1"/>
  <c r="F105" i="9"/>
  <c r="D29" i="3" s="1"/>
  <c r="R104" i="9"/>
  <c r="G84" i="9"/>
  <c r="H84" i="9"/>
  <c r="I84" i="9"/>
  <c r="J84" i="9"/>
  <c r="K84" i="9"/>
  <c r="L84" i="9"/>
  <c r="M84" i="9"/>
  <c r="N84" i="9"/>
  <c r="O84" i="9"/>
  <c r="P84" i="9"/>
  <c r="Q84" i="9"/>
  <c r="F84" i="9"/>
  <c r="G72" i="9"/>
  <c r="H72" i="9"/>
  <c r="I72" i="9"/>
  <c r="J72" i="9"/>
  <c r="K72" i="9"/>
  <c r="L72" i="9"/>
  <c r="M72" i="9"/>
  <c r="N72" i="9"/>
  <c r="O72" i="9"/>
  <c r="P72" i="9"/>
  <c r="Q72" i="9"/>
  <c r="G73" i="9"/>
  <c r="H73" i="9"/>
  <c r="I73" i="9"/>
  <c r="J73" i="9"/>
  <c r="K73" i="9"/>
  <c r="L73" i="9"/>
  <c r="M73" i="9"/>
  <c r="N73" i="9"/>
  <c r="O73" i="9"/>
  <c r="P73" i="9"/>
  <c r="Q73" i="9"/>
  <c r="G74" i="9"/>
  <c r="H74" i="9"/>
  <c r="I74" i="9"/>
  <c r="J74" i="9"/>
  <c r="K74" i="9"/>
  <c r="L74" i="9"/>
  <c r="M74" i="9"/>
  <c r="N74" i="9"/>
  <c r="O74" i="9"/>
  <c r="P74" i="9"/>
  <c r="Q74" i="9"/>
  <c r="F73" i="9"/>
  <c r="F74" i="9"/>
  <c r="G16" i="9"/>
  <c r="G106" i="9" s="1"/>
  <c r="H16" i="9"/>
  <c r="I16" i="9"/>
  <c r="J16" i="9"/>
  <c r="K16" i="9"/>
  <c r="K106" i="9" s="1"/>
  <c r="K107" i="9" s="1"/>
  <c r="L16" i="9"/>
  <c r="M16" i="9"/>
  <c r="N16" i="9"/>
  <c r="O16" i="9"/>
  <c r="P16" i="9"/>
  <c r="Q16" i="9"/>
  <c r="F16" i="9"/>
  <c r="K37" i="7" l="1"/>
  <c r="R73" i="9"/>
  <c r="R74" i="9"/>
  <c r="F106" i="9"/>
  <c r="D30" i="3" s="1"/>
  <c r="R105" i="9"/>
  <c r="O106" i="9"/>
  <c r="O107" i="9" s="1"/>
  <c r="G107" i="9"/>
  <c r="E30" i="3"/>
  <c r="P106" i="9"/>
  <c r="H106" i="9"/>
  <c r="L106" i="9"/>
  <c r="I30" i="3"/>
  <c r="N106" i="9"/>
  <c r="L30" i="3" s="1"/>
  <c r="J106" i="9"/>
  <c r="Q106" i="9"/>
  <c r="M106" i="9"/>
  <c r="K30" i="3" s="1"/>
  <c r="I106" i="9"/>
  <c r="R19" i="9"/>
  <c r="R20" i="9"/>
  <c r="T57" i="9"/>
  <c r="T58" i="9"/>
  <c r="T48" i="9"/>
  <c r="L37" i="7" l="1"/>
  <c r="F107" i="9"/>
  <c r="M30" i="3"/>
  <c r="R106" i="9"/>
  <c r="R107" i="9" s="1"/>
  <c r="M107" i="9"/>
  <c r="Q107" i="9"/>
  <c r="O30" i="3"/>
  <c r="N107" i="9"/>
  <c r="J107" i="9"/>
  <c r="H30" i="3"/>
  <c r="P107" i="9"/>
  <c r="N30" i="3"/>
  <c r="I107" i="9"/>
  <c r="G30" i="3"/>
  <c r="L107" i="9"/>
  <c r="J30" i="3"/>
  <c r="H107" i="9"/>
  <c r="F30" i="3"/>
  <c r="T14" i="9"/>
  <c r="U14" i="9" s="1"/>
  <c r="R14" i="9"/>
  <c r="R57" i="9"/>
  <c r="D73" i="9"/>
  <c r="B57" i="9"/>
  <c r="B73" i="9" s="1"/>
  <c r="C57" i="9"/>
  <c r="C73" i="9" s="1"/>
  <c r="D57" i="9"/>
  <c r="B58" i="9"/>
  <c r="B74" i="9" s="1"/>
  <c r="C58" i="9"/>
  <c r="C74" i="9" s="1"/>
  <c r="D58" i="9"/>
  <c r="D74" i="9" s="1"/>
  <c r="F97" i="9"/>
  <c r="D37" i="3" s="1"/>
  <c r="F98" i="9"/>
  <c r="D38" i="3" s="1"/>
  <c r="D96" i="9"/>
  <c r="C96" i="9"/>
  <c r="B68" i="9"/>
  <c r="C68" i="9"/>
  <c r="C69" i="9"/>
  <c r="D69" i="9"/>
  <c r="B48" i="9"/>
  <c r="B64" i="9" s="1"/>
  <c r="C48" i="9"/>
  <c r="C64" i="9" s="1"/>
  <c r="D48" i="9"/>
  <c r="D64" i="9" s="1"/>
  <c r="B49" i="9"/>
  <c r="B65" i="9" s="1"/>
  <c r="C49" i="9"/>
  <c r="C65" i="9" s="1"/>
  <c r="D49" i="9"/>
  <c r="D65" i="9" s="1"/>
  <c r="B50" i="9"/>
  <c r="B66" i="9" s="1"/>
  <c r="C50" i="9"/>
  <c r="C66" i="9" s="1"/>
  <c r="D50" i="9"/>
  <c r="D66" i="9" s="1"/>
  <c r="B51" i="9"/>
  <c r="B67" i="9" s="1"/>
  <c r="C51" i="9"/>
  <c r="C67" i="9" s="1"/>
  <c r="D51" i="9"/>
  <c r="D67" i="9" s="1"/>
  <c r="B52" i="9"/>
  <c r="C52" i="9"/>
  <c r="D52" i="9"/>
  <c r="D68" i="9" s="1"/>
  <c r="B53" i="9"/>
  <c r="B69" i="9" s="1"/>
  <c r="C53" i="9"/>
  <c r="D53" i="9"/>
  <c r="B54" i="9"/>
  <c r="B70" i="9" s="1"/>
  <c r="C54" i="9"/>
  <c r="C70" i="9" s="1"/>
  <c r="D54" i="9"/>
  <c r="D70" i="9" s="1"/>
  <c r="B55" i="9"/>
  <c r="B71" i="9" s="1"/>
  <c r="C55" i="9"/>
  <c r="C71" i="9" s="1"/>
  <c r="D55" i="9"/>
  <c r="D71" i="9" s="1"/>
  <c r="B56" i="9"/>
  <c r="B72" i="9" s="1"/>
  <c r="C56" i="9"/>
  <c r="C72" i="9" s="1"/>
  <c r="D56" i="9"/>
  <c r="D72" i="9" s="1"/>
  <c r="D47" i="9"/>
  <c r="D63" i="9" s="1"/>
  <c r="B47" i="9"/>
  <c r="B63" i="9" s="1"/>
  <c r="C47" i="9"/>
  <c r="C63" i="9" s="1"/>
  <c r="Q98" i="9"/>
  <c r="O38" i="3" s="1"/>
  <c r="P98" i="9"/>
  <c r="N38" i="3" s="1"/>
  <c r="O98" i="9"/>
  <c r="M38" i="3" s="1"/>
  <c r="N98" i="9"/>
  <c r="L38" i="3" s="1"/>
  <c r="M98" i="9"/>
  <c r="K38" i="3" s="1"/>
  <c r="L98" i="9"/>
  <c r="J38" i="3" s="1"/>
  <c r="K98" i="9"/>
  <c r="I38" i="3" s="1"/>
  <c r="J98" i="9"/>
  <c r="H38" i="3" s="1"/>
  <c r="I98" i="9"/>
  <c r="G38" i="3" s="1"/>
  <c r="H98" i="9"/>
  <c r="F38" i="3" s="1"/>
  <c r="G98" i="9"/>
  <c r="E38" i="3" s="1"/>
  <c r="Q97" i="9"/>
  <c r="O37" i="3" s="1"/>
  <c r="P97" i="9"/>
  <c r="N37" i="3" s="1"/>
  <c r="O97" i="9"/>
  <c r="M37" i="3" s="1"/>
  <c r="N97" i="9"/>
  <c r="L37" i="3" s="1"/>
  <c r="M97" i="9"/>
  <c r="K37" i="3" s="1"/>
  <c r="L97" i="9"/>
  <c r="J37" i="3" s="1"/>
  <c r="K97" i="9"/>
  <c r="I37" i="3" s="1"/>
  <c r="J97" i="9"/>
  <c r="H37" i="3" s="1"/>
  <c r="I97" i="9"/>
  <c r="G37" i="3" s="1"/>
  <c r="H97" i="9"/>
  <c r="F37" i="3" s="1"/>
  <c r="G97" i="9"/>
  <c r="E37" i="3" s="1"/>
  <c r="R96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O33" i="3" s="1"/>
  <c r="P89" i="9"/>
  <c r="N33" i="3" s="1"/>
  <c r="O89" i="9"/>
  <c r="M33" i="3" s="1"/>
  <c r="N89" i="9"/>
  <c r="L33" i="3" s="1"/>
  <c r="M89" i="9"/>
  <c r="K33" i="3" s="1"/>
  <c r="L89" i="9"/>
  <c r="J33" i="3" s="1"/>
  <c r="K89" i="9"/>
  <c r="I33" i="3" s="1"/>
  <c r="J89" i="9"/>
  <c r="H33" i="3" s="1"/>
  <c r="I89" i="9"/>
  <c r="G33" i="3" s="1"/>
  <c r="H89" i="9"/>
  <c r="F33" i="3" s="1"/>
  <c r="G89" i="9"/>
  <c r="E33" i="3" s="1"/>
  <c r="F89" i="9"/>
  <c r="D33" i="3" s="1"/>
  <c r="R88" i="9"/>
  <c r="R87" i="9"/>
  <c r="R86" i="9"/>
  <c r="Q83" i="9"/>
  <c r="P83" i="9"/>
  <c r="O83" i="9"/>
  <c r="N83" i="9"/>
  <c r="M83" i="9"/>
  <c r="L83" i="9"/>
  <c r="K83" i="9"/>
  <c r="J83" i="9"/>
  <c r="I83" i="9"/>
  <c r="H83" i="9"/>
  <c r="G83" i="9"/>
  <c r="R81" i="9"/>
  <c r="R80" i="9"/>
  <c r="Q79" i="9"/>
  <c r="P79" i="9"/>
  <c r="O79" i="9"/>
  <c r="N79" i="9"/>
  <c r="M79" i="9"/>
  <c r="L79" i="9"/>
  <c r="K79" i="9"/>
  <c r="J79" i="9"/>
  <c r="I79" i="9"/>
  <c r="H79" i="9"/>
  <c r="G79" i="9"/>
  <c r="F79" i="9"/>
  <c r="R77" i="9"/>
  <c r="E74" i="9"/>
  <c r="F72" i="9"/>
  <c r="E72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Q65" i="9"/>
  <c r="P65" i="9"/>
  <c r="O65" i="9"/>
  <c r="N65" i="9"/>
  <c r="M65" i="9"/>
  <c r="L65" i="9"/>
  <c r="K65" i="9"/>
  <c r="J65" i="9"/>
  <c r="I65" i="9"/>
  <c r="G65" i="9"/>
  <c r="E65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Q62" i="9"/>
  <c r="P62" i="9"/>
  <c r="O62" i="9"/>
  <c r="N62" i="9"/>
  <c r="M62" i="9"/>
  <c r="L62" i="9"/>
  <c r="K62" i="9"/>
  <c r="J62" i="9"/>
  <c r="I62" i="9"/>
  <c r="H62" i="9"/>
  <c r="G62" i="9"/>
  <c r="F62" i="9"/>
  <c r="R61" i="9"/>
  <c r="Q59" i="9"/>
  <c r="P59" i="9"/>
  <c r="N59" i="9"/>
  <c r="L59" i="9"/>
  <c r="K59" i="9"/>
  <c r="K92" i="9" s="1"/>
  <c r="J59" i="9"/>
  <c r="I59" i="9"/>
  <c r="I92" i="9" s="1"/>
  <c r="H59" i="9"/>
  <c r="G59" i="9"/>
  <c r="G92" i="9" s="1"/>
  <c r="M59" i="9"/>
  <c r="M92" i="9" s="1"/>
  <c r="O59" i="9"/>
  <c r="O92" i="9" s="1"/>
  <c r="T55" i="9"/>
  <c r="R55" i="9"/>
  <c r="T54" i="9"/>
  <c r="R54" i="9"/>
  <c r="R90" i="9" s="1"/>
  <c r="T53" i="9"/>
  <c r="R53" i="9"/>
  <c r="T52" i="9"/>
  <c r="R52" i="9"/>
  <c r="T51" i="9"/>
  <c r="R51" i="9"/>
  <c r="T50" i="9"/>
  <c r="U50" i="9" s="1"/>
  <c r="R50" i="9"/>
  <c r="T49" i="9"/>
  <c r="H65" i="9"/>
  <c r="F59" i="9"/>
  <c r="R48" i="9"/>
  <c r="T47" i="9"/>
  <c r="R47" i="9"/>
  <c r="Q46" i="9"/>
  <c r="U48" i="9" s="1"/>
  <c r="P46" i="9"/>
  <c r="O46" i="9"/>
  <c r="N46" i="9"/>
  <c r="M46" i="9"/>
  <c r="U57" i="9" s="1"/>
  <c r="L46" i="9"/>
  <c r="K46" i="9"/>
  <c r="J46" i="9"/>
  <c r="I46" i="9"/>
  <c r="U58" i="9" s="1"/>
  <c r="G46" i="9"/>
  <c r="F46" i="9"/>
  <c r="R45" i="9"/>
  <c r="U53" i="9" l="1"/>
  <c r="M37" i="7"/>
  <c r="U54" i="9"/>
  <c r="H108" i="9"/>
  <c r="F32" i="3" s="1"/>
  <c r="H92" i="9"/>
  <c r="J108" i="9"/>
  <c r="H32" i="3" s="1"/>
  <c r="J92" i="9"/>
  <c r="F108" i="9"/>
  <c r="F92" i="9"/>
  <c r="L108" i="9"/>
  <c r="J32" i="3" s="1"/>
  <c r="L92" i="9"/>
  <c r="R71" i="9"/>
  <c r="N108" i="9"/>
  <c r="L32" i="3" s="1"/>
  <c r="N92" i="9"/>
  <c r="P108" i="9"/>
  <c r="N32" i="3" s="1"/>
  <c r="P92" i="9"/>
  <c r="Q92" i="9"/>
  <c r="U49" i="9"/>
  <c r="U52" i="9"/>
  <c r="U47" i="9"/>
  <c r="U51" i="9"/>
  <c r="U55" i="9"/>
  <c r="R67" i="9"/>
  <c r="P75" i="9"/>
  <c r="I108" i="9"/>
  <c r="G32" i="3" s="1"/>
  <c r="K108" i="9"/>
  <c r="I32" i="3" s="1"/>
  <c r="Q108" i="9"/>
  <c r="O32" i="3" s="1"/>
  <c r="J75" i="9"/>
  <c r="N75" i="9"/>
  <c r="I75" i="9"/>
  <c r="Q75" i="9"/>
  <c r="Q109" i="9" s="1"/>
  <c r="O31" i="3" s="1"/>
  <c r="R68" i="9"/>
  <c r="H75" i="9"/>
  <c r="R63" i="9"/>
  <c r="R69" i="9"/>
  <c r="L75" i="9"/>
  <c r="G75" i="9"/>
  <c r="K75" i="9"/>
  <c r="R64" i="9"/>
  <c r="R66" i="9"/>
  <c r="R70" i="9"/>
  <c r="G108" i="9"/>
  <c r="E32" i="3" s="1"/>
  <c r="R97" i="9"/>
  <c r="R98" i="9"/>
  <c r="R89" i="9"/>
  <c r="M108" i="9"/>
  <c r="K32" i="3" s="1"/>
  <c r="O108" i="9"/>
  <c r="M32" i="3" s="1"/>
  <c r="R72" i="9"/>
  <c r="M75" i="9"/>
  <c r="R56" i="9"/>
  <c r="F65" i="9"/>
  <c r="R49" i="9"/>
  <c r="T56" i="9"/>
  <c r="U56" i="9" s="1"/>
  <c r="R58" i="9"/>
  <c r="N37" i="7" l="1"/>
  <c r="M76" i="9"/>
  <c r="M109" i="9"/>
  <c r="K31" i="3" s="1"/>
  <c r="H76" i="9"/>
  <c r="H109" i="9"/>
  <c r="F31" i="3" s="1"/>
  <c r="Q76" i="9"/>
  <c r="P76" i="9"/>
  <c r="P109" i="9"/>
  <c r="N31" i="3" s="1"/>
  <c r="R92" i="9"/>
  <c r="G76" i="9"/>
  <c r="G109" i="9"/>
  <c r="E31" i="3" s="1"/>
  <c r="N76" i="9"/>
  <c r="N109" i="9"/>
  <c r="L31" i="3" s="1"/>
  <c r="R108" i="9"/>
  <c r="D32" i="3"/>
  <c r="K76" i="9"/>
  <c r="K109" i="9"/>
  <c r="I31" i="3" s="1"/>
  <c r="I76" i="9"/>
  <c r="I109" i="9"/>
  <c r="G31" i="3" s="1"/>
  <c r="L76" i="9"/>
  <c r="L109" i="9"/>
  <c r="J31" i="3" s="1"/>
  <c r="J76" i="9"/>
  <c r="J109" i="9"/>
  <c r="H31" i="3" s="1"/>
  <c r="O75" i="9"/>
  <c r="R59" i="9"/>
  <c r="F75" i="9"/>
  <c r="F109" i="9" s="1"/>
  <c r="R65" i="9"/>
  <c r="O37" i="7" l="1"/>
  <c r="D31" i="3"/>
  <c r="O76" i="9"/>
  <c r="O109" i="9"/>
  <c r="M31" i="3" s="1"/>
  <c r="R75" i="9"/>
  <c r="F76" i="9"/>
  <c r="P37" i="7" l="1"/>
  <c r="Q37" i="7"/>
  <c r="R109" i="9"/>
  <c r="Q34" i="9"/>
  <c r="P34" i="9"/>
  <c r="O34" i="9"/>
  <c r="N34" i="9"/>
  <c r="M34" i="9"/>
  <c r="L34" i="9"/>
  <c r="K34" i="9"/>
  <c r="J34" i="9"/>
  <c r="I34" i="9"/>
  <c r="H34" i="9"/>
  <c r="G34" i="9"/>
  <c r="F34" i="9"/>
  <c r="R33" i="9"/>
  <c r="R32" i="9"/>
  <c r="R31" i="9"/>
  <c r="Q29" i="9"/>
  <c r="Q100" i="9" s="1"/>
  <c r="O35" i="3" s="1"/>
  <c r="P29" i="9"/>
  <c r="P100" i="9" s="1"/>
  <c r="N35" i="3" s="1"/>
  <c r="O29" i="9"/>
  <c r="O100" i="9" s="1"/>
  <c r="M35" i="3" s="1"/>
  <c r="N29" i="9"/>
  <c r="N100" i="9" s="1"/>
  <c r="L35" i="3" s="1"/>
  <c r="M29" i="9"/>
  <c r="M100" i="9" s="1"/>
  <c r="K35" i="3" s="1"/>
  <c r="L29" i="9"/>
  <c r="L100" i="9" s="1"/>
  <c r="J35" i="3" s="1"/>
  <c r="K29" i="9"/>
  <c r="J29" i="9"/>
  <c r="I29" i="9"/>
  <c r="I100" i="9" s="1"/>
  <c r="G35" i="3" s="1"/>
  <c r="H29" i="9"/>
  <c r="H100" i="9" s="1"/>
  <c r="F35" i="3" s="1"/>
  <c r="G29" i="9"/>
  <c r="G100" i="9" s="1"/>
  <c r="E35" i="3" s="1"/>
  <c r="F29" i="9"/>
  <c r="R28" i="9"/>
  <c r="T28" i="9" s="1"/>
  <c r="R27" i="9"/>
  <c r="T27" i="9" s="1"/>
  <c r="Q21" i="9"/>
  <c r="M21" i="9"/>
  <c r="I21" i="9"/>
  <c r="P21" i="9"/>
  <c r="O21" i="9"/>
  <c r="N21" i="9"/>
  <c r="L21" i="9"/>
  <c r="K21" i="9"/>
  <c r="J21" i="9"/>
  <c r="H21" i="9"/>
  <c r="G21" i="9"/>
  <c r="R18" i="9"/>
  <c r="T15" i="9"/>
  <c r="U15" i="9" s="1"/>
  <c r="R15" i="9"/>
  <c r="T12" i="9"/>
  <c r="U12" i="9" s="1"/>
  <c r="R12" i="9"/>
  <c r="T11" i="9"/>
  <c r="U11" i="9" s="1"/>
  <c r="R11" i="9"/>
  <c r="T10" i="9"/>
  <c r="U10" i="9" s="1"/>
  <c r="R10" i="9"/>
  <c r="T9" i="9"/>
  <c r="U9" i="9" s="1"/>
  <c r="R9" i="9"/>
  <c r="T8" i="9"/>
  <c r="U8" i="9" s="1"/>
  <c r="R8" i="9"/>
  <c r="T7" i="9"/>
  <c r="U7" i="9" s="1"/>
  <c r="R7" i="9"/>
  <c r="T6" i="9"/>
  <c r="U6" i="9" s="1"/>
  <c r="R6" i="9"/>
  <c r="T5" i="9"/>
  <c r="U5" i="9" s="1"/>
  <c r="R5" i="9"/>
  <c r="T4" i="9"/>
  <c r="R4" i="9"/>
  <c r="U1" i="9"/>
  <c r="R34" i="9" l="1"/>
  <c r="J100" i="9"/>
  <c r="H35" i="3" s="1"/>
  <c r="K100" i="9"/>
  <c r="I35" i="3" s="1"/>
  <c r="F100" i="9"/>
  <c r="F35" i="9"/>
  <c r="R21" i="9"/>
  <c r="R84" i="9"/>
  <c r="R29" i="9"/>
  <c r="T29" i="9" s="1"/>
  <c r="U4" i="9"/>
  <c r="R13" i="9"/>
  <c r="F21" i="9"/>
  <c r="F22" i="9" s="1"/>
  <c r="T13" i="9"/>
  <c r="U13" i="9" s="1"/>
  <c r="D35" i="3" l="1"/>
  <c r="R100" i="9"/>
  <c r="R16" i="9"/>
  <c r="G36" i="9"/>
  <c r="F37" i="9"/>
  <c r="T16" i="9"/>
  <c r="U16" i="9"/>
  <c r="G35" i="9" l="1"/>
  <c r="U17" i="9"/>
  <c r="G23" i="9"/>
  <c r="F24" i="9"/>
  <c r="G37" i="9" l="1"/>
  <c r="H36" i="9"/>
  <c r="G22" i="9"/>
  <c r="H35" i="9" l="1"/>
  <c r="H23" i="9"/>
  <c r="G24" i="9"/>
  <c r="I36" i="9" l="1"/>
  <c r="H37" i="9"/>
  <c r="H22" i="9"/>
  <c r="I35" i="9" l="1"/>
  <c r="I23" i="9"/>
  <c r="H24" i="9"/>
  <c r="J36" i="9" l="1"/>
  <c r="J35" i="9" s="1"/>
  <c r="I37" i="9"/>
  <c r="I22" i="9"/>
  <c r="J23" i="9" l="1"/>
  <c r="I24" i="9"/>
  <c r="K36" i="9" l="1"/>
  <c r="K35" i="9" s="1"/>
  <c r="J37" i="9"/>
  <c r="J22" i="9"/>
  <c r="K23" i="9" l="1"/>
  <c r="J24" i="9"/>
  <c r="K37" i="9" l="1"/>
  <c r="L36" i="9"/>
  <c r="L35" i="9" s="1"/>
  <c r="K22" i="9"/>
  <c r="M36" i="9" l="1"/>
  <c r="M35" i="9" s="1"/>
  <c r="L37" i="9"/>
  <c r="L23" i="9"/>
  <c r="L22" i="9" s="1"/>
  <c r="K24" i="9"/>
  <c r="N36" i="9" l="1"/>
  <c r="N35" i="9" s="1"/>
  <c r="M37" i="9"/>
  <c r="M23" i="9"/>
  <c r="M22" i="9" s="1"/>
  <c r="L24" i="9"/>
  <c r="O36" i="9" l="1"/>
  <c r="O35" i="9" s="1"/>
  <c r="N37" i="9"/>
  <c r="N23" i="9"/>
  <c r="N22" i="9" s="1"/>
  <c r="M24" i="9"/>
  <c r="P36" i="9" l="1"/>
  <c r="P35" i="9" s="1"/>
  <c r="O37" i="9"/>
  <c r="O23" i="9"/>
  <c r="O22" i="9" s="1"/>
  <c r="N24" i="9"/>
  <c r="Q36" i="9" l="1"/>
  <c r="P37" i="9"/>
  <c r="P23" i="9"/>
  <c r="P22" i="9" s="1"/>
  <c r="O24" i="9"/>
  <c r="Q35" i="9" l="1"/>
  <c r="R36" i="9"/>
  <c r="Q23" i="9"/>
  <c r="P24" i="9"/>
  <c r="Q37" i="9" l="1"/>
  <c r="R35" i="9"/>
  <c r="R37" i="9" s="1"/>
  <c r="Q22" i="9"/>
  <c r="R23" i="9"/>
  <c r="Q24" i="9" l="1"/>
  <c r="R22" i="9"/>
  <c r="R24" i="9" s="1"/>
  <c r="N92" i="3" l="1"/>
  <c r="D92" i="3"/>
  <c r="P70" i="3"/>
  <c r="P71" i="3"/>
  <c r="E72" i="3"/>
  <c r="E92" i="3" s="1"/>
  <c r="F72" i="3"/>
  <c r="F92" i="3" s="1"/>
  <c r="G72" i="3"/>
  <c r="G92" i="3" s="1"/>
  <c r="H72" i="3"/>
  <c r="H92" i="3" s="1"/>
  <c r="H103" i="3" s="1"/>
  <c r="I72" i="3"/>
  <c r="J72" i="3"/>
  <c r="J92" i="3" s="1"/>
  <c r="K72" i="3"/>
  <c r="K92" i="3" s="1"/>
  <c r="L72" i="3"/>
  <c r="L92" i="3" s="1"/>
  <c r="M72" i="3"/>
  <c r="M92" i="3" s="1"/>
  <c r="N72" i="3"/>
  <c r="O72" i="3"/>
  <c r="O92" i="3" s="1"/>
  <c r="D72" i="3"/>
  <c r="I92" i="3" l="1"/>
  <c r="P72" i="3"/>
  <c r="T38" i="3"/>
  <c r="T39" i="3"/>
  <c r="S38" i="3"/>
  <c r="AD37" i="3"/>
  <c r="AD38" i="3"/>
  <c r="AD39" i="3"/>
  <c r="AD40" i="3"/>
  <c r="AD41" i="3"/>
  <c r="AD42" i="3"/>
  <c r="AD43" i="3"/>
  <c r="AD45" i="3"/>
  <c r="AD46" i="3"/>
  <c r="AD47" i="3"/>
  <c r="AD48" i="3"/>
  <c r="T35" i="3"/>
  <c r="T70" i="3" s="1"/>
  <c r="U71" i="3" s="1"/>
  <c r="U35" i="3"/>
  <c r="U70" i="3" s="1"/>
  <c r="V71" i="3" s="1"/>
  <c r="V35" i="3"/>
  <c r="V70" i="3" s="1"/>
  <c r="W71" i="3" s="1"/>
  <c r="W35" i="3"/>
  <c r="W70" i="3" s="1"/>
  <c r="X71" i="3" s="1"/>
  <c r="X35" i="3"/>
  <c r="X70" i="3" s="1"/>
  <c r="Y71" i="3" s="1"/>
  <c r="Y35" i="3"/>
  <c r="Y70" i="3" s="1"/>
  <c r="Z71" i="3" s="1"/>
  <c r="Z35" i="3"/>
  <c r="Z70" i="3" s="1"/>
  <c r="AA71" i="3" s="1"/>
  <c r="AA35" i="3"/>
  <c r="AA70" i="3" s="1"/>
  <c r="AB71" i="3" s="1"/>
  <c r="AB35" i="3"/>
  <c r="AB70" i="3" s="1"/>
  <c r="AC71" i="3" s="1"/>
  <c r="AC35" i="3"/>
  <c r="AC70" i="3" s="1"/>
  <c r="AD71" i="3" s="1"/>
  <c r="T37" i="3"/>
  <c r="U37" i="3"/>
  <c r="V37" i="3"/>
  <c r="W37" i="3"/>
  <c r="X37" i="3"/>
  <c r="Y37" i="3"/>
  <c r="Z37" i="3"/>
  <c r="AA37" i="3"/>
  <c r="AB37" i="3"/>
  <c r="AC37" i="3"/>
  <c r="U38" i="3"/>
  <c r="V38" i="3"/>
  <c r="W38" i="3"/>
  <c r="X38" i="3"/>
  <c r="Y38" i="3"/>
  <c r="Z38" i="3"/>
  <c r="AA38" i="3"/>
  <c r="AB38" i="3"/>
  <c r="AC38" i="3"/>
  <c r="U39" i="3"/>
  <c r="V39" i="3"/>
  <c r="W39" i="3"/>
  <c r="X39" i="3"/>
  <c r="Y39" i="3"/>
  <c r="Z39" i="3"/>
  <c r="AA39" i="3"/>
  <c r="AB39" i="3"/>
  <c r="AC39" i="3"/>
  <c r="T40" i="3"/>
  <c r="U40" i="3"/>
  <c r="V40" i="3"/>
  <c r="W40" i="3"/>
  <c r="X40" i="3"/>
  <c r="Y40" i="3"/>
  <c r="Z40" i="3"/>
  <c r="AA40" i="3"/>
  <c r="AB40" i="3"/>
  <c r="AC40" i="3"/>
  <c r="T41" i="3"/>
  <c r="U41" i="3"/>
  <c r="V41" i="3"/>
  <c r="W41" i="3"/>
  <c r="X41" i="3"/>
  <c r="Y41" i="3"/>
  <c r="Z41" i="3"/>
  <c r="AA41" i="3"/>
  <c r="AB41" i="3"/>
  <c r="AC41" i="3"/>
  <c r="T42" i="3"/>
  <c r="U42" i="3"/>
  <c r="V42" i="3"/>
  <c r="W42" i="3"/>
  <c r="X42" i="3"/>
  <c r="Y42" i="3"/>
  <c r="Z42" i="3"/>
  <c r="AA42" i="3"/>
  <c r="AB42" i="3"/>
  <c r="AC42" i="3"/>
  <c r="T43" i="3"/>
  <c r="U43" i="3"/>
  <c r="V43" i="3"/>
  <c r="W43" i="3"/>
  <c r="X43" i="3"/>
  <c r="Y43" i="3"/>
  <c r="Z43" i="3"/>
  <c r="AA43" i="3"/>
  <c r="AB43" i="3"/>
  <c r="AC43" i="3"/>
  <c r="T45" i="3"/>
  <c r="U45" i="3"/>
  <c r="V45" i="3"/>
  <c r="W45" i="3"/>
  <c r="X45" i="3"/>
  <c r="Y45" i="3"/>
  <c r="Z45" i="3"/>
  <c r="AA45" i="3"/>
  <c r="AB45" i="3"/>
  <c r="AC45" i="3"/>
  <c r="T46" i="3"/>
  <c r="U46" i="3"/>
  <c r="V46" i="3"/>
  <c r="W46" i="3"/>
  <c r="X46" i="3"/>
  <c r="Y46" i="3"/>
  <c r="Z46" i="3"/>
  <c r="AA46" i="3"/>
  <c r="AB46" i="3"/>
  <c r="AC46" i="3"/>
  <c r="T47" i="3"/>
  <c r="U47" i="3"/>
  <c r="V47" i="3"/>
  <c r="W47" i="3"/>
  <c r="X47" i="3"/>
  <c r="Y47" i="3"/>
  <c r="Z47" i="3"/>
  <c r="AA47" i="3"/>
  <c r="AB47" i="3"/>
  <c r="AC47" i="3"/>
  <c r="T48" i="3"/>
  <c r="U48" i="3"/>
  <c r="V48" i="3"/>
  <c r="W48" i="3"/>
  <c r="X48" i="3"/>
  <c r="Y48" i="3"/>
  <c r="Z48" i="3"/>
  <c r="AA48" i="3"/>
  <c r="AB48" i="3"/>
  <c r="AC48" i="3"/>
  <c r="S40" i="3"/>
  <c r="S41" i="3"/>
  <c r="S42" i="3"/>
  <c r="S43" i="3"/>
  <c r="S45" i="3"/>
  <c r="S46" i="3"/>
  <c r="S47" i="3"/>
  <c r="S48" i="3"/>
  <c r="D49" i="3"/>
  <c r="S49" i="3" s="1"/>
  <c r="D44" i="3"/>
  <c r="S44" i="3" s="1"/>
  <c r="S39" i="3"/>
  <c r="S37" i="3"/>
  <c r="T31" i="3"/>
  <c r="U31" i="3"/>
  <c r="V31" i="3"/>
  <c r="W31" i="3"/>
  <c r="X31" i="3"/>
  <c r="Y31" i="3"/>
  <c r="Z31" i="3"/>
  <c r="AA31" i="3"/>
  <c r="AB31" i="3"/>
  <c r="AC31" i="3"/>
  <c r="AD31" i="3"/>
  <c r="T32" i="3"/>
  <c r="U32" i="3"/>
  <c r="V32" i="3"/>
  <c r="W32" i="3"/>
  <c r="X32" i="3"/>
  <c r="Y32" i="3"/>
  <c r="Z32" i="3"/>
  <c r="AA32" i="3"/>
  <c r="AB32" i="3"/>
  <c r="AC32" i="3"/>
  <c r="AD32" i="3"/>
  <c r="T33" i="3"/>
  <c r="U33" i="3"/>
  <c r="V33" i="3"/>
  <c r="W33" i="3"/>
  <c r="X33" i="3"/>
  <c r="Y33" i="3"/>
  <c r="Z33" i="3"/>
  <c r="AA33" i="3"/>
  <c r="AB33" i="3"/>
  <c r="AC33" i="3"/>
  <c r="AD33" i="3"/>
  <c r="S31" i="3"/>
  <c r="S32" i="3"/>
  <c r="S33" i="3"/>
  <c r="D26" i="3"/>
  <c r="S26" i="3" s="1"/>
  <c r="D27" i="3"/>
  <c r="S27" i="3" s="1"/>
  <c r="D25" i="3"/>
  <c r="S25" i="3" s="1"/>
  <c r="D20" i="3"/>
  <c r="S20" i="3" s="1"/>
  <c r="D21" i="3"/>
  <c r="S21" i="3" s="1"/>
  <c r="D19" i="3"/>
  <c r="S19" i="3" s="1"/>
  <c r="D15" i="3"/>
  <c r="S15" i="3" s="1"/>
  <c r="D14" i="3"/>
  <c r="S14" i="3" s="1"/>
  <c r="S10" i="3"/>
  <c r="D10" i="3"/>
  <c r="D9" i="3"/>
  <c r="S9" i="3" s="1"/>
  <c r="P142" i="3" l="1"/>
  <c r="P141" i="3"/>
  <c r="P140" i="3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E144" i="3"/>
  <c r="F144" i="3" s="1"/>
  <c r="G144" i="3" s="1"/>
  <c r="H144" i="3" s="1"/>
  <c r="I144" i="3" s="1"/>
  <c r="J144" i="3" s="1"/>
  <c r="K144" i="3" s="1"/>
  <c r="L144" i="3" s="1"/>
  <c r="M144" i="3" s="1"/>
  <c r="N144" i="3" s="1"/>
  <c r="O144" i="3" s="1"/>
  <c r="E143" i="3"/>
  <c r="F143" i="3" s="1"/>
  <c r="G143" i="3" s="1"/>
  <c r="H143" i="3" s="1"/>
  <c r="I143" i="3" s="1"/>
  <c r="J143" i="3" s="1"/>
  <c r="K143" i="3" s="1"/>
  <c r="L143" i="3" s="1"/>
  <c r="M143" i="3" s="1"/>
  <c r="N143" i="3" s="1"/>
  <c r="O143" i="3" s="1"/>
  <c r="E151" i="3"/>
  <c r="P150" i="3"/>
  <c r="E148" i="3"/>
  <c r="P147" i="3"/>
  <c r="E145" i="3"/>
  <c r="E138" i="3"/>
  <c r="F138" i="3" s="1"/>
  <c r="G138" i="3" s="1"/>
  <c r="H138" i="3" s="1"/>
  <c r="I138" i="3" s="1"/>
  <c r="J138" i="3" s="1"/>
  <c r="K138" i="3" s="1"/>
  <c r="L138" i="3" s="1"/>
  <c r="M138" i="3" s="1"/>
  <c r="N138" i="3" s="1"/>
  <c r="O138" i="3" s="1"/>
  <c r="E137" i="3"/>
  <c r="F137" i="3" s="1"/>
  <c r="G137" i="3" s="1"/>
  <c r="H137" i="3" s="1"/>
  <c r="I137" i="3" s="1"/>
  <c r="J137" i="3" s="1"/>
  <c r="K137" i="3" s="1"/>
  <c r="L137" i="3" s="1"/>
  <c r="M137" i="3" s="1"/>
  <c r="N137" i="3" s="1"/>
  <c r="O137" i="3" s="1"/>
  <c r="E136" i="3"/>
  <c r="F136" i="3" s="1"/>
  <c r="G136" i="3" s="1"/>
  <c r="H136" i="3" s="1"/>
  <c r="I136" i="3" s="1"/>
  <c r="J136" i="3" s="1"/>
  <c r="K136" i="3" s="1"/>
  <c r="L136" i="3" s="1"/>
  <c r="M136" i="3" s="1"/>
  <c r="N136" i="3" s="1"/>
  <c r="O136" i="3" s="1"/>
  <c r="P135" i="3"/>
  <c r="P134" i="3"/>
  <c r="P133" i="3"/>
  <c r="E131" i="3"/>
  <c r="E130" i="3"/>
  <c r="E129" i="3"/>
  <c r="P128" i="3"/>
  <c r="P127" i="3"/>
  <c r="P126" i="3"/>
  <c r="F124" i="3"/>
  <c r="E124" i="3"/>
  <c r="E21" i="3" s="1"/>
  <c r="T21" i="3" s="1"/>
  <c r="E123" i="3"/>
  <c r="E122" i="3"/>
  <c r="P121" i="3"/>
  <c r="P120" i="3"/>
  <c r="P119" i="3"/>
  <c r="E117" i="3"/>
  <c r="E15" i="3" s="1"/>
  <c r="T15" i="3" s="1"/>
  <c r="E116" i="3"/>
  <c r="P115" i="3"/>
  <c r="P114" i="3"/>
  <c r="E112" i="3"/>
  <c r="E111" i="3"/>
  <c r="P110" i="3"/>
  <c r="P109" i="3"/>
  <c r="F111" i="3" l="1"/>
  <c r="E9" i="3"/>
  <c r="T9" i="3" s="1"/>
  <c r="F122" i="3"/>
  <c r="E19" i="3"/>
  <c r="T19" i="3" s="1"/>
  <c r="F123" i="3"/>
  <c r="E20" i="3"/>
  <c r="T20" i="3" s="1"/>
  <c r="F130" i="3"/>
  <c r="E26" i="3"/>
  <c r="T26" i="3" s="1"/>
  <c r="F151" i="3"/>
  <c r="E49" i="3"/>
  <c r="T49" i="3" s="1"/>
  <c r="F116" i="3"/>
  <c r="E14" i="3"/>
  <c r="T14" i="3" s="1"/>
  <c r="F131" i="3"/>
  <c r="E27" i="3"/>
  <c r="T27" i="3" s="1"/>
  <c r="F129" i="3"/>
  <c r="E25" i="3"/>
  <c r="T25" i="3" s="1"/>
  <c r="G124" i="3"/>
  <c r="F21" i="3"/>
  <c r="U21" i="3" s="1"/>
  <c r="F148" i="3"/>
  <c r="E44" i="3"/>
  <c r="T44" i="3" s="1"/>
  <c r="F112" i="3"/>
  <c r="E10" i="3"/>
  <c r="T10" i="3" s="1"/>
  <c r="F117" i="3"/>
  <c r="E33" i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D34" i="1"/>
  <c r="D33" i="1"/>
  <c r="Q131" i="7"/>
  <c r="O40" i="1" s="1"/>
  <c r="P131" i="7"/>
  <c r="N40" i="1" s="1"/>
  <c r="O131" i="7"/>
  <c r="M40" i="1" s="1"/>
  <c r="N131" i="7"/>
  <c r="L40" i="1" s="1"/>
  <c r="M131" i="7"/>
  <c r="K40" i="1" s="1"/>
  <c r="L131" i="7"/>
  <c r="J40" i="1" s="1"/>
  <c r="K131" i="7"/>
  <c r="I40" i="1" s="1"/>
  <c r="J131" i="7"/>
  <c r="H40" i="1" s="1"/>
  <c r="I131" i="7"/>
  <c r="G40" i="1" s="1"/>
  <c r="H131" i="7"/>
  <c r="F40" i="1" s="1"/>
  <c r="G131" i="7"/>
  <c r="E40" i="1" s="1"/>
  <c r="F131" i="7"/>
  <c r="Q130" i="7"/>
  <c r="O39" i="1" s="1"/>
  <c r="P130" i="7"/>
  <c r="N39" i="1" s="1"/>
  <c r="O130" i="7"/>
  <c r="M39" i="1" s="1"/>
  <c r="N130" i="7"/>
  <c r="L39" i="1" s="1"/>
  <c r="M130" i="7"/>
  <c r="K39" i="1" s="1"/>
  <c r="L130" i="7"/>
  <c r="J39" i="1" s="1"/>
  <c r="K130" i="7"/>
  <c r="I39" i="1" s="1"/>
  <c r="J130" i="7"/>
  <c r="H39" i="1" s="1"/>
  <c r="I130" i="7"/>
  <c r="G39" i="1" s="1"/>
  <c r="H130" i="7"/>
  <c r="F39" i="1" s="1"/>
  <c r="G130" i="7"/>
  <c r="E39" i="1" s="1"/>
  <c r="F130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B123" i="7"/>
  <c r="Q122" i="7"/>
  <c r="P122" i="7"/>
  <c r="O122" i="7"/>
  <c r="N122" i="7"/>
  <c r="M122" i="7"/>
  <c r="L122" i="7"/>
  <c r="K122" i="7"/>
  <c r="J122" i="7"/>
  <c r="I122" i="7"/>
  <c r="H122" i="7"/>
  <c r="H124" i="7" s="1"/>
  <c r="F36" i="1" s="1"/>
  <c r="G122" i="7"/>
  <c r="F122" i="7"/>
  <c r="B122" i="7"/>
  <c r="R120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6" i="7"/>
  <c r="N116" i="7" s="1"/>
  <c r="Q112" i="7"/>
  <c r="P112" i="7"/>
  <c r="O112" i="7"/>
  <c r="N112" i="7"/>
  <c r="M112" i="7"/>
  <c r="L112" i="7"/>
  <c r="K112" i="7"/>
  <c r="J112" i="7"/>
  <c r="I112" i="7"/>
  <c r="R109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R105" i="7"/>
  <c r="R104" i="7"/>
  <c r="R103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R99" i="7"/>
  <c r="R98" i="7"/>
  <c r="R97" i="7"/>
  <c r="F96" i="7"/>
  <c r="R95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Q111" i="7" s="1"/>
  <c r="P77" i="7"/>
  <c r="P111" i="7" s="1"/>
  <c r="O77" i="7"/>
  <c r="O111" i="7" s="1"/>
  <c r="N77" i="7"/>
  <c r="N111" i="7" s="1"/>
  <c r="M77" i="7"/>
  <c r="M111" i="7" s="1"/>
  <c r="L77" i="7"/>
  <c r="L111" i="7" s="1"/>
  <c r="K77" i="7"/>
  <c r="K111" i="7" s="1"/>
  <c r="J77" i="7"/>
  <c r="J111" i="7" s="1"/>
  <c r="I77" i="7"/>
  <c r="I111" i="7" s="1"/>
  <c r="H77" i="7"/>
  <c r="H111" i="7" s="1"/>
  <c r="G77" i="7"/>
  <c r="G111" i="7" s="1"/>
  <c r="F77" i="7"/>
  <c r="F111" i="7" s="1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E69" i="7"/>
  <c r="D69" i="7"/>
  <c r="C69" i="7"/>
  <c r="B69" i="7"/>
  <c r="R67" i="7"/>
  <c r="Q115" i="7"/>
  <c r="N38" i="1"/>
  <c r="M38" i="1"/>
  <c r="M115" i="7"/>
  <c r="J38" i="1"/>
  <c r="I38" i="1"/>
  <c r="G38" i="1"/>
  <c r="F38" i="1"/>
  <c r="E38" i="1"/>
  <c r="S62" i="7"/>
  <c r="R62" i="7"/>
  <c r="D62" i="7"/>
  <c r="C62" i="7"/>
  <c r="B62" i="7"/>
  <c r="S61" i="7"/>
  <c r="R61" i="7"/>
  <c r="D61" i="7"/>
  <c r="C61" i="7"/>
  <c r="B61" i="7"/>
  <c r="S60" i="7"/>
  <c r="R60" i="7"/>
  <c r="D60" i="7"/>
  <c r="C60" i="7"/>
  <c r="B60" i="7"/>
  <c r="S59" i="7"/>
  <c r="R59" i="7"/>
  <c r="D59" i="7"/>
  <c r="C59" i="7"/>
  <c r="B59" i="7"/>
  <c r="S58" i="7"/>
  <c r="R58" i="7"/>
  <c r="D58" i="7"/>
  <c r="C58" i="7"/>
  <c r="B58" i="7"/>
  <c r="S57" i="7"/>
  <c r="R57" i="7"/>
  <c r="D57" i="7"/>
  <c r="C57" i="7"/>
  <c r="B57" i="7"/>
  <c r="S56" i="7"/>
  <c r="R56" i="7"/>
  <c r="D56" i="7"/>
  <c r="C56" i="7"/>
  <c r="B56" i="7"/>
  <c r="S55" i="7"/>
  <c r="R55" i="7"/>
  <c r="D55" i="7"/>
  <c r="C55" i="7"/>
  <c r="B55" i="7"/>
  <c r="S54" i="7"/>
  <c r="R54" i="7"/>
  <c r="D54" i="7"/>
  <c r="C54" i="7"/>
  <c r="B54" i="7"/>
  <c r="S53" i="7"/>
  <c r="R53" i="7"/>
  <c r="D53" i="7"/>
  <c r="C53" i="7"/>
  <c r="B53" i="7"/>
  <c r="S52" i="7"/>
  <c r="R52" i="7"/>
  <c r="D52" i="7"/>
  <c r="C52" i="7"/>
  <c r="B52" i="7"/>
  <c r="S51" i="7"/>
  <c r="R51" i="7"/>
  <c r="D51" i="7"/>
  <c r="C51" i="7"/>
  <c r="B51" i="7"/>
  <c r="S50" i="7"/>
  <c r="R50" i="7"/>
  <c r="D50" i="7"/>
  <c r="C50" i="7"/>
  <c r="B50" i="7"/>
  <c r="S49" i="7"/>
  <c r="R49" i="7"/>
  <c r="D49" i="7"/>
  <c r="C49" i="7"/>
  <c r="B49" i="7"/>
  <c r="S48" i="7"/>
  <c r="R48" i="7"/>
  <c r="D48" i="7"/>
  <c r="C48" i="7"/>
  <c r="B48" i="7"/>
  <c r="S47" i="7"/>
  <c r="R47" i="7"/>
  <c r="D47" i="7"/>
  <c r="C47" i="7"/>
  <c r="B47" i="7"/>
  <c r="S46" i="7"/>
  <c r="R46" i="7"/>
  <c r="D46" i="7"/>
  <c r="C46" i="7"/>
  <c r="B46" i="7"/>
  <c r="S45" i="7"/>
  <c r="R45" i="7"/>
  <c r="D45" i="7"/>
  <c r="C45" i="7"/>
  <c r="B45" i="7"/>
  <c r="S44" i="7"/>
  <c r="R44" i="7"/>
  <c r="D44" i="7"/>
  <c r="C44" i="7"/>
  <c r="B44" i="7"/>
  <c r="S43" i="7"/>
  <c r="R43" i="7"/>
  <c r="D43" i="7"/>
  <c r="C43" i="7"/>
  <c r="B43" i="7"/>
  <c r="S42" i="7"/>
  <c r="R42" i="7"/>
  <c r="D42" i="7"/>
  <c r="C42" i="7"/>
  <c r="B42" i="7"/>
  <c r="F41" i="7"/>
  <c r="R33" i="7"/>
  <c r="R31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S24" i="7"/>
  <c r="T24" i="7" s="1"/>
  <c r="U24" i="7" s="1"/>
  <c r="R24" i="7"/>
  <c r="S23" i="7"/>
  <c r="T23" i="7" s="1"/>
  <c r="U23" i="7" s="1"/>
  <c r="R23" i="7"/>
  <c r="S22" i="7"/>
  <c r="T22" i="7" s="1"/>
  <c r="U22" i="7" s="1"/>
  <c r="R22" i="7"/>
  <c r="S21" i="7"/>
  <c r="T21" i="7" s="1"/>
  <c r="U21" i="7" s="1"/>
  <c r="R21" i="7"/>
  <c r="S20" i="7"/>
  <c r="T20" i="7" s="1"/>
  <c r="U20" i="7" s="1"/>
  <c r="R20" i="7"/>
  <c r="S19" i="7"/>
  <c r="T19" i="7" s="1"/>
  <c r="U19" i="7" s="1"/>
  <c r="R19" i="7"/>
  <c r="S18" i="7"/>
  <c r="T18" i="7" s="1"/>
  <c r="U18" i="7" s="1"/>
  <c r="R18" i="7"/>
  <c r="S17" i="7"/>
  <c r="T17" i="7" s="1"/>
  <c r="U17" i="7" s="1"/>
  <c r="R17" i="7"/>
  <c r="S16" i="7"/>
  <c r="T16" i="7" s="1"/>
  <c r="U16" i="7" s="1"/>
  <c r="R16" i="7"/>
  <c r="S15" i="7"/>
  <c r="T15" i="7" s="1"/>
  <c r="U15" i="7" s="1"/>
  <c r="R15" i="7"/>
  <c r="S14" i="7"/>
  <c r="T14" i="7" s="1"/>
  <c r="U14" i="7" s="1"/>
  <c r="R14" i="7"/>
  <c r="S13" i="7"/>
  <c r="T13" i="7" s="1"/>
  <c r="U13" i="7" s="1"/>
  <c r="R13" i="7"/>
  <c r="S12" i="7"/>
  <c r="T12" i="7" s="1"/>
  <c r="U12" i="7" s="1"/>
  <c r="R12" i="7"/>
  <c r="S11" i="7"/>
  <c r="T11" i="7" s="1"/>
  <c r="U11" i="7" s="1"/>
  <c r="R11" i="7"/>
  <c r="S10" i="7"/>
  <c r="T10" i="7" s="1"/>
  <c r="U10" i="7" s="1"/>
  <c r="R10" i="7"/>
  <c r="S9" i="7"/>
  <c r="T9" i="7" s="1"/>
  <c r="U9" i="7" s="1"/>
  <c r="R9" i="7"/>
  <c r="S8" i="7"/>
  <c r="T8" i="7" s="1"/>
  <c r="U8" i="7" s="1"/>
  <c r="R8" i="7"/>
  <c r="S7" i="7"/>
  <c r="T7" i="7" s="1"/>
  <c r="U7" i="7" s="1"/>
  <c r="R7" i="7"/>
  <c r="S6" i="7"/>
  <c r="T6" i="7" s="1"/>
  <c r="U6" i="7" s="1"/>
  <c r="R6" i="7"/>
  <c r="S5" i="7"/>
  <c r="T5" i="7" s="1"/>
  <c r="U5" i="7" s="1"/>
  <c r="R5" i="7"/>
  <c r="S4" i="7"/>
  <c r="R4" i="7"/>
  <c r="U1" i="7"/>
  <c r="T1" i="7"/>
  <c r="P124" i="7" l="1"/>
  <c r="N36" i="1" s="1"/>
  <c r="P125" i="7"/>
  <c r="N35" i="1" s="1"/>
  <c r="H125" i="7"/>
  <c r="F35" i="1" s="1"/>
  <c r="G117" i="3"/>
  <c r="F15" i="3"/>
  <c r="U15" i="3" s="1"/>
  <c r="G130" i="3"/>
  <c r="F26" i="3"/>
  <c r="U26" i="3" s="1"/>
  <c r="G112" i="3"/>
  <c r="F10" i="3"/>
  <c r="U10" i="3" s="1"/>
  <c r="G131" i="3"/>
  <c r="F27" i="3"/>
  <c r="U27" i="3" s="1"/>
  <c r="G123" i="3"/>
  <c r="F20" i="3"/>
  <c r="U20" i="3" s="1"/>
  <c r="G129" i="3"/>
  <c r="F25" i="3"/>
  <c r="U25" i="3" s="1"/>
  <c r="G148" i="3"/>
  <c r="F44" i="3"/>
  <c r="U44" i="3" s="1"/>
  <c r="G116" i="3"/>
  <c r="F14" i="3"/>
  <c r="U14" i="3" s="1"/>
  <c r="G122" i="3"/>
  <c r="F19" i="3"/>
  <c r="U19" i="3" s="1"/>
  <c r="H124" i="3"/>
  <c r="G21" i="3"/>
  <c r="V21" i="3" s="1"/>
  <c r="G151" i="3"/>
  <c r="F49" i="3"/>
  <c r="U49" i="3" s="1"/>
  <c r="G111" i="3"/>
  <c r="F9" i="3"/>
  <c r="U9" i="3" s="1"/>
  <c r="G92" i="7"/>
  <c r="E37" i="1" s="1"/>
  <c r="O92" i="7"/>
  <c r="M37" i="1" s="1"/>
  <c r="R65" i="7"/>
  <c r="H92" i="7"/>
  <c r="F37" i="1" s="1"/>
  <c r="P92" i="7"/>
  <c r="N37" i="1" s="1"/>
  <c r="I92" i="7"/>
  <c r="G37" i="1" s="1"/>
  <c r="Q92" i="7"/>
  <c r="O37" i="1" s="1"/>
  <c r="J92" i="7"/>
  <c r="H37" i="1" s="1"/>
  <c r="K92" i="7"/>
  <c r="I37" i="1" s="1"/>
  <c r="L92" i="7"/>
  <c r="J37" i="1" s="1"/>
  <c r="M92" i="7"/>
  <c r="K37" i="1" s="1"/>
  <c r="F92" i="7"/>
  <c r="D37" i="1" s="1"/>
  <c r="N92" i="7"/>
  <c r="L37" i="1" s="1"/>
  <c r="R27" i="7"/>
  <c r="R127" i="7" s="1"/>
  <c r="M124" i="7"/>
  <c r="K36" i="1" s="1"/>
  <c r="F124" i="7"/>
  <c r="D36" i="1" s="1"/>
  <c r="N124" i="7"/>
  <c r="L36" i="1" s="1"/>
  <c r="L124" i="7"/>
  <c r="J36" i="1" s="1"/>
  <c r="R100" i="7"/>
  <c r="T4" i="7"/>
  <c r="T27" i="7" s="1"/>
  <c r="S27" i="7"/>
  <c r="G116" i="7"/>
  <c r="G124" i="7"/>
  <c r="E36" i="1" s="1"/>
  <c r="O124" i="7"/>
  <c r="M36" i="1" s="1"/>
  <c r="I116" i="7"/>
  <c r="M116" i="7"/>
  <c r="M118" i="7" s="1"/>
  <c r="J124" i="7"/>
  <c r="H36" i="1" s="1"/>
  <c r="I124" i="7"/>
  <c r="G36" i="1" s="1"/>
  <c r="Q124" i="7"/>
  <c r="O36" i="1" s="1"/>
  <c r="R112" i="7"/>
  <c r="I115" i="7"/>
  <c r="N38" i="7"/>
  <c r="G38" i="7"/>
  <c r="K38" i="7"/>
  <c r="R131" i="7"/>
  <c r="R117" i="7"/>
  <c r="D40" i="1"/>
  <c r="R130" i="7"/>
  <c r="R106" i="7"/>
  <c r="D39" i="1"/>
  <c r="K115" i="7"/>
  <c r="L115" i="7"/>
  <c r="K38" i="1"/>
  <c r="R70" i="7"/>
  <c r="R71" i="7"/>
  <c r="R72" i="7"/>
  <c r="R73" i="7"/>
  <c r="R75" i="7"/>
  <c r="R76" i="7"/>
  <c r="R79" i="7"/>
  <c r="R80" i="7"/>
  <c r="R81" i="7"/>
  <c r="R83" i="7"/>
  <c r="R84" i="7"/>
  <c r="R85" i="7"/>
  <c r="R86" i="7"/>
  <c r="R87" i="7"/>
  <c r="R88" i="7"/>
  <c r="R89" i="7"/>
  <c r="O38" i="1"/>
  <c r="R107" i="7"/>
  <c r="P115" i="7"/>
  <c r="J38" i="7"/>
  <c r="R101" i="7"/>
  <c r="R111" i="7"/>
  <c r="K124" i="7"/>
  <c r="I36" i="1" s="1"/>
  <c r="Q38" i="7"/>
  <c r="O38" i="7"/>
  <c r="M38" i="7"/>
  <c r="R34" i="7"/>
  <c r="J115" i="7"/>
  <c r="H38" i="1"/>
  <c r="F115" i="7"/>
  <c r="D38" i="1"/>
  <c r="N115" i="7"/>
  <c r="N118" i="7" s="1"/>
  <c r="L38" i="1"/>
  <c r="R123" i="7"/>
  <c r="G68" i="7"/>
  <c r="G41" i="7"/>
  <c r="P38" i="7"/>
  <c r="R77" i="7"/>
  <c r="R82" i="7"/>
  <c r="G115" i="7"/>
  <c r="I38" i="7"/>
  <c r="L38" i="7"/>
  <c r="R78" i="7"/>
  <c r="G96" i="7"/>
  <c r="H115" i="7"/>
  <c r="P116" i="7"/>
  <c r="L116" i="7"/>
  <c r="H116" i="7"/>
  <c r="J116" i="7"/>
  <c r="O116" i="7"/>
  <c r="R126" i="7"/>
  <c r="N125" i="7"/>
  <c r="L35" i="1" s="1"/>
  <c r="R30" i="7"/>
  <c r="R32" i="7" s="1"/>
  <c r="H38" i="7"/>
  <c r="R69" i="7"/>
  <c r="R74" i="7"/>
  <c r="O115" i="7"/>
  <c r="F116" i="7"/>
  <c r="K116" i="7"/>
  <c r="Q116" i="7"/>
  <c r="Q118" i="7" s="1"/>
  <c r="R122" i="7"/>
  <c r="P57" i="1"/>
  <c r="P59" i="1"/>
  <c r="P60" i="1"/>
  <c r="P62" i="1"/>
  <c r="P63" i="1"/>
  <c r="P65" i="1"/>
  <c r="P66" i="1"/>
  <c r="P68" i="1"/>
  <c r="P69" i="1"/>
  <c r="P71" i="1"/>
  <c r="P72" i="1"/>
  <c r="P74" i="1"/>
  <c r="P75" i="1"/>
  <c r="P77" i="1"/>
  <c r="P78" i="1"/>
  <c r="P80" i="1"/>
  <c r="P81" i="1"/>
  <c r="I118" i="7" l="1"/>
  <c r="H151" i="3"/>
  <c r="G49" i="3"/>
  <c r="V49" i="3" s="1"/>
  <c r="H148" i="3"/>
  <c r="G44" i="3"/>
  <c r="V44" i="3" s="1"/>
  <c r="H112" i="3"/>
  <c r="G10" i="3"/>
  <c r="V10" i="3" s="1"/>
  <c r="H131" i="3"/>
  <c r="G27" i="3"/>
  <c r="V27" i="3" s="1"/>
  <c r="I124" i="3"/>
  <c r="H21" i="3"/>
  <c r="W21" i="3" s="1"/>
  <c r="G25" i="3"/>
  <c r="V25" i="3" s="1"/>
  <c r="H129" i="3"/>
  <c r="G9" i="3"/>
  <c r="V9" i="3" s="1"/>
  <c r="H111" i="3"/>
  <c r="T57" i="7"/>
  <c r="H130" i="3"/>
  <c r="G26" i="3"/>
  <c r="V26" i="3" s="1"/>
  <c r="M125" i="7"/>
  <c r="K35" i="1" s="1"/>
  <c r="R37" i="7"/>
  <c r="R38" i="7" s="1"/>
  <c r="G19" i="3"/>
  <c r="V19" i="3" s="1"/>
  <c r="H122" i="3"/>
  <c r="H123" i="3"/>
  <c r="G20" i="3"/>
  <c r="V20" i="3" s="1"/>
  <c r="G14" i="3"/>
  <c r="V14" i="3" s="1"/>
  <c r="H116" i="3"/>
  <c r="H117" i="3"/>
  <c r="G15" i="3"/>
  <c r="V15" i="3" s="1"/>
  <c r="R92" i="7"/>
  <c r="L125" i="7"/>
  <c r="J35" i="1" s="1"/>
  <c r="J125" i="7"/>
  <c r="H35" i="1" s="1"/>
  <c r="K118" i="7"/>
  <c r="G125" i="7"/>
  <c r="E35" i="1" s="1"/>
  <c r="P118" i="7"/>
  <c r="G118" i="7"/>
  <c r="O125" i="7"/>
  <c r="M35" i="1" s="1"/>
  <c r="U4" i="7"/>
  <c r="U27" i="7" s="1"/>
  <c r="U28" i="7" s="1"/>
  <c r="L118" i="7"/>
  <c r="F125" i="7"/>
  <c r="D35" i="1" s="1"/>
  <c r="Q125" i="7"/>
  <c r="O35" i="1" s="1"/>
  <c r="I125" i="7"/>
  <c r="G35" i="1" s="1"/>
  <c r="K125" i="7"/>
  <c r="I35" i="1" s="1"/>
  <c r="R124" i="7"/>
  <c r="H96" i="7"/>
  <c r="H68" i="7"/>
  <c r="H41" i="7"/>
  <c r="R116" i="7"/>
  <c r="O118" i="7"/>
  <c r="H118" i="7"/>
  <c r="F118" i="7"/>
  <c r="R115" i="7"/>
  <c r="R129" i="7"/>
  <c r="T43" i="7"/>
  <c r="J118" i="7"/>
  <c r="T44" i="7"/>
  <c r="I130" i="3" l="1"/>
  <c r="H26" i="3"/>
  <c r="W26" i="3" s="1"/>
  <c r="I151" i="3"/>
  <c r="H49" i="3"/>
  <c r="W49" i="3" s="1"/>
  <c r="T58" i="7"/>
  <c r="I123" i="3"/>
  <c r="H20" i="3"/>
  <c r="W20" i="3" s="1"/>
  <c r="I131" i="3"/>
  <c r="H27" i="3"/>
  <c r="W27" i="3" s="1"/>
  <c r="J124" i="3"/>
  <c r="I21" i="3"/>
  <c r="X21" i="3" s="1"/>
  <c r="I122" i="3"/>
  <c r="H19" i="3"/>
  <c r="W19" i="3" s="1"/>
  <c r="I111" i="3"/>
  <c r="H9" i="3"/>
  <c r="W9" i="3" s="1"/>
  <c r="H25" i="3"/>
  <c r="W25" i="3" s="1"/>
  <c r="I129" i="3"/>
  <c r="I148" i="3"/>
  <c r="H44" i="3"/>
  <c r="W44" i="3" s="1"/>
  <c r="I112" i="3"/>
  <c r="H10" i="3"/>
  <c r="W10" i="3" s="1"/>
  <c r="I117" i="3"/>
  <c r="H15" i="3"/>
  <c r="W15" i="3" s="1"/>
  <c r="I116" i="3"/>
  <c r="H14" i="3"/>
  <c r="W14" i="3" s="1"/>
  <c r="R125" i="7"/>
  <c r="R118" i="7"/>
  <c r="I96" i="7"/>
  <c r="I41" i="7"/>
  <c r="I68" i="7"/>
  <c r="J117" i="3" l="1"/>
  <c r="I15" i="3"/>
  <c r="X15" i="3" s="1"/>
  <c r="J123" i="3"/>
  <c r="I20" i="3"/>
  <c r="X20" i="3" s="1"/>
  <c r="J122" i="3"/>
  <c r="I19" i="3"/>
  <c r="X19" i="3" s="1"/>
  <c r="J148" i="3"/>
  <c r="I44" i="3"/>
  <c r="X44" i="3" s="1"/>
  <c r="K124" i="3"/>
  <c r="J21" i="3"/>
  <c r="Y21" i="3" s="1"/>
  <c r="J151" i="3"/>
  <c r="I49" i="3"/>
  <c r="X49" i="3" s="1"/>
  <c r="J111" i="3"/>
  <c r="I9" i="3"/>
  <c r="X9" i="3" s="1"/>
  <c r="J112" i="3"/>
  <c r="I10" i="3"/>
  <c r="X10" i="3" s="1"/>
  <c r="J129" i="3"/>
  <c r="I25" i="3"/>
  <c r="X25" i="3" s="1"/>
  <c r="J116" i="3"/>
  <c r="I14" i="3"/>
  <c r="X14" i="3" s="1"/>
  <c r="J131" i="3"/>
  <c r="I27" i="3"/>
  <c r="X27" i="3" s="1"/>
  <c r="J130" i="3"/>
  <c r="I26" i="3"/>
  <c r="X26" i="3" s="1"/>
  <c r="J68" i="7"/>
  <c r="J96" i="7"/>
  <c r="J41" i="7"/>
  <c r="K130" i="3" l="1"/>
  <c r="J26" i="3"/>
  <c r="Y26" i="3" s="1"/>
  <c r="K122" i="3"/>
  <c r="J19" i="3"/>
  <c r="Y19" i="3" s="1"/>
  <c r="K148" i="3"/>
  <c r="J44" i="3"/>
  <c r="Y44" i="3" s="1"/>
  <c r="K112" i="3"/>
  <c r="J10" i="3"/>
  <c r="Y10" i="3" s="1"/>
  <c r="K131" i="3"/>
  <c r="J27" i="3"/>
  <c r="Y27" i="3" s="1"/>
  <c r="K111" i="3"/>
  <c r="J9" i="3"/>
  <c r="Y9" i="3" s="1"/>
  <c r="K116" i="3"/>
  <c r="J14" i="3"/>
  <c r="Y14" i="3" s="1"/>
  <c r="K151" i="3"/>
  <c r="J49" i="3"/>
  <c r="Y49" i="3" s="1"/>
  <c r="K123" i="3"/>
  <c r="J20" i="3"/>
  <c r="Y20" i="3" s="1"/>
  <c r="T42" i="7"/>
  <c r="K129" i="3"/>
  <c r="J25" i="3"/>
  <c r="Y25" i="3" s="1"/>
  <c r="L124" i="3"/>
  <c r="K21" i="3"/>
  <c r="Z21" i="3" s="1"/>
  <c r="K117" i="3"/>
  <c r="J15" i="3"/>
  <c r="Y15" i="3" s="1"/>
  <c r="K68" i="7"/>
  <c r="K41" i="7"/>
  <c r="K96" i="7"/>
  <c r="P67" i="4"/>
  <c r="P66" i="4"/>
  <c r="E68" i="4"/>
  <c r="F68" i="4"/>
  <c r="G68" i="4"/>
  <c r="H68" i="4"/>
  <c r="I68" i="4"/>
  <c r="J68" i="4"/>
  <c r="K68" i="4"/>
  <c r="L68" i="4"/>
  <c r="M68" i="4"/>
  <c r="N68" i="4"/>
  <c r="O68" i="4"/>
  <c r="D68" i="4"/>
  <c r="T64" i="7" l="1"/>
  <c r="M124" i="3"/>
  <c r="L21" i="3"/>
  <c r="AA21" i="3" s="1"/>
  <c r="L151" i="3"/>
  <c r="K49" i="3"/>
  <c r="Z49" i="3" s="1"/>
  <c r="L129" i="3"/>
  <c r="K25" i="3"/>
  <c r="Z25" i="3" s="1"/>
  <c r="L111" i="3"/>
  <c r="K9" i="3"/>
  <c r="Z9" i="3" s="1"/>
  <c r="L122" i="3"/>
  <c r="K19" i="3"/>
  <c r="Z19" i="3" s="1"/>
  <c r="L112" i="3"/>
  <c r="K10" i="3"/>
  <c r="Z10" i="3" s="1"/>
  <c r="L116" i="3"/>
  <c r="K14" i="3"/>
  <c r="Z14" i="3" s="1"/>
  <c r="L123" i="3"/>
  <c r="K20" i="3"/>
  <c r="Z20" i="3" s="1"/>
  <c r="L131" i="3"/>
  <c r="K27" i="3"/>
  <c r="Z27" i="3" s="1"/>
  <c r="L148" i="3"/>
  <c r="K44" i="3"/>
  <c r="Z44" i="3" s="1"/>
  <c r="L117" i="3"/>
  <c r="K15" i="3"/>
  <c r="Z15" i="3" s="1"/>
  <c r="L130" i="3"/>
  <c r="K26" i="3"/>
  <c r="Z26" i="3" s="1"/>
  <c r="L96" i="7"/>
  <c r="L68" i="7"/>
  <c r="L41" i="7"/>
  <c r="P68" i="4"/>
  <c r="M129" i="3" l="1"/>
  <c r="L25" i="3"/>
  <c r="AA25" i="3" s="1"/>
  <c r="M111" i="3"/>
  <c r="L9" i="3"/>
  <c r="AA9" i="3" s="1"/>
  <c r="M117" i="3"/>
  <c r="L15" i="3"/>
  <c r="AA15" i="3" s="1"/>
  <c r="M148" i="3"/>
  <c r="L44" i="3"/>
  <c r="AA44" i="3" s="1"/>
  <c r="M151" i="3"/>
  <c r="L49" i="3"/>
  <c r="AA49" i="3" s="1"/>
  <c r="M130" i="3"/>
  <c r="L26" i="3"/>
  <c r="AA26" i="3" s="1"/>
  <c r="M123" i="3"/>
  <c r="L20" i="3"/>
  <c r="AA20" i="3" s="1"/>
  <c r="M116" i="3"/>
  <c r="L14" i="3"/>
  <c r="AA14" i="3" s="1"/>
  <c r="M112" i="3"/>
  <c r="L10" i="3"/>
  <c r="AA10" i="3" s="1"/>
  <c r="M131" i="3"/>
  <c r="L27" i="3"/>
  <c r="AA27" i="3" s="1"/>
  <c r="M122" i="3"/>
  <c r="L19" i="3"/>
  <c r="AA19" i="3" s="1"/>
  <c r="N124" i="3"/>
  <c r="M21" i="3"/>
  <c r="AB21" i="3" s="1"/>
  <c r="M68" i="7"/>
  <c r="M96" i="7"/>
  <c r="M41" i="7"/>
  <c r="T49" i="7"/>
  <c r="T48" i="7"/>
  <c r="T46" i="7"/>
  <c r="S37" i="1"/>
  <c r="T37" i="1"/>
  <c r="U37" i="1"/>
  <c r="V37" i="1"/>
  <c r="S38" i="1"/>
  <c r="T38" i="1"/>
  <c r="U38" i="1"/>
  <c r="V38" i="1"/>
  <c r="W38" i="1"/>
  <c r="X38" i="1"/>
  <c r="Y38" i="1"/>
  <c r="Z38" i="1"/>
  <c r="AA38" i="1"/>
  <c r="AB38" i="1"/>
  <c r="AC38" i="1"/>
  <c r="AD38" i="1"/>
  <c r="S39" i="1"/>
  <c r="T39" i="1"/>
  <c r="U39" i="1"/>
  <c r="V39" i="1"/>
  <c r="W39" i="1"/>
  <c r="X39" i="1"/>
  <c r="Y39" i="1"/>
  <c r="Z39" i="1"/>
  <c r="AA39" i="1"/>
  <c r="AB39" i="1"/>
  <c r="AC39" i="1"/>
  <c r="AD39" i="1"/>
  <c r="S40" i="1"/>
  <c r="T40" i="1"/>
  <c r="U40" i="1"/>
  <c r="V40" i="1"/>
  <c r="W40" i="1"/>
  <c r="X40" i="1"/>
  <c r="Y40" i="1"/>
  <c r="Z40" i="1"/>
  <c r="AA40" i="1"/>
  <c r="AB40" i="1"/>
  <c r="AC40" i="1"/>
  <c r="AD40" i="1"/>
  <c r="H53" i="1"/>
  <c r="W53" i="1" s="1"/>
  <c r="D53" i="1"/>
  <c r="S53" i="1" s="1"/>
  <c r="D48" i="1"/>
  <c r="S48" i="1" s="1"/>
  <c r="D43" i="1"/>
  <c r="S43" i="1" s="1"/>
  <c r="E148" i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O53" i="1" s="1"/>
  <c r="AD53" i="1" s="1"/>
  <c r="E145" i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O48" i="1" s="1"/>
  <c r="AD48" i="1" s="1"/>
  <c r="E142" i="1"/>
  <c r="F142" i="1" s="1"/>
  <c r="W37" i="1"/>
  <c r="Y37" i="1"/>
  <c r="Z37" i="1"/>
  <c r="AC37" i="1"/>
  <c r="AD37" i="1"/>
  <c r="F32" i="1"/>
  <c r="U32" i="1" s="1"/>
  <c r="F31" i="1"/>
  <c r="U31" i="1" s="1"/>
  <c r="E30" i="1"/>
  <c r="T30" i="1" s="1"/>
  <c r="D31" i="1"/>
  <c r="S31" i="1" s="1"/>
  <c r="D32" i="1"/>
  <c r="S32" i="1" s="1"/>
  <c r="D30" i="1"/>
  <c r="S30" i="1" s="1"/>
  <c r="E26" i="1"/>
  <c r="T26" i="1" s="1"/>
  <c r="D25" i="1"/>
  <c r="S25" i="1" s="1"/>
  <c r="D26" i="1"/>
  <c r="S26" i="1" s="1"/>
  <c r="D24" i="1"/>
  <c r="S24" i="1" s="1"/>
  <c r="E25" i="1"/>
  <c r="T25" i="1" s="1"/>
  <c r="E24" i="1"/>
  <c r="T24" i="1" s="1"/>
  <c r="D20" i="1"/>
  <c r="S20" i="1" s="1"/>
  <c r="D19" i="1"/>
  <c r="S19" i="1" s="1"/>
  <c r="O20" i="1"/>
  <c r="AD20" i="1" s="1"/>
  <c r="F15" i="1"/>
  <c r="U15" i="1" s="1"/>
  <c r="E14" i="1"/>
  <c r="T14" i="1" s="1"/>
  <c r="E15" i="1"/>
  <c r="T15" i="1" s="1"/>
  <c r="D15" i="1"/>
  <c r="S15" i="1" s="1"/>
  <c r="D14" i="1"/>
  <c r="S14" i="1" s="1"/>
  <c r="P147" i="1"/>
  <c r="P144" i="1"/>
  <c r="P141" i="1"/>
  <c r="P135" i="1"/>
  <c r="P134" i="1"/>
  <c r="P133" i="1"/>
  <c r="P132" i="1"/>
  <c r="P127" i="1"/>
  <c r="P126" i="1"/>
  <c r="P125" i="1"/>
  <c r="P120" i="1"/>
  <c r="P119" i="1"/>
  <c r="P118" i="1"/>
  <c r="P114" i="1"/>
  <c r="P113" i="1"/>
  <c r="P109" i="1"/>
  <c r="P108" i="1"/>
  <c r="F26" i="1" l="1"/>
  <c r="U26" i="1" s="1"/>
  <c r="G142" i="1"/>
  <c r="F43" i="1"/>
  <c r="U43" i="1" s="1"/>
  <c r="G25" i="1"/>
  <c r="V25" i="1" s="1"/>
  <c r="M48" i="1"/>
  <c r="AB48" i="1" s="1"/>
  <c r="J20" i="1"/>
  <c r="Y20" i="1" s="1"/>
  <c r="G53" i="1"/>
  <c r="V53" i="1" s="1"/>
  <c r="G20" i="1"/>
  <c r="V20" i="1" s="1"/>
  <c r="F25" i="1"/>
  <c r="U25" i="1" s="1"/>
  <c r="J48" i="1"/>
  <c r="Y48" i="1" s="1"/>
  <c r="M53" i="1"/>
  <c r="AB53" i="1" s="1"/>
  <c r="E53" i="1"/>
  <c r="T53" i="1" s="1"/>
  <c r="N122" i="3"/>
  <c r="M19" i="3"/>
  <c r="AB19" i="3" s="1"/>
  <c r="N123" i="3"/>
  <c r="M20" i="3"/>
  <c r="AB20" i="3" s="1"/>
  <c r="N117" i="3"/>
  <c r="M15" i="3"/>
  <c r="AB15" i="3" s="1"/>
  <c r="E48" i="1"/>
  <c r="T48" i="1" s="1"/>
  <c r="N116" i="3"/>
  <c r="M14" i="3"/>
  <c r="AB14" i="3" s="1"/>
  <c r="H20" i="1"/>
  <c r="W20" i="1" s="1"/>
  <c r="N20" i="1"/>
  <c r="AC20" i="1" s="1"/>
  <c r="F20" i="1"/>
  <c r="U20" i="1" s="1"/>
  <c r="E32" i="1"/>
  <c r="T32" i="1" s="1"/>
  <c r="I48" i="1"/>
  <c r="X48" i="1" s="1"/>
  <c r="L53" i="1"/>
  <c r="AA53" i="1" s="1"/>
  <c r="F53" i="1"/>
  <c r="U53" i="1" s="1"/>
  <c r="M20" i="1"/>
  <c r="AB20" i="1" s="1"/>
  <c r="E20" i="1"/>
  <c r="T20" i="1" s="1"/>
  <c r="E43" i="1"/>
  <c r="T43" i="1" s="1"/>
  <c r="H48" i="1"/>
  <c r="W48" i="1" s="1"/>
  <c r="K53" i="1"/>
  <c r="Z53" i="1" s="1"/>
  <c r="N131" i="3"/>
  <c r="M27" i="3"/>
  <c r="AB27" i="3" s="1"/>
  <c r="N130" i="3"/>
  <c r="M26" i="3"/>
  <c r="AB26" i="3" s="1"/>
  <c r="N111" i="3"/>
  <c r="M9" i="3"/>
  <c r="AB9" i="3" s="1"/>
  <c r="L48" i="1"/>
  <c r="AA48" i="1" s="1"/>
  <c r="N148" i="3"/>
  <c r="M44" i="3"/>
  <c r="AB44" i="3" s="1"/>
  <c r="K48" i="1"/>
  <c r="Z48" i="1" s="1"/>
  <c r="L20" i="1"/>
  <c r="AA20" i="1" s="1"/>
  <c r="G48" i="1"/>
  <c r="V48" i="1" s="1"/>
  <c r="J53" i="1"/>
  <c r="Y53" i="1" s="1"/>
  <c r="I20" i="1"/>
  <c r="X20" i="1" s="1"/>
  <c r="O124" i="3"/>
  <c r="O21" i="3" s="1"/>
  <c r="AD21" i="3" s="1"/>
  <c r="N21" i="3"/>
  <c r="AC21" i="3" s="1"/>
  <c r="N53" i="1"/>
  <c r="AC53" i="1" s="1"/>
  <c r="H19" i="1"/>
  <c r="W19" i="1" s="1"/>
  <c r="K20" i="1"/>
  <c r="Z20" i="1" s="1"/>
  <c r="E31" i="1"/>
  <c r="T31" i="1" s="1"/>
  <c r="N48" i="1"/>
  <c r="AC48" i="1" s="1"/>
  <c r="F48" i="1"/>
  <c r="U48" i="1" s="1"/>
  <c r="I53" i="1"/>
  <c r="X53" i="1" s="1"/>
  <c r="N112" i="3"/>
  <c r="M10" i="3"/>
  <c r="AB10" i="3" s="1"/>
  <c r="N151" i="3"/>
  <c r="M49" i="3"/>
  <c r="AB49" i="3" s="1"/>
  <c r="N129" i="3"/>
  <c r="M25" i="3"/>
  <c r="AB25" i="3" s="1"/>
  <c r="F19" i="1"/>
  <c r="U19" i="1" s="1"/>
  <c r="G19" i="1"/>
  <c r="V19" i="1" s="1"/>
  <c r="E19" i="1"/>
  <c r="T19" i="1" s="1"/>
  <c r="T62" i="7"/>
  <c r="T59" i="7"/>
  <c r="T54" i="7"/>
  <c r="T53" i="7"/>
  <c r="N96" i="7"/>
  <c r="N41" i="7"/>
  <c r="T47" i="7" s="1"/>
  <c r="N68" i="7"/>
  <c r="AB37" i="1"/>
  <c r="X37" i="1"/>
  <c r="AA37" i="1"/>
  <c r="G31" i="1"/>
  <c r="V31" i="1" s="1"/>
  <c r="G32" i="1"/>
  <c r="V32" i="1" s="1"/>
  <c r="T51" i="7" l="1"/>
  <c r="T56" i="7"/>
  <c r="O148" i="3"/>
  <c r="O44" i="3" s="1"/>
  <c r="AD44" i="3" s="1"/>
  <c r="N44" i="3"/>
  <c r="AC44" i="3" s="1"/>
  <c r="O116" i="3"/>
  <c r="O14" i="3" s="1"/>
  <c r="AD14" i="3" s="1"/>
  <c r="N14" i="3"/>
  <c r="AC14" i="3" s="1"/>
  <c r="H25" i="1"/>
  <c r="W25" i="1" s="1"/>
  <c r="O112" i="3"/>
  <c r="O10" i="3" s="1"/>
  <c r="AD10" i="3" s="1"/>
  <c r="N10" i="3"/>
  <c r="AC10" i="3" s="1"/>
  <c r="O117" i="3"/>
  <c r="O15" i="3" s="1"/>
  <c r="AD15" i="3" s="1"/>
  <c r="N15" i="3"/>
  <c r="AC15" i="3" s="1"/>
  <c r="O131" i="3"/>
  <c r="O27" i="3" s="1"/>
  <c r="AD27" i="3" s="1"/>
  <c r="N27" i="3"/>
  <c r="AC27" i="3" s="1"/>
  <c r="O129" i="3"/>
  <c r="O25" i="3" s="1"/>
  <c r="AD25" i="3" s="1"/>
  <c r="N25" i="3"/>
  <c r="AC25" i="3" s="1"/>
  <c r="O111" i="3"/>
  <c r="O9" i="3" s="1"/>
  <c r="AD9" i="3" s="1"/>
  <c r="N9" i="3"/>
  <c r="AC9" i="3" s="1"/>
  <c r="F24" i="1"/>
  <c r="U24" i="1" s="1"/>
  <c r="H142" i="1"/>
  <c r="G43" i="1"/>
  <c r="V43" i="1" s="1"/>
  <c r="O130" i="3"/>
  <c r="O26" i="3" s="1"/>
  <c r="AD26" i="3" s="1"/>
  <c r="N26" i="3"/>
  <c r="AC26" i="3" s="1"/>
  <c r="O122" i="3"/>
  <c r="O19" i="3" s="1"/>
  <c r="AD19" i="3" s="1"/>
  <c r="N19" i="3"/>
  <c r="AC19" i="3" s="1"/>
  <c r="O123" i="3"/>
  <c r="O20" i="3" s="1"/>
  <c r="AD20" i="3" s="1"/>
  <c r="N20" i="3"/>
  <c r="AC20" i="3" s="1"/>
  <c r="O151" i="3"/>
  <c r="O49" i="3" s="1"/>
  <c r="AD49" i="3" s="1"/>
  <c r="N49" i="3"/>
  <c r="AC49" i="3" s="1"/>
  <c r="G26" i="1"/>
  <c r="V26" i="1" s="1"/>
  <c r="F30" i="1"/>
  <c r="U30" i="1" s="1"/>
  <c r="F14" i="1"/>
  <c r="U14" i="1" s="1"/>
  <c r="O68" i="7"/>
  <c r="O41" i="7"/>
  <c r="T52" i="7" s="1"/>
  <c r="O96" i="7"/>
  <c r="H31" i="1"/>
  <c r="W31" i="1" s="1"/>
  <c r="H32" i="1"/>
  <c r="W32" i="1" s="1"/>
  <c r="G15" i="1"/>
  <c r="V15" i="1" s="1"/>
  <c r="H43" i="1" l="1"/>
  <c r="W43" i="1" s="1"/>
  <c r="I142" i="1"/>
  <c r="G14" i="1"/>
  <c r="V14" i="1" s="1"/>
  <c r="T55" i="7"/>
  <c r="T63" i="7"/>
  <c r="I25" i="1"/>
  <c r="X25" i="1" s="1"/>
  <c r="G24" i="1"/>
  <c r="V24" i="1" s="1"/>
  <c r="H26" i="1"/>
  <c r="W26" i="1" s="1"/>
  <c r="I19" i="1"/>
  <c r="X19" i="1" s="1"/>
  <c r="G30" i="1"/>
  <c r="V30" i="1" s="1"/>
  <c r="P96" i="7"/>
  <c r="P68" i="7"/>
  <c r="P41" i="7"/>
  <c r="I32" i="1"/>
  <c r="X32" i="1" s="1"/>
  <c r="I31" i="1"/>
  <c r="X31" i="1" s="1"/>
  <c r="H15" i="1"/>
  <c r="W15" i="1" s="1"/>
  <c r="I26" i="1" l="1"/>
  <c r="X26" i="1" s="1"/>
  <c r="H14" i="1"/>
  <c r="W14" i="1" s="1"/>
  <c r="J25" i="1"/>
  <c r="Y25" i="1" s="1"/>
  <c r="J19" i="1"/>
  <c r="Y19" i="1" s="1"/>
  <c r="H24" i="1"/>
  <c r="W24" i="1" s="1"/>
  <c r="J142" i="1"/>
  <c r="I43" i="1"/>
  <c r="X43" i="1" s="1"/>
  <c r="H30" i="1"/>
  <c r="W30" i="1" s="1"/>
  <c r="Q68" i="7"/>
  <c r="Q96" i="7"/>
  <c r="Q41" i="7"/>
  <c r="J31" i="1"/>
  <c r="Y31" i="1" s="1"/>
  <c r="J32" i="1"/>
  <c r="Y32" i="1" s="1"/>
  <c r="I15" i="1"/>
  <c r="X15" i="1" s="1"/>
  <c r="P23" i="6"/>
  <c r="S23" i="6"/>
  <c r="T23" i="6"/>
  <c r="U23" i="6"/>
  <c r="V23" i="6"/>
  <c r="W23" i="6"/>
  <c r="X23" i="6"/>
  <c r="Y23" i="6"/>
  <c r="Z23" i="6"/>
  <c r="AA23" i="6"/>
  <c r="AB23" i="6"/>
  <c r="AC23" i="6"/>
  <c r="AD23" i="6"/>
  <c r="P24" i="6"/>
  <c r="S24" i="6"/>
  <c r="T24" i="6"/>
  <c r="U24" i="6"/>
  <c r="V24" i="6"/>
  <c r="W24" i="6"/>
  <c r="X24" i="6"/>
  <c r="Y24" i="6"/>
  <c r="Z24" i="6"/>
  <c r="AA24" i="6"/>
  <c r="AB24" i="6"/>
  <c r="AC24" i="6"/>
  <c r="AD24" i="6"/>
  <c r="K19" i="1" l="1"/>
  <c r="Z19" i="1" s="1"/>
  <c r="K25" i="1"/>
  <c r="Z25" i="1" s="1"/>
  <c r="I14" i="1"/>
  <c r="X14" i="1" s="1"/>
  <c r="K142" i="1"/>
  <c r="J43" i="1"/>
  <c r="Y43" i="1" s="1"/>
  <c r="I24" i="1"/>
  <c r="X24" i="1" s="1"/>
  <c r="T50" i="7"/>
  <c r="T45" i="7"/>
  <c r="J26" i="1"/>
  <c r="Y26" i="1" s="1"/>
  <c r="I30" i="1"/>
  <c r="X30" i="1" s="1"/>
  <c r="AE23" i="6"/>
  <c r="T60" i="7"/>
  <c r="T61" i="7"/>
  <c r="K31" i="1"/>
  <c r="Z31" i="1" s="1"/>
  <c r="K32" i="1"/>
  <c r="Z32" i="1" s="1"/>
  <c r="J15" i="1"/>
  <c r="Y15" i="1" s="1"/>
  <c r="AE24" i="6"/>
  <c r="K26" i="1" l="1"/>
  <c r="Z26" i="1" s="1"/>
  <c r="J14" i="1"/>
  <c r="Y14" i="1" s="1"/>
  <c r="L142" i="1"/>
  <c r="K43" i="1"/>
  <c r="Z43" i="1" s="1"/>
  <c r="L25" i="1"/>
  <c r="AA25" i="1" s="1"/>
  <c r="J24" i="1"/>
  <c r="Y24" i="1" s="1"/>
  <c r="L19" i="1"/>
  <c r="AA19" i="1" s="1"/>
  <c r="J30" i="1"/>
  <c r="Y30" i="1" s="1"/>
  <c r="L32" i="1"/>
  <c r="AA32" i="1" s="1"/>
  <c r="L31" i="1"/>
  <c r="AA31" i="1" s="1"/>
  <c r="K15" i="1"/>
  <c r="Z15" i="1" s="1"/>
  <c r="M19" i="1" l="1"/>
  <c r="AB19" i="1" s="1"/>
  <c r="K14" i="1"/>
  <c r="Z14" i="1" s="1"/>
  <c r="M25" i="1"/>
  <c r="AB25" i="1" s="1"/>
  <c r="M142" i="1"/>
  <c r="L43" i="1"/>
  <c r="AA43" i="1" s="1"/>
  <c r="K24" i="1"/>
  <c r="Z24" i="1" s="1"/>
  <c r="L26" i="1"/>
  <c r="AA26" i="1" s="1"/>
  <c r="K30" i="1"/>
  <c r="Z30" i="1" s="1"/>
  <c r="M31" i="1"/>
  <c r="AB31" i="1" s="1"/>
  <c r="M32" i="1"/>
  <c r="AB32" i="1" s="1"/>
  <c r="L15" i="1"/>
  <c r="AA15" i="1" s="1"/>
  <c r="N142" i="1" l="1"/>
  <c r="M43" i="1"/>
  <c r="AB43" i="1" s="1"/>
  <c r="M26" i="1"/>
  <c r="AB26" i="1" s="1"/>
  <c r="L14" i="1"/>
  <c r="AA14" i="1" s="1"/>
  <c r="O25" i="1"/>
  <c r="AD25" i="1" s="1"/>
  <c r="N25" i="1"/>
  <c r="AC25" i="1" s="1"/>
  <c r="L24" i="1"/>
  <c r="AA24" i="1" s="1"/>
  <c r="O19" i="1"/>
  <c r="AD19" i="1" s="1"/>
  <c r="N19" i="1"/>
  <c r="AC19" i="1" s="1"/>
  <c r="L30" i="1"/>
  <c r="AA30" i="1" s="1"/>
  <c r="N32" i="1"/>
  <c r="AC32" i="1" s="1"/>
  <c r="N31" i="1"/>
  <c r="AC31" i="1" s="1"/>
  <c r="M15" i="1"/>
  <c r="AB15" i="1" s="1"/>
  <c r="M14" i="1" l="1"/>
  <c r="AB14" i="1" s="1"/>
  <c r="O26" i="1"/>
  <c r="AD26" i="1" s="1"/>
  <c r="N26" i="1"/>
  <c r="AC26" i="1" s="1"/>
  <c r="M24" i="1"/>
  <c r="AB24" i="1" s="1"/>
  <c r="O142" i="1"/>
  <c r="O43" i="1" s="1"/>
  <c r="AD43" i="1" s="1"/>
  <c r="N43" i="1"/>
  <c r="AC43" i="1" s="1"/>
  <c r="M30" i="1"/>
  <c r="AB30" i="1" s="1"/>
  <c r="O31" i="1"/>
  <c r="AD31" i="1" s="1"/>
  <c r="O32" i="1"/>
  <c r="AD32" i="1" s="1"/>
  <c r="N15" i="1"/>
  <c r="AC15" i="1" s="1"/>
  <c r="O15" i="1"/>
  <c r="AD15" i="1" s="1"/>
  <c r="L62" i="4"/>
  <c r="K62" i="4"/>
  <c r="J62" i="4"/>
  <c r="I62" i="4"/>
  <c r="H62" i="4"/>
  <c r="G62" i="4"/>
  <c r="F62" i="4"/>
  <c r="E62" i="4"/>
  <c r="D62" i="4"/>
  <c r="M62" i="4"/>
  <c r="P60" i="4"/>
  <c r="P61" i="4"/>
  <c r="O62" i="4"/>
  <c r="N62" i="4"/>
  <c r="O24" i="1" l="1"/>
  <c r="AD24" i="1" s="1"/>
  <c r="N24" i="1"/>
  <c r="AC24" i="1" s="1"/>
  <c r="N14" i="1"/>
  <c r="AC14" i="1" s="1"/>
  <c r="O14" i="1"/>
  <c r="AD14" i="1" s="1"/>
  <c r="N30" i="1"/>
  <c r="AC30" i="1" s="1"/>
  <c r="O30" i="1"/>
  <c r="AD30" i="1" s="1"/>
  <c r="P62" i="4"/>
  <c r="R47" i="6" l="1"/>
  <c r="R46" i="6"/>
  <c r="R45" i="6"/>
  <c r="E54" i="6" l="1"/>
  <c r="E64" i="6" s="1"/>
  <c r="F54" i="6"/>
  <c r="F64" i="6" s="1"/>
  <c r="G54" i="6"/>
  <c r="G64" i="6" s="1"/>
  <c r="H54" i="6"/>
  <c r="H64" i="6" s="1"/>
  <c r="I54" i="6"/>
  <c r="I64" i="6" s="1"/>
  <c r="J54" i="6"/>
  <c r="J64" i="6" s="1"/>
  <c r="K54" i="6"/>
  <c r="K64" i="6" s="1"/>
  <c r="L54" i="6"/>
  <c r="L64" i="6" s="1"/>
  <c r="M54" i="6"/>
  <c r="M64" i="6" s="1"/>
  <c r="N54" i="6"/>
  <c r="N64" i="6" s="1"/>
  <c r="O54" i="6"/>
  <c r="O64" i="6" s="1"/>
  <c r="D54" i="6"/>
  <c r="O43" i="6"/>
  <c r="N43" i="6"/>
  <c r="M43" i="6"/>
  <c r="L43" i="6"/>
  <c r="K43" i="6"/>
  <c r="J43" i="6"/>
  <c r="I43" i="6"/>
  <c r="I56" i="6" s="1"/>
  <c r="H43" i="6"/>
  <c r="H56" i="6" s="1"/>
  <c r="G43" i="6"/>
  <c r="G56" i="6" s="1"/>
  <c r="F43" i="6"/>
  <c r="E43" i="6"/>
  <c r="E56" i="6" s="1"/>
  <c r="D43" i="6"/>
  <c r="P42" i="6"/>
  <c r="P41" i="6"/>
  <c r="AD20" i="6"/>
  <c r="AC20" i="6"/>
  <c r="AB20" i="6"/>
  <c r="AA20" i="6"/>
  <c r="Z20" i="6"/>
  <c r="Y20" i="6"/>
  <c r="X20" i="6"/>
  <c r="W20" i="6"/>
  <c r="V20" i="6"/>
  <c r="U20" i="6"/>
  <c r="T20" i="6"/>
  <c r="S20" i="6"/>
  <c r="P20" i="6"/>
  <c r="AD19" i="6"/>
  <c r="AC19" i="6"/>
  <c r="AB19" i="6"/>
  <c r="AA19" i="6"/>
  <c r="Z19" i="6"/>
  <c r="Y19" i="6"/>
  <c r="X19" i="6"/>
  <c r="W19" i="6"/>
  <c r="V19" i="6"/>
  <c r="U19" i="6"/>
  <c r="T19" i="6"/>
  <c r="S19" i="6"/>
  <c r="P19" i="6"/>
  <c r="O40" i="6"/>
  <c r="N40" i="6"/>
  <c r="N55" i="6" s="1"/>
  <c r="N65" i="6" s="1"/>
  <c r="M40" i="6"/>
  <c r="L40" i="6"/>
  <c r="L55" i="6" s="1"/>
  <c r="L65" i="6" s="1"/>
  <c r="K40" i="6"/>
  <c r="J40" i="6"/>
  <c r="J55" i="6" s="1"/>
  <c r="J65" i="6" s="1"/>
  <c r="I40" i="6"/>
  <c r="H40" i="6"/>
  <c r="H55" i="6" s="1"/>
  <c r="H65" i="6" s="1"/>
  <c r="G40" i="6"/>
  <c r="F40" i="6"/>
  <c r="F55" i="6" s="1"/>
  <c r="F65" i="6" s="1"/>
  <c r="E40" i="6"/>
  <c r="D40" i="6"/>
  <c r="D55" i="6" s="1"/>
  <c r="D65" i="6" s="1"/>
  <c r="P39" i="6"/>
  <c r="P38" i="6"/>
  <c r="O37" i="6"/>
  <c r="N37" i="6"/>
  <c r="N53" i="6" s="1"/>
  <c r="N63" i="6" s="1"/>
  <c r="M37" i="6"/>
  <c r="M53" i="6" s="1"/>
  <c r="M63" i="6" s="1"/>
  <c r="L37" i="6"/>
  <c r="L53" i="6" s="1"/>
  <c r="L63" i="6" s="1"/>
  <c r="K37" i="6"/>
  <c r="J37" i="6"/>
  <c r="J53" i="6" s="1"/>
  <c r="J63" i="6" s="1"/>
  <c r="I37" i="6"/>
  <c r="I53" i="6" s="1"/>
  <c r="I63" i="6" s="1"/>
  <c r="H37" i="6"/>
  <c r="H53" i="6" s="1"/>
  <c r="H63" i="6" s="1"/>
  <c r="G37" i="6"/>
  <c r="F37" i="6"/>
  <c r="F53" i="6" s="1"/>
  <c r="F63" i="6" s="1"/>
  <c r="E37" i="6"/>
  <c r="E53" i="6" s="1"/>
  <c r="E63" i="6" s="1"/>
  <c r="D37" i="6"/>
  <c r="D53" i="6" s="1"/>
  <c r="D63" i="6" s="1"/>
  <c r="P36" i="6"/>
  <c r="P35" i="6"/>
  <c r="O34" i="6"/>
  <c r="N34" i="6"/>
  <c r="N52" i="6" s="1"/>
  <c r="N62" i="6" s="1"/>
  <c r="M34" i="6"/>
  <c r="M52" i="6" s="1"/>
  <c r="M62" i="6" s="1"/>
  <c r="L34" i="6"/>
  <c r="L52" i="6" s="1"/>
  <c r="L62" i="6" s="1"/>
  <c r="K34" i="6"/>
  <c r="J34" i="6"/>
  <c r="J52" i="6" s="1"/>
  <c r="J62" i="6" s="1"/>
  <c r="I34" i="6"/>
  <c r="I52" i="6" s="1"/>
  <c r="I62" i="6" s="1"/>
  <c r="H34" i="6"/>
  <c r="H52" i="6" s="1"/>
  <c r="H62" i="6" s="1"/>
  <c r="G34" i="6"/>
  <c r="F34" i="6"/>
  <c r="F52" i="6" s="1"/>
  <c r="F62" i="6" s="1"/>
  <c r="E34" i="6"/>
  <c r="E52" i="6" s="1"/>
  <c r="E62" i="6" s="1"/>
  <c r="D34" i="6"/>
  <c r="D52" i="6" s="1"/>
  <c r="D62" i="6" s="1"/>
  <c r="P33" i="6"/>
  <c r="P32" i="6"/>
  <c r="O31" i="6"/>
  <c r="O51" i="6" s="1"/>
  <c r="O61" i="6" s="1"/>
  <c r="N31" i="6"/>
  <c r="M31" i="6"/>
  <c r="M51" i="6" s="1"/>
  <c r="M61" i="6" s="1"/>
  <c r="L31" i="6"/>
  <c r="L51" i="6" s="1"/>
  <c r="L61" i="6" s="1"/>
  <c r="K31" i="6"/>
  <c r="K51" i="6" s="1"/>
  <c r="K61" i="6" s="1"/>
  <c r="J31" i="6"/>
  <c r="I31" i="6"/>
  <c r="I51" i="6" s="1"/>
  <c r="I61" i="6" s="1"/>
  <c r="H31" i="6"/>
  <c r="H51" i="6" s="1"/>
  <c r="H61" i="6" s="1"/>
  <c r="G31" i="6"/>
  <c r="G51" i="6" s="1"/>
  <c r="G61" i="6" s="1"/>
  <c r="F31" i="6"/>
  <c r="E31" i="6"/>
  <c r="E51" i="6" s="1"/>
  <c r="E61" i="6" s="1"/>
  <c r="D31" i="6"/>
  <c r="D51" i="6" s="1"/>
  <c r="D61" i="6" s="1"/>
  <c r="P30" i="6"/>
  <c r="P29" i="6"/>
  <c r="O28" i="6"/>
  <c r="O50" i="6" s="1"/>
  <c r="O60" i="6" s="1"/>
  <c r="N28" i="6"/>
  <c r="N50" i="6" s="1"/>
  <c r="N60" i="6" s="1"/>
  <c r="M28" i="6"/>
  <c r="M50" i="6" s="1"/>
  <c r="M60" i="6" s="1"/>
  <c r="L28" i="6"/>
  <c r="L50" i="6" s="1"/>
  <c r="L60" i="6" s="1"/>
  <c r="K28" i="6"/>
  <c r="K50" i="6" s="1"/>
  <c r="K60" i="6" s="1"/>
  <c r="J28" i="6"/>
  <c r="J50" i="6" s="1"/>
  <c r="J60" i="6" s="1"/>
  <c r="I28" i="6"/>
  <c r="H28" i="6"/>
  <c r="G28" i="6"/>
  <c r="F28" i="6"/>
  <c r="E28" i="6"/>
  <c r="D28" i="6"/>
  <c r="P27" i="6"/>
  <c r="P26" i="6"/>
  <c r="AD22" i="6"/>
  <c r="AC22" i="6"/>
  <c r="AB22" i="6"/>
  <c r="AA22" i="6"/>
  <c r="Z22" i="6"/>
  <c r="Y22" i="6"/>
  <c r="X22" i="6"/>
  <c r="W22" i="6"/>
  <c r="V22" i="6"/>
  <c r="U22" i="6"/>
  <c r="T22" i="6"/>
  <c r="S22" i="6"/>
  <c r="P22" i="6"/>
  <c r="AD21" i="6"/>
  <c r="AC21" i="6"/>
  <c r="AB21" i="6"/>
  <c r="AA21" i="6"/>
  <c r="Z21" i="6"/>
  <c r="Y21" i="6"/>
  <c r="X21" i="6"/>
  <c r="W21" i="6"/>
  <c r="V21" i="6"/>
  <c r="U21" i="6"/>
  <c r="T21" i="6"/>
  <c r="S21" i="6"/>
  <c r="P21" i="6"/>
  <c r="AD18" i="6"/>
  <c r="AC18" i="6"/>
  <c r="AB18" i="6"/>
  <c r="AA18" i="6"/>
  <c r="Z18" i="6"/>
  <c r="Y18" i="6"/>
  <c r="X18" i="6"/>
  <c r="W18" i="6"/>
  <c r="V18" i="6"/>
  <c r="U18" i="6"/>
  <c r="T18" i="6"/>
  <c r="S18" i="6"/>
  <c r="P18" i="6"/>
  <c r="AD17" i="6"/>
  <c r="AC17" i="6"/>
  <c r="AB17" i="6"/>
  <c r="AA17" i="6"/>
  <c r="Z17" i="6"/>
  <c r="Y17" i="6"/>
  <c r="X17" i="6"/>
  <c r="W17" i="6"/>
  <c r="V17" i="6"/>
  <c r="U17" i="6"/>
  <c r="T17" i="6"/>
  <c r="S17" i="6"/>
  <c r="P17" i="6"/>
  <c r="AD16" i="6"/>
  <c r="AC16" i="6"/>
  <c r="AB16" i="6"/>
  <c r="AA16" i="6"/>
  <c r="Z16" i="6"/>
  <c r="Y16" i="6"/>
  <c r="X16" i="6"/>
  <c r="W16" i="6"/>
  <c r="V16" i="6"/>
  <c r="U16" i="6"/>
  <c r="T16" i="6"/>
  <c r="S16" i="6"/>
  <c r="P16" i="6"/>
  <c r="AD15" i="6"/>
  <c r="AC15" i="6"/>
  <c r="AB15" i="6"/>
  <c r="AA15" i="6"/>
  <c r="Z15" i="6"/>
  <c r="Y15" i="6"/>
  <c r="X15" i="6"/>
  <c r="W15" i="6"/>
  <c r="V15" i="6"/>
  <c r="U15" i="6"/>
  <c r="T15" i="6"/>
  <c r="S15" i="6"/>
  <c r="P15" i="6"/>
  <c r="AD14" i="6"/>
  <c r="AC14" i="6"/>
  <c r="AB14" i="6"/>
  <c r="AA14" i="6"/>
  <c r="Z14" i="6"/>
  <c r="Y14" i="6"/>
  <c r="X14" i="6"/>
  <c r="W14" i="6"/>
  <c r="V14" i="6"/>
  <c r="U14" i="6"/>
  <c r="T14" i="6"/>
  <c r="S14" i="6"/>
  <c r="P14" i="6"/>
  <c r="AD13" i="6"/>
  <c r="AC13" i="6"/>
  <c r="AB13" i="6"/>
  <c r="AA13" i="6"/>
  <c r="Z13" i="6"/>
  <c r="Y13" i="6"/>
  <c r="X13" i="6"/>
  <c r="W13" i="6"/>
  <c r="V13" i="6"/>
  <c r="U13" i="6"/>
  <c r="T13" i="6"/>
  <c r="S13" i="6"/>
  <c r="P13" i="6"/>
  <c r="AD12" i="6"/>
  <c r="AC12" i="6"/>
  <c r="AB12" i="6"/>
  <c r="AA12" i="6"/>
  <c r="Z12" i="6"/>
  <c r="Y12" i="6"/>
  <c r="X12" i="6"/>
  <c r="W12" i="6"/>
  <c r="V12" i="6"/>
  <c r="U12" i="6"/>
  <c r="T12" i="6"/>
  <c r="S12" i="6"/>
  <c r="P12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AD10" i="6"/>
  <c r="AC10" i="6"/>
  <c r="AB10" i="6"/>
  <c r="AB35" i="6" s="1"/>
  <c r="AA10" i="6"/>
  <c r="AA35" i="6" s="1"/>
  <c r="Z10" i="6"/>
  <c r="Z35" i="6" s="1"/>
  <c r="AA36" i="6" s="1"/>
  <c r="Y10" i="6"/>
  <c r="Y35" i="6" s="1"/>
  <c r="X10" i="6"/>
  <c r="X35" i="6" s="1"/>
  <c r="W10" i="6"/>
  <c r="W35" i="6" s="1"/>
  <c r="V10" i="6"/>
  <c r="V35" i="6" s="1"/>
  <c r="W36" i="6" s="1"/>
  <c r="U10" i="6"/>
  <c r="U35" i="6" s="1"/>
  <c r="T10" i="6"/>
  <c r="T35" i="6" s="1"/>
  <c r="S10" i="6"/>
  <c r="S35" i="6" s="1"/>
  <c r="P10" i="6"/>
  <c r="AD9" i="6"/>
  <c r="AC9" i="6"/>
  <c r="AB9" i="6"/>
  <c r="AA9" i="6"/>
  <c r="Z9" i="6"/>
  <c r="Y9" i="6"/>
  <c r="X9" i="6"/>
  <c r="W9" i="6"/>
  <c r="V9" i="6"/>
  <c r="U9" i="6"/>
  <c r="T9" i="6"/>
  <c r="S9" i="6"/>
  <c r="P9" i="6"/>
  <c r="AD8" i="6"/>
  <c r="AD32" i="6" s="1"/>
  <c r="AC8" i="6"/>
  <c r="AB8" i="6"/>
  <c r="AA8" i="6"/>
  <c r="Z8" i="6"/>
  <c r="Y8" i="6"/>
  <c r="X8" i="6"/>
  <c r="W8" i="6"/>
  <c r="V8" i="6"/>
  <c r="U8" i="6"/>
  <c r="T8" i="6"/>
  <c r="S8" i="6"/>
  <c r="P8" i="6"/>
  <c r="AD7" i="6"/>
  <c r="AC7" i="6"/>
  <c r="AB7" i="6"/>
  <c r="AA7" i="6"/>
  <c r="Z7" i="6"/>
  <c r="Y7" i="6"/>
  <c r="X7" i="6"/>
  <c r="W7" i="6"/>
  <c r="V7" i="6"/>
  <c r="U7" i="6"/>
  <c r="T7" i="6"/>
  <c r="S7" i="6"/>
  <c r="P7" i="6"/>
  <c r="AD6" i="6"/>
  <c r="AD29" i="6" s="1"/>
  <c r="AC6" i="6"/>
  <c r="AB6" i="6"/>
  <c r="AA6" i="6"/>
  <c r="Z6" i="6"/>
  <c r="Y6" i="6"/>
  <c r="X6" i="6"/>
  <c r="W6" i="6"/>
  <c r="V6" i="6"/>
  <c r="U6" i="6"/>
  <c r="T6" i="6"/>
  <c r="S6" i="6"/>
  <c r="P6" i="6"/>
  <c r="AD5" i="6"/>
  <c r="AC5" i="6"/>
  <c r="AB5" i="6"/>
  <c r="AA5" i="6"/>
  <c r="Z5" i="6"/>
  <c r="Y5" i="6"/>
  <c r="X5" i="6"/>
  <c r="W5" i="6"/>
  <c r="V5" i="6"/>
  <c r="U5" i="6"/>
  <c r="T5" i="6"/>
  <c r="S5" i="6"/>
  <c r="P5" i="6"/>
  <c r="AD4" i="6"/>
  <c r="AD26" i="6" s="1"/>
  <c r="AC4" i="6"/>
  <c r="AC26" i="6" s="1"/>
  <c r="AB4" i="6"/>
  <c r="AB26" i="6" s="1"/>
  <c r="AC27" i="6" s="1"/>
  <c r="AA4" i="6"/>
  <c r="AA26" i="6" s="1"/>
  <c r="AB27" i="6" s="1"/>
  <c r="Z4" i="6"/>
  <c r="Z26" i="6" s="1"/>
  <c r="AA27" i="6" s="1"/>
  <c r="Y4" i="6"/>
  <c r="Y26" i="6" s="1"/>
  <c r="Z27" i="6" s="1"/>
  <c r="X4" i="6"/>
  <c r="X26" i="6" s="1"/>
  <c r="Y27" i="6" s="1"/>
  <c r="W4" i="6"/>
  <c r="W26" i="6" s="1"/>
  <c r="X27" i="6" s="1"/>
  <c r="V4" i="6"/>
  <c r="V26" i="6" s="1"/>
  <c r="W27" i="6" s="1"/>
  <c r="U4" i="6"/>
  <c r="U26" i="6" s="1"/>
  <c r="V27" i="6" s="1"/>
  <c r="T4" i="6"/>
  <c r="T26" i="6" s="1"/>
  <c r="U27" i="6" s="1"/>
  <c r="S4" i="6"/>
  <c r="S26" i="6" s="1"/>
  <c r="P4" i="6"/>
  <c r="AD3" i="6"/>
  <c r="AC3" i="6"/>
  <c r="AB3" i="6"/>
  <c r="AA3" i="6"/>
  <c r="Z3" i="6"/>
  <c r="Y3" i="6"/>
  <c r="X3" i="6"/>
  <c r="W3" i="6"/>
  <c r="V3" i="6"/>
  <c r="U3" i="6"/>
  <c r="T3" i="6"/>
  <c r="S3" i="6"/>
  <c r="P3" i="6"/>
  <c r="E50" i="6" l="1"/>
  <c r="E60" i="6" s="1"/>
  <c r="E44" i="6"/>
  <c r="D50" i="6"/>
  <c r="D60" i="6" s="1"/>
  <c r="D44" i="6"/>
  <c r="F50" i="6"/>
  <c r="F60" i="6" s="1"/>
  <c r="F44" i="6"/>
  <c r="L44" i="6"/>
  <c r="G50" i="6"/>
  <c r="G60" i="6" s="1"/>
  <c r="G44" i="6"/>
  <c r="H50" i="6"/>
  <c r="H60" i="6" s="1"/>
  <c r="H44" i="6"/>
  <c r="I50" i="6"/>
  <c r="I60" i="6" s="1"/>
  <c r="I44" i="6"/>
  <c r="J44" i="6"/>
  <c r="S53" i="6"/>
  <c r="S63" i="6" s="1"/>
  <c r="W53" i="6"/>
  <c r="W63" i="6" s="1"/>
  <c r="AA53" i="6"/>
  <c r="AA63" i="6" s="1"/>
  <c r="O56" i="6"/>
  <c r="O44" i="6"/>
  <c r="N56" i="6"/>
  <c r="N66" i="6" s="1"/>
  <c r="N44" i="6"/>
  <c r="M56" i="6"/>
  <c r="M66" i="6" s="1"/>
  <c r="M44" i="6"/>
  <c r="K56" i="6"/>
  <c r="K66" i="6" s="1"/>
  <c r="K44" i="6"/>
  <c r="S42" i="6"/>
  <c r="W41" i="6"/>
  <c r="X42" i="6" s="1"/>
  <c r="AA41" i="6"/>
  <c r="AB42" i="6" s="1"/>
  <c r="T53" i="6"/>
  <c r="T63" i="6" s="1"/>
  <c r="X53" i="6"/>
  <c r="X63" i="6" s="1"/>
  <c r="AB53" i="6"/>
  <c r="AB63" i="6" s="1"/>
  <c r="U41" i="6"/>
  <c r="V42" i="6" s="1"/>
  <c r="Y41" i="6"/>
  <c r="Z42" i="6" s="1"/>
  <c r="V53" i="6"/>
  <c r="V63" i="6" s="1"/>
  <c r="Z53" i="6"/>
  <c r="Z63" i="6" s="1"/>
  <c r="T41" i="6"/>
  <c r="U42" i="6" s="1"/>
  <c r="X41" i="6"/>
  <c r="Y42" i="6" s="1"/>
  <c r="AB41" i="6"/>
  <c r="AC42" i="6" s="1"/>
  <c r="S36" i="6"/>
  <c r="S41" i="6"/>
  <c r="T42" i="6" s="1"/>
  <c r="AA38" i="6"/>
  <c r="AB39" i="6" s="1"/>
  <c r="U53" i="6"/>
  <c r="U63" i="6" s="1"/>
  <c r="Y53" i="6"/>
  <c r="Y63" i="6" s="1"/>
  <c r="AC41" i="6"/>
  <c r="AD42" i="6" s="1"/>
  <c r="AC35" i="6"/>
  <c r="AD36" i="6" s="1"/>
  <c r="AC53" i="6"/>
  <c r="AC63" i="6" s="1"/>
  <c r="AD35" i="6"/>
  <c r="AD53" i="6"/>
  <c r="AD63" i="6" s="1"/>
  <c r="AD27" i="6"/>
  <c r="AE26" i="6"/>
  <c r="V41" i="6"/>
  <c r="W42" i="6" s="1"/>
  <c r="Z41" i="6"/>
  <c r="AA42" i="6" s="1"/>
  <c r="AD41" i="6"/>
  <c r="S38" i="6"/>
  <c r="T39" i="6" s="1"/>
  <c r="W38" i="6"/>
  <c r="X39" i="6" s="1"/>
  <c r="S39" i="6"/>
  <c r="U38" i="6"/>
  <c r="V39" i="6" s="1"/>
  <c r="Y38" i="6"/>
  <c r="Z39" i="6" s="1"/>
  <c r="AC38" i="6"/>
  <c r="T38" i="6"/>
  <c r="U39" i="6" s="1"/>
  <c r="X38" i="6"/>
  <c r="Y39" i="6" s="1"/>
  <c r="AB38" i="6"/>
  <c r="AC39" i="6" s="1"/>
  <c r="V38" i="6"/>
  <c r="W39" i="6" s="1"/>
  <c r="Z38" i="6"/>
  <c r="AA39" i="6" s="1"/>
  <c r="AD38" i="6"/>
  <c r="E66" i="6"/>
  <c r="L56" i="6"/>
  <c r="L66" i="6" s="1"/>
  <c r="H66" i="6"/>
  <c r="I66" i="6"/>
  <c r="D56" i="6"/>
  <c r="D66" i="6" s="1"/>
  <c r="J56" i="6"/>
  <c r="J66" i="6" s="1"/>
  <c r="F56" i="6"/>
  <c r="F66" i="6" s="1"/>
  <c r="G66" i="6"/>
  <c r="O66" i="6"/>
  <c r="P54" i="6"/>
  <c r="P64" i="6" s="1"/>
  <c r="D64" i="6"/>
  <c r="O55" i="6"/>
  <c r="O65" i="6" s="1"/>
  <c r="K55" i="6"/>
  <c r="K65" i="6" s="1"/>
  <c r="G55" i="6"/>
  <c r="G65" i="6" s="1"/>
  <c r="O52" i="6"/>
  <c r="O62" i="6" s="1"/>
  <c r="K52" i="6"/>
  <c r="K62" i="6" s="1"/>
  <c r="G52" i="6"/>
  <c r="N51" i="6"/>
  <c r="N61" i="6" s="1"/>
  <c r="J51" i="6"/>
  <c r="J61" i="6" s="1"/>
  <c r="F51" i="6"/>
  <c r="P43" i="6"/>
  <c r="M55" i="6"/>
  <c r="M65" i="6" s="1"/>
  <c r="I55" i="6"/>
  <c r="I65" i="6" s="1"/>
  <c r="E55" i="6"/>
  <c r="E65" i="6" s="1"/>
  <c r="O53" i="6"/>
  <c r="O63" i="6" s="1"/>
  <c r="K53" i="6"/>
  <c r="K63" i="6" s="1"/>
  <c r="G53" i="6"/>
  <c r="G63" i="6" s="1"/>
  <c r="AE20" i="6"/>
  <c r="AE19" i="6"/>
  <c r="S33" i="6"/>
  <c r="W32" i="6"/>
  <c r="X33" i="6" s="1"/>
  <c r="U32" i="6"/>
  <c r="V33" i="6" s="1"/>
  <c r="Y32" i="6"/>
  <c r="Z33" i="6" s="1"/>
  <c r="AC32" i="6"/>
  <c r="AD33" i="6" s="1"/>
  <c r="X36" i="6"/>
  <c r="U29" i="6"/>
  <c r="V30" i="6" s="1"/>
  <c r="Z32" i="6"/>
  <c r="AA33" i="6" s="1"/>
  <c r="AE15" i="6"/>
  <c r="AE21" i="6"/>
  <c r="AE3" i="6"/>
  <c r="Y29" i="6"/>
  <c r="Z30" i="6" s="1"/>
  <c r="T29" i="6"/>
  <c r="U30" i="6" s="1"/>
  <c r="X29" i="6"/>
  <c r="Y30" i="6" s="1"/>
  <c r="AB29" i="6"/>
  <c r="AC30" i="6" s="1"/>
  <c r="S30" i="6"/>
  <c r="S27" i="6"/>
  <c r="S29" i="6"/>
  <c r="T30" i="6" s="1"/>
  <c r="W29" i="6"/>
  <c r="X30" i="6" s="1"/>
  <c r="AA29" i="6"/>
  <c r="AB30" i="6" s="1"/>
  <c r="V29" i="6"/>
  <c r="W30" i="6" s="1"/>
  <c r="Z29" i="6"/>
  <c r="AA30" i="6" s="1"/>
  <c r="V32" i="6"/>
  <c r="W33" i="6" s="1"/>
  <c r="AB36" i="6"/>
  <c r="AE14" i="6"/>
  <c r="AE18" i="6"/>
  <c r="P28" i="6"/>
  <c r="S32" i="6"/>
  <c r="AC29" i="6"/>
  <c r="AD30" i="6" s="1"/>
  <c r="T32" i="6"/>
  <c r="U33" i="6" s="1"/>
  <c r="X32" i="6"/>
  <c r="Y33" i="6" s="1"/>
  <c r="AB32" i="6"/>
  <c r="AC33" i="6" s="1"/>
  <c r="AA32" i="6"/>
  <c r="AB33" i="6" s="1"/>
  <c r="U36" i="6"/>
  <c r="Y36" i="6"/>
  <c r="AC36" i="6"/>
  <c r="AE10" i="6"/>
  <c r="R37" i="6" s="1"/>
  <c r="AE11" i="6"/>
  <c r="AE16" i="6"/>
  <c r="AE22" i="6"/>
  <c r="AE5" i="6"/>
  <c r="AE12" i="6"/>
  <c r="AE13" i="6"/>
  <c r="AE17" i="6"/>
  <c r="T27" i="6"/>
  <c r="P31" i="6"/>
  <c r="L57" i="6"/>
  <c r="AE7" i="6"/>
  <c r="P34" i="6"/>
  <c r="P37" i="6"/>
  <c r="P40" i="6"/>
  <c r="AE4" i="6"/>
  <c r="AE8" i="6"/>
  <c r="V36" i="6"/>
  <c r="Z36" i="6"/>
  <c r="AE9" i="6"/>
  <c r="AE6" i="6"/>
  <c r="H57" i="6" l="1"/>
  <c r="P50" i="6"/>
  <c r="P60" i="6" s="1"/>
  <c r="P44" i="6"/>
  <c r="P56" i="6"/>
  <c r="P66" i="6" s="1"/>
  <c r="E57" i="6"/>
  <c r="AE27" i="6"/>
  <c r="R43" i="6"/>
  <c r="AD39" i="6"/>
  <c r="AE39" i="6" s="1"/>
  <c r="AE38" i="6"/>
  <c r="R40" i="6"/>
  <c r="Y40" i="6" s="1"/>
  <c r="Y55" i="6" s="1"/>
  <c r="Y65" i="6" s="1"/>
  <c r="P55" i="6"/>
  <c r="P65" i="6" s="1"/>
  <c r="D57" i="6"/>
  <c r="K57" i="6"/>
  <c r="I57" i="6"/>
  <c r="O57" i="6"/>
  <c r="G57" i="6"/>
  <c r="G62" i="6"/>
  <c r="N57" i="6"/>
  <c r="P51" i="6"/>
  <c r="P61" i="6" s="1"/>
  <c r="F61" i="6"/>
  <c r="M57" i="6"/>
  <c r="F57" i="6"/>
  <c r="P53" i="6"/>
  <c r="P63" i="6" s="1"/>
  <c r="P52" i="6"/>
  <c r="P62" i="6" s="1"/>
  <c r="J57" i="6"/>
  <c r="AE32" i="6"/>
  <c r="V37" i="6"/>
  <c r="V54" i="6" s="1"/>
  <c r="V64" i="6" s="1"/>
  <c r="AE30" i="6"/>
  <c r="R31" i="6"/>
  <c r="AA31" i="6" s="1"/>
  <c r="T33" i="6"/>
  <c r="AE33" i="6" s="1"/>
  <c r="AE29" i="6"/>
  <c r="R34" i="6"/>
  <c r="W34" i="6" s="1"/>
  <c r="AE35" i="6"/>
  <c r="T36" i="6"/>
  <c r="AE36" i="6" s="1"/>
  <c r="R28" i="6"/>
  <c r="AD45" i="6"/>
  <c r="Z45" i="6"/>
  <c r="V45" i="6"/>
  <c r="AA45" i="6"/>
  <c r="U45" i="6"/>
  <c r="Y45" i="6"/>
  <c r="T45" i="6"/>
  <c r="AC45" i="6"/>
  <c r="X45" i="6"/>
  <c r="S45" i="6"/>
  <c r="AB45" i="6"/>
  <c r="W45" i="6"/>
  <c r="AA46" i="6"/>
  <c r="W46" i="6"/>
  <c r="S46" i="6"/>
  <c r="AB46" i="6"/>
  <c r="V46" i="6"/>
  <c r="Z46" i="6"/>
  <c r="U46" i="6"/>
  <c r="AD46" i="6"/>
  <c r="Y46" i="6"/>
  <c r="T46" i="6"/>
  <c r="AC46" i="6"/>
  <c r="X46" i="6"/>
  <c r="AE53" i="6"/>
  <c r="AE63" i="6" s="1"/>
  <c r="Z40" i="6" l="1"/>
  <c r="Z55" i="6" s="1"/>
  <c r="Z65" i="6" s="1"/>
  <c r="AD40" i="6"/>
  <c r="AD55" i="6" s="1"/>
  <c r="AD65" i="6" s="1"/>
  <c r="W40" i="6"/>
  <c r="W55" i="6" s="1"/>
  <c r="W65" i="6" s="1"/>
  <c r="V40" i="6"/>
  <c r="V55" i="6" s="1"/>
  <c r="V65" i="6" s="1"/>
  <c r="AB40" i="6"/>
  <c r="AB55" i="6" s="1"/>
  <c r="AB65" i="6" s="1"/>
  <c r="AA51" i="6"/>
  <c r="AA61" i="6" s="1"/>
  <c r="AA40" i="6"/>
  <c r="AA55" i="6" s="1"/>
  <c r="AA65" i="6" s="1"/>
  <c r="U40" i="6"/>
  <c r="U55" i="6" s="1"/>
  <c r="U65" i="6" s="1"/>
  <c r="S40" i="6"/>
  <c r="S55" i="6" s="1"/>
  <c r="T40" i="6"/>
  <c r="T55" i="6" s="1"/>
  <c r="T65" i="6" s="1"/>
  <c r="X40" i="6"/>
  <c r="X55" i="6" s="1"/>
  <c r="X65" i="6" s="1"/>
  <c r="AC40" i="6"/>
  <c r="AC55" i="6" s="1"/>
  <c r="AC65" i="6" s="1"/>
  <c r="AE42" i="6"/>
  <c r="P57" i="6"/>
  <c r="AE41" i="6"/>
  <c r="AB31" i="6"/>
  <c r="AB51" i="6" s="1"/>
  <c r="AB61" i="6" s="1"/>
  <c r="V31" i="6"/>
  <c r="V51" i="6" s="1"/>
  <c r="V61" i="6" s="1"/>
  <c r="AA43" i="6"/>
  <c r="AA56" i="6" s="1"/>
  <c r="AA66" i="6" s="1"/>
  <c r="AB43" i="6"/>
  <c r="AB56" i="6" s="1"/>
  <c r="AB66" i="6" s="1"/>
  <c r="T43" i="6"/>
  <c r="T56" i="6" s="1"/>
  <c r="T66" i="6" s="1"/>
  <c r="Y43" i="6"/>
  <c r="Y56" i="6" s="1"/>
  <c r="Y66" i="6" s="1"/>
  <c r="X43" i="6"/>
  <c r="X56" i="6" s="1"/>
  <c r="X66" i="6" s="1"/>
  <c r="AC43" i="6"/>
  <c r="AC56" i="6" s="1"/>
  <c r="AC66" i="6" s="1"/>
  <c r="U43" i="6"/>
  <c r="U56" i="6" s="1"/>
  <c r="U66" i="6" s="1"/>
  <c r="AD43" i="6"/>
  <c r="AD56" i="6" s="1"/>
  <c r="AD66" i="6" s="1"/>
  <c r="V43" i="6"/>
  <c r="V56" i="6" s="1"/>
  <c r="V66" i="6" s="1"/>
  <c r="Z43" i="6"/>
  <c r="Z56" i="6" s="1"/>
  <c r="Z66" i="6" s="1"/>
  <c r="S43" i="6"/>
  <c r="S56" i="6" s="1"/>
  <c r="S66" i="6" s="1"/>
  <c r="W43" i="6"/>
  <c r="W56" i="6" s="1"/>
  <c r="W66" i="6" s="1"/>
  <c r="T31" i="6"/>
  <c r="T51" i="6" s="1"/>
  <c r="T61" i="6" s="1"/>
  <c r="X31" i="6"/>
  <c r="X51" i="6" s="1"/>
  <c r="X61" i="6" s="1"/>
  <c r="AD31" i="6"/>
  <c r="AD51" i="6" s="1"/>
  <c r="AD61" i="6" s="1"/>
  <c r="U31" i="6"/>
  <c r="U51" i="6" s="1"/>
  <c r="U61" i="6" s="1"/>
  <c r="AC34" i="6"/>
  <c r="S34" i="6"/>
  <c r="S37" i="6"/>
  <c r="Z37" i="6"/>
  <c r="Z54" i="6" s="1"/>
  <c r="Z64" i="6" s="1"/>
  <c r="Z34" i="6"/>
  <c r="W37" i="6"/>
  <c r="W54" i="6" s="1"/>
  <c r="W64" i="6" s="1"/>
  <c r="S31" i="6"/>
  <c r="S51" i="6" s="1"/>
  <c r="S61" i="6" s="1"/>
  <c r="Y31" i="6"/>
  <c r="Y51" i="6" s="1"/>
  <c r="Y61" i="6" s="1"/>
  <c r="Z31" i="6"/>
  <c r="Z51" i="6" s="1"/>
  <c r="Z61" i="6" s="1"/>
  <c r="X34" i="6"/>
  <c r="AC37" i="6"/>
  <c r="AC54" i="6" s="1"/>
  <c r="AC64" i="6" s="1"/>
  <c r="U37" i="6"/>
  <c r="U54" i="6" s="1"/>
  <c r="U64" i="6" s="1"/>
  <c r="T37" i="6"/>
  <c r="T54" i="6" s="1"/>
  <c r="T64" i="6" s="1"/>
  <c r="AB37" i="6"/>
  <c r="AB54" i="6" s="1"/>
  <c r="AB64" i="6" s="1"/>
  <c r="Y37" i="6"/>
  <c r="Y54" i="6" s="1"/>
  <c r="Y64" i="6" s="1"/>
  <c r="AA37" i="6"/>
  <c r="AA54" i="6" s="1"/>
  <c r="AA64" i="6" s="1"/>
  <c r="W31" i="6"/>
  <c r="W51" i="6" s="1"/>
  <c r="W61" i="6" s="1"/>
  <c r="AC31" i="6"/>
  <c r="AC51" i="6" s="1"/>
  <c r="AC61" i="6" s="1"/>
  <c r="U34" i="6"/>
  <c r="AD34" i="6"/>
  <c r="AD37" i="6"/>
  <c r="AD54" i="6" s="1"/>
  <c r="AD64" i="6" s="1"/>
  <c r="X37" i="6"/>
  <c r="X54" i="6" s="1"/>
  <c r="X64" i="6" s="1"/>
  <c r="AB34" i="6"/>
  <c r="Y34" i="6"/>
  <c r="AA34" i="6"/>
  <c r="V34" i="6"/>
  <c r="T34" i="6"/>
  <c r="AC47" i="6"/>
  <c r="Y47" i="6"/>
  <c r="U47" i="6"/>
  <c r="Z47" i="6"/>
  <c r="T47" i="6"/>
  <c r="X47" i="6"/>
  <c r="AD47" i="6"/>
  <c r="W47" i="6"/>
  <c r="W52" i="6" s="1"/>
  <c r="W62" i="6" s="1"/>
  <c r="AB47" i="6"/>
  <c r="V47" i="6"/>
  <c r="AA47" i="6"/>
  <c r="S47" i="6"/>
  <c r="AE46" i="6"/>
  <c r="AE45" i="6"/>
  <c r="AC28" i="6"/>
  <c r="AC50" i="6" s="1"/>
  <c r="AC60" i="6" s="1"/>
  <c r="Y28" i="6"/>
  <c r="Y50" i="6" s="1"/>
  <c r="Y60" i="6" s="1"/>
  <c r="U28" i="6"/>
  <c r="U50" i="6" s="1"/>
  <c r="U60" i="6" s="1"/>
  <c r="AA28" i="6"/>
  <c r="AA50" i="6" s="1"/>
  <c r="AA60" i="6" s="1"/>
  <c r="V28" i="6"/>
  <c r="V50" i="6" s="1"/>
  <c r="V60" i="6" s="1"/>
  <c r="Z28" i="6"/>
  <c r="Z50" i="6" s="1"/>
  <c r="Z60" i="6" s="1"/>
  <c r="T28" i="6"/>
  <c r="T50" i="6" s="1"/>
  <c r="T60" i="6" s="1"/>
  <c r="AD28" i="6"/>
  <c r="AD50" i="6" s="1"/>
  <c r="AD60" i="6" s="1"/>
  <c r="X28" i="6"/>
  <c r="X50" i="6" s="1"/>
  <c r="X60" i="6" s="1"/>
  <c r="S28" i="6"/>
  <c r="S50" i="6" s="1"/>
  <c r="S60" i="6" s="1"/>
  <c r="AB28" i="6"/>
  <c r="AB50" i="6" s="1"/>
  <c r="AB60" i="6" s="1"/>
  <c r="W28" i="6"/>
  <c r="W50" i="6" s="1"/>
  <c r="W60" i="6" s="1"/>
  <c r="AB52" i="6" l="1"/>
  <c r="AB62" i="6" s="1"/>
  <c r="T52" i="6"/>
  <c r="T62" i="6" s="1"/>
  <c r="AE56" i="6"/>
  <c r="AE66" i="6" s="1"/>
  <c r="V52" i="6"/>
  <c r="V62" i="6" s="1"/>
  <c r="AC52" i="6"/>
  <c r="AC62" i="6" s="1"/>
  <c r="X52" i="6"/>
  <c r="X62" i="6" s="1"/>
  <c r="S52" i="6"/>
  <c r="S62" i="6" s="1"/>
  <c r="Z52" i="6"/>
  <c r="Z62" i="6" s="1"/>
  <c r="S65" i="6"/>
  <c r="S54" i="6"/>
  <c r="Y52" i="6"/>
  <c r="Y62" i="6" s="1"/>
  <c r="AA52" i="6"/>
  <c r="AA62" i="6" s="1"/>
  <c r="AD52" i="6"/>
  <c r="AD62" i="6" s="1"/>
  <c r="U52" i="6"/>
  <c r="U62" i="6" s="1"/>
  <c r="AE40" i="6"/>
  <c r="AE43" i="6"/>
  <c r="AE31" i="6"/>
  <c r="AE55" i="6"/>
  <c r="AE34" i="6"/>
  <c r="AE37" i="6"/>
  <c r="W57" i="6"/>
  <c r="AE28" i="6"/>
  <c r="AE47" i="6"/>
  <c r="E45" i="5"/>
  <c r="E53" i="5" s="1"/>
  <c r="F45" i="5"/>
  <c r="F53" i="5" s="1"/>
  <c r="G45" i="5"/>
  <c r="G53" i="5" s="1"/>
  <c r="H45" i="5"/>
  <c r="H53" i="5" s="1"/>
  <c r="I45" i="5"/>
  <c r="I53" i="5" s="1"/>
  <c r="J45" i="5"/>
  <c r="J53" i="5" s="1"/>
  <c r="K45" i="5"/>
  <c r="K53" i="5" s="1"/>
  <c r="L45" i="5"/>
  <c r="L53" i="5" s="1"/>
  <c r="M45" i="5"/>
  <c r="M53" i="5" s="1"/>
  <c r="N45" i="5"/>
  <c r="O45" i="5"/>
  <c r="D45" i="5"/>
  <c r="S13" i="5"/>
  <c r="T13" i="5"/>
  <c r="U13" i="5"/>
  <c r="V13" i="5"/>
  <c r="W13" i="5"/>
  <c r="X13" i="5"/>
  <c r="Y13" i="5"/>
  <c r="Z13" i="5"/>
  <c r="AA13" i="5"/>
  <c r="AB13" i="5"/>
  <c r="AC13" i="5"/>
  <c r="AD13" i="5"/>
  <c r="S8" i="5"/>
  <c r="T8" i="5"/>
  <c r="U8" i="5"/>
  <c r="V8" i="5"/>
  <c r="W8" i="5"/>
  <c r="X8" i="5"/>
  <c r="Y8" i="5"/>
  <c r="Z8" i="5"/>
  <c r="AA8" i="5"/>
  <c r="AB8" i="5"/>
  <c r="AC8" i="5"/>
  <c r="AD8" i="5"/>
  <c r="S22" i="5"/>
  <c r="T22" i="5"/>
  <c r="T35" i="5" s="1"/>
  <c r="U36" i="5" s="1"/>
  <c r="U22" i="5"/>
  <c r="U35" i="5" s="1"/>
  <c r="V36" i="5" s="1"/>
  <c r="V22" i="5"/>
  <c r="V35" i="5" s="1"/>
  <c r="W36" i="5" s="1"/>
  <c r="W22" i="5"/>
  <c r="W35" i="5" s="1"/>
  <c r="X36" i="5" s="1"/>
  <c r="X22" i="5"/>
  <c r="X35" i="5" s="1"/>
  <c r="Y36" i="5" s="1"/>
  <c r="Y22" i="5"/>
  <c r="Y35" i="5" s="1"/>
  <c r="Z36" i="5" s="1"/>
  <c r="Z22" i="5"/>
  <c r="Z35" i="5" s="1"/>
  <c r="AA36" i="5" s="1"/>
  <c r="AA22" i="5"/>
  <c r="AA35" i="5" s="1"/>
  <c r="AB36" i="5" s="1"/>
  <c r="AB22" i="5"/>
  <c r="AB35" i="5" s="1"/>
  <c r="AC36" i="5" s="1"/>
  <c r="AC22" i="5"/>
  <c r="AC35" i="5" s="1"/>
  <c r="AD22" i="5"/>
  <c r="AD35" i="5" s="1"/>
  <c r="P13" i="5"/>
  <c r="P8" i="5"/>
  <c r="AC57" i="6" l="1"/>
  <c r="AB57" i="6"/>
  <c r="T57" i="6"/>
  <c r="S36" i="5"/>
  <c r="S35" i="5"/>
  <c r="T36" i="5" s="1"/>
  <c r="AE65" i="6"/>
  <c r="AF54" i="6"/>
  <c r="S64" i="6"/>
  <c r="AE54" i="6"/>
  <c r="AE64" i="6" s="1"/>
  <c r="AA57" i="6"/>
  <c r="U57" i="6"/>
  <c r="X57" i="6"/>
  <c r="Z57" i="6"/>
  <c r="AD57" i="6"/>
  <c r="Y57" i="6"/>
  <c r="V57" i="6"/>
  <c r="AE51" i="6"/>
  <c r="AE52" i="6"/>
  <c r="AE62" i="6" s="1"/>
  <c r="S57" i="6"/>
  <c r="AE50" i="6"/>
  <c r="AE8" i="5"/>
  <c r="AE13" i="5"/>
  <c r="AE61" i="6" l="1"/>
  <c r="AF52" i="6"/>
  <c r="AE60" i="6"/>
  <c r="AF50" i="6"/>
  <c r="AE57" i="6"/>
  <c r="O53" i="5"/>
  <c r="N53" i="5"/>
  <c r="D53" i="5"/>
  <c r="P40" i="5"/>
  <c r="P39" i="5"/>
  <c r="O37" i="5"/>
  <c r="N37" i="5"/>
  <c r="M37" i="5"/>
  <c r="L37" i="5"/>
  <c r="K37" i="5"/>
  <c r="J37" i="5"/>
  <c r="I37" i="5"/>
  <c r="H37" i="5"/>
  <c r="G37" i="5"/>
  <c r="F37" i="5"/>
  <c r="E37" i="5"/>
  <c r="D37" i="5"/>
  <c r="P36" i="5"/>
  <c r="AD36" i="5"/>
  <c r="P35" i="5"/>
  <c r="O34" i="5"/>
  <c r="N34" i="5"/>
  <c r="M34" i="5"/>
  <c r="L34" i="5"/>
  <c r="K34" i="5"/>
  <c r="J34" i="5"/>
  <c r="I34" i="5"/>
  <c r="H34" i="5"/>
  <c r="G34" i="5"/>
  <c r="F34" i="5"/>
  <c r="E34" i="5"/>
  <c r="D34" i="5"/>
  <c r="D46" i="5" s="1"/>
  <c r="D54" i="5" s="1"/>
  <c r="P33" i="5"/>
  <c r="P32" i="5"/>
  <c r="O31" i="5"/>
  <c r="N31" i="5"/>
  <c r="M31" i="5"/>
  <c r="L31" i="5"/>
  <c r="K31" i="5"/>
  <c r="J31" i="5"/>
  <c r="I31" i="5"/>
  <c r="H31" i="5"/>
  <c r="G31" i="5"/>
  <c r="F31" i="5"/>
  <c r="E31" i="5"/>
  <c r="D31" i="5"/>
  <c r="D44" i="5" s="1"/>
  <c r="P30" i="5"/>
  <c r="P29" i="5"/>
  <c r="O28" i="5"/>
  <c r="N28" i="5"/>
  <c r="N38" i="5" s="1"/>
  <c r="M28" i="5"/>
  <c r="L28" i="5"/>
  <c r="K28" i="5"/>
  <c r="J28" i="5"/>
  <c r="I28" i="5"/>
  <c r="H28" i="5"/>
  <c r="G28" i="5"/>
  <c r="F28" i="5"/>
  <c r="E28" i="5"/>
  <c r="D28" i="5"/>
  <c r="P27" i="5"/>
  <c r="P26" i="5"/>
  <c r="AE24" i="5"/>
  <c r="P24" i="5"/>
  <c r="AD23" i="5"/>
  <c r="AC23" i="5"/>
  <c r="AB23" i="5"/>
  <c r="AA23" i="5"/>
  <c r="Z23" i="5"/>
  <c r="Y23" i="5"/>
  <c r="X23" i="5"/>
  <c r="W23" i="5"/>
  <c r="V23" i="5"/>
  <c r="U23" i="5"/>
  <c r="T23" i="5"/>
  <c r="S23" i="5"/>
  <c r="P23" i="5"/>
  <c r="P22" i="5"/>
  <c r="AD21" i="5"/>
  <c r="AC21" i="5"/>
  <c r="AB21" i="5"/>
  <c r="AA21" i="5"/>
  <c r="Z21" i="5"/>
  <c r="Y21" i="5"/>
  <c r="X21" i="5"/>
  <c r="W21" i="5"/>
  <c r="V21" i="5"/>
  <c r="U21" i="5"/>
  <c r="T21" i="5"/>
  <c r="S21" i="5"/>
  <c r="P21" i="5"/>
  <c r="AD20" i="5"/>
  <c r="AD32" i="5" s="1"/>
  <c r="AC20" i="5"/>
  <c r="AC32" i="5" s="1"/>
  <c r="AD33" i="5" s="1"/>
  <c r="AB20" i="5"/>
  <c r="AB32" i="5" s="1"/>
  <c r="AC33" i="5" s="1"/>
  <c r="AA20" i="5"/>
  <c r="AA32" i="5" s="1"/>
  <c r="AB33" i="5" s="1"/>
  <c r="Z20" i="5"/>
  <c r="Z32" i="5" s="1"/>
  <c r="AA33" i="5" s="1"/>
  <c r="Y20" i="5"/>
  <c r="Y32" i="5" s="1"/>
  <c r="Z33" i="5" s="1"/>
  <c r="X20" i="5"/>
  <c r="X32" i="5" s="1"/>
  <c r="Y33" i="5" s="1"/>
  <c r="W20" i="5"/>
  <c r="W32" i="5" s="1"/>
  <c r="X33" i="5" s="1"/>
  <c r="V20" i="5"/>
  <c r="V32" i="5" s="1"/>
  <c r="W33" i="5" s="1"/>
  <c r="U20" i="5"/>
  <c r="U32" i="5" s="1"/>
  <c r="V33" i="5" s="1"/>
  <c r="T20" i="5"/>
  <c r="T32" i="5" s="1"/>
  <c r="U33" i="5" s="1"/>
  <c r="S20" i="5"/>
  <c r="P20" i="5"/>
  <c r="AD19" i="5"/>
  <c r="AC19" i="5"/>
  <c r="AB19" i="5"/>
  <c r="AA19" i="5"/>
  <c r="Z19" i="5"/>
  <c r="Y19" i="5"/>
  <c r="X19" i="5"/>
  <c r="W19" i="5"/>
  <c r="V19" i="5"/>
  <c r="U19" i="5"/>
  <c r="T19" i="5"/>
  <c r="S19" i="5"/>
  <c r="P19" i="5"/>
  <c r="AD18" i="5"/>
  <c r="AC18" i="5"/>
  <c r="AB18" i="5"/>
  <c r="AA18" i="5"/>
  <c r="Z18" i="5"/>
  <c r="Y18" i="5"/>
  <c r="X18" i="5"/>
  <c r="W18" i="5"/>
  <c r="V18" i="5"/>
  <c r="U18" i="5"/>
  <c r="T18" i="5"/>
  <c r="S18" i="5"/>
  <c r="P18" i="5"/>
  <c r="AD17" i="5"/>
  <c r="AC17" i="5"/>
  <c r="AB17" i="5"/>
  <c r="AA17" i="5"/>
  <c r="Z17" i="5"/>
  <c r="Y17" i="5"/>
  <c r="X17" i="5"/>
  <c r="W17" i="5"/>
  <c r="V17" i="5"/>
  <c r="U17" i="5"/>
  <c r="T17" i="5"/>
  <c r="S17" i="5"/>
  <c r="P17" i="5"/>
  <c r="AD16" i="5"/>
  <c r="AC16" i="5"/>
  <c r="AB16" i="5"/>
  <c r="AA16" i="5"/>
  <c r="Z16" i="5"/>
  <c r="Y16" i="5"/>
  <c r="X16" i="5"/>
  <c r="W16" i="5"/>
  <c r="V16" i="5"/>
  <c r="U16" i="5"/>
  <c r="T16" i="5"/>
  <c r="S16" i="5"/>
  <c r="P16" i="5"/>
  <c r="AD15" i="5"/>
  <c r="AC15" i="5"/>
  <c r="AB15" i="5"/>
  <c r="AA15" i="5"/>
  <c r="Z15" i="5"/>
  <c r="Y15" i="5"/>
  <c r="X15" i="5"/>
  <c r="W15" i="5"/>
  <c r="V15" i="5"/>
  <c r="U15" i="5"/>
  <c r="T15" i="5"/>
  <c r="S15" i="5"/>
  <c r="P15" i="5"/>
  <c r="AD14" i="5"/>
  <c r="AC14" i="5"/>
  <c r="AB14" i="5"/>
  <c r="AA14" i="5"/>
  <c r="Z14" i="5"/>
  <c r="Y14" i="5"/>
  <c r="X14" i="5"/>
  <c r="W14" i="5"/>
  <c r="V14" i="5"/>
  <c r="U14" i="5"/>
  <c r="T14" i="5"/>
  <c r="S14" i="5"/>
  <c r="P14" i="5"/>
  <c r="AD12" i="5"/>
  <c r="AC12" i="5"/>
  <c r="AB12" i="5"/>
  <c r="AA12" i="5"/>
  <c r="Z12" i="5"/>
  <c r="Y12" i="5"/>
  <c r="X12" i="5"/>
  <c r="W12" i="5"/>
  <c r="V12" i="5"/>
  <c r="U12" i="5"/>
  <c r="T12" i="5"/>
  <c r="S12" i="5"/>
  <c r="P12" i="5"/>
  <c r="AD11" i="5"/>
  <c r="AC11" i="5"/>
  <c r="AB11" i="5"/>
  <c r="AA11" i="5"/>
  <c r="Z11" i="5"/>
  <c r="Y11" i="5"/>
  <c r="X11" i="5"/>
  <c r="W11" i="5"/>
  <c r="V11" i="5"/>
  <c r="U11" i="5"/>
  <c r="T11" i="5"/>
  <c r="S11" i="5"/>
  <c r="P11" i="5"/>
  <c r="AD10" i="5"/>
  <c r="AC10" i="5"/>
  <c r="AB10" i="5"/>
  <c r="AA10" i="5"/>
  <c r="Z10" i="5"/>
  <c r="Y10" i="5"/>
  <c r="X10" i="5"/>
  <c r="W10" i="5"/>
  <c r="V10" i="5"/>
  <c r="U10" i="5"/>
  <c r="T10" i="5"/>
  <c r="S10" i="5"/>
  <c r="P10" i="5"/>
  <c r="AD9" i="5"/>
  <c r="AC9" i="5"/>
  <c r="AB9" i="5"/>
  <c r="AA9" i="5"/>
  <c r="Z9" i="5"/>
  <c r="Y9" i="5"/>
  <c r="X9" i="5"/>
  <c r="W9" i="5"/>
  <c r="V9" i="5"/>
  <c r="U9" i="5"/>
  <c r="T9" i="5"/>
  <c r="S9" i="5"/>
  <c r="P9" i="5"/>
  <c r="Q9" i="5" s="1"/>
  <c r="AD7" i="5"/>
  <c r="AC7" i="5"/>
  <c r="AB7" i="5"/>
  <c r="AA7" i="5"/>
  <c r="Z7" i="5"/>
  <c r="Y7" i="5"/>
  <c r="X7" i="5"/>
  <c r="W7" i="5"/>
  <c r="V7" i="5"/>
  <c r="U7" i="5"/>
  <c r="T7" i="5"/>
  <c r="S7" i="5"/>
  <c r="P7" i="5"/>
  <c r="AD6" i="5"/>
  <c r="AC6" i="5"/>
  <c r="AB6" i="5"/>
  <c r="AA6" i="5"/>
  <c r="Z6" i="5"/>
  <c r="Y6" i="5"/>
  <c r="X6" i="5"/>
  <c r="W6" i="5"/>
  <c r="V6" i="5"/>
  <c r="U6" i="5"/>
  <c r="T6" i="5"/>
  <c r="S6" i="5"/>
  <c r="P6" i="5"/>
  <c r="AD5" i="5"/>
  <c r="AC5" i="5"/>
  <c r="AB5" i="5"/>
  <c r="AA5" i="5"/>
  <c r="Z5" i="5"/>
  <c r="Y5" i="5"/>
  <c r="X5" i="5"/>
  <c r="W5" i="5"/>
  <c r="V5" i="5"/>
  <c r="U5" i="5"/>
  <c r="T5" i="5"/>
  <c r="S5" i="5"/>
  <c r="P5" i="5"/>
  <c r="AD4" i="5"/>
  <c r="AC4" i="5"/>
  <c r="AB4" i="5"/>
  <c r="AA4" i="5"/>
  <c r="Z4" i="5"/>
  <c r="Y4" i="5"/>
  <c r="X4" i="5"/>
  <c r="W4" i="5"/>
  <c r="V4" i="5"/>
  <c r="U4" i="5"/>
  <c r="T4" i="5"/>
  <c r="S4" i="5"/>
  <c r="P4" i="5"/>
  <c r="AD3" i="5"/>
  <c r="AC3" i="5"/>
  <c r="AB3" i="5"/>
  <c r="AA3" i="5"/>
  <c r="Z3" i="5"/>
  <c r="Y3" i="5"/>
  <c r="X3" i="5"/>
  <c r="W3" i="5"/>
  <c r="V3" i="5"/>
  <c r="U3" i="5"/>
  <c r="T3" i="5"/>
  <c r="S3" i="5"/>
  <c r="P3" i="5"/>
  <c r="L38" i="5" l="1"/>
  <c r="H38" i="5"/>
  <c r="F43" i="5"/>
  <c r="F51" i="5" s="1"/>
  <c r="F38" i="5"/>
  <c r="G43" i="5"/>
  <c r="G51" i="5" s="1"/>
  <c r="G38" i="5"/>
  <c r="O43" i="5"/>
  <c r="O51" i="5" s="1"/>
  <c r="O38" i="5"/>
  <c r="I43" i="5"/>
  <c r="I51" i="5" s="1"/>
  <c r="I38" i="5"/>
  <c r="J43" i="5"/>
  <c r="J51" i="5" s="1"/>
  <c r="J38" i="5"/>
  <c r="K43" i="5"/>
  <c r="K51" i="5" s="1"/>
  <c r="K38" i="5"/>
  <c r="E43" i="5"/>
  <c r="E51" i="5" s="1"/>
  <c r="E38" i="5"/>
  <c r="M43" i="5"/>
  <c r="M51" i="5" s="1"/>
  <c r="M38" i="5"/>
  <c r="D43" i="5"/>
  <c r="D51" i="5" s="1"/>
  <c r="D38" i="5"/>
  <c r="AF57" i="6"/>
  <c r="Q8" i="5"/>
  <c r="Q7" i="5"/>
  <c r="S32" i="5"/>
  <c r="T33" i="5" s="1"/>
  <c r="S33" i="5"/>
  <c r="J46" i="5"/>
  <c r="J54" i="5" s="1"/>
  <c r="D47" i="5"/>
  <c r="D48" i="5" s="1"/>
  <c r="H47" i="5"/>
  <c r="H55" i="5" s="1"/>
  <c r="E44" i="5"/>
  <c r="I44" i="5"/>
  <c r="I52" i="5" s="1"/>
  <c r="M44" i="5"/>
  <c r="M52" i="5" s="1"/>
  <c r="G46" i="5"/>
  <c r="G54" i="5" s="1"/>
  <c r="K46" i="5"/>
  <c r="K54" i="5" s="1"/>
  <c r="O46" i="5"/>
  <c r="O54" i="5" s="1"/>
  <c r="E47" i="5"/>
  <c r="E55" i="5" s="1"/>
  <c r="I47" i="5"/>
  <c r="I55" i="5" s="1"/>
  <c r="M47" i="5"/>
  <c r="M55" i="5" s="1"/>
  <c r="H44" i="5"/>
  <c r="H52" i="5" s="1"/>
  <c r="L47" i="5"/>
  <c r="L55" i="5" s="1"/>
  <c r="H43" i="5"/>
  <c r="H51" i="5" s="1"/>
  <c r="L43" i="5"/>
  <c r="F44" i="5"/>
  <c r="F52" i="5" s="1"/>
  <c r="J44" i="5"/>
  <c r="N44" i="5"/>
  <c r="N52" i="5" s="1"/>
  <c r="H46" i="5"/>
  <c r="H54" i="5" s="1"/>
  <c r="L46" i="5"/>
  <c r="L54" i="5" s="1"/>
  <c r="F47" i="5"/>
  <c r="F55" i="5" s="1"/>
  <c r="J47" i="5"/>
  <c r="J55" i="5" s="1"/>
  <c r="N47" i="5"/>
  <c r="N55" i="5" s="1"/>
  <c r="N43" i="5"/>
  <c r="N51" i="5" s="1"/>
  <c r="L44" i="5"/>
  <c r="L52" i="5" s="1"/>
  <c r="F46" i="5"/>
  <c r="F54" i="5" s="1"/>
  <c r="N46" i="5"/>
  <c r="N54" i="5" s="1"/>
  <c r="G44" i="5"/>
  <c r="G52" i="5" s="1"/>
  <c r="K44" i="5"/>
  <c r="O44" i="5"/>
  <c r="O52" i="5" s="1"/>
  <c r="E46" i="5"/>
  <c r="I46" i="5"/>
  <c r="I54" i="5" s="1"/>
  <c r="M46" i="5"/>
  <c r="M54" i="5" s="1"/>
  <c r="G47" i="5"/>
  <c r="G55" i="5" s="1"/>
  <c r="K47" i="5"/>
  <c r="K55" i="5" s="1"/>
  <c r="O47" i="5"/>
  <c r="O55" i="5" s="1"/>
  <c r="AE36" i="5"/>
  <c r="AE35" i="5"/>
  <c r="V26" i="5"/>
  <c r="W27" i="5" s="1"/>
  <c r="Z26" i="5"/>
  <c r="AA27" i="5" s="1"/>
  <c r="AD26" i="5"/>
  <c r="X26" i="5"/>
  <c r="Y27" i="5" s="1"/>
  <c r="AA26" i="5"/>
  <c r="AB27" i="5" s="1"/>
  <c r="AE16" i="5"/>
  <c r="AE22" i="5"/>
  <c r="R37" i="5" s="1"/>
  <c r="S26" i="5"/>
  <c r="T27" i="5" s="1"/>
  <c r="T26" i="5"/>
  <c r="U27" i="5" s="1"/>
  <c r="AB26" i="5"/>
  <c r="AC27" i="5" s="1"/>
  <c r="Q6" i="5"/>
  <c r="AE9" i="5"/>
  <c r="AE3" i="5"/>
  <c r="P34" i="5"/>
  <c r="AE19" i="5"/>
  <c r="AE23" i="5"/>
  <c r="Q4" i="5"/>
  <c r="R39" i="5" s="1"/>
  <c r="U26" i="5"/>
  <c r="V27" i="5" s="1"/>
  <c r="Y26" i="5"/>
  <c r="Z27" i="5" s="1"/>
  <c r="AC26" i="5"/>
  <c r="AD27" i="5" s="1"/>
  <c r="T29" i="5"/>
  <c r="U30" i="5" s="1"/>
  <c r="X29" i="5"/>
  <c r="Y30" i="5" s="1"/>
  <c r="AB29" i="5"/>
  <c r="AC30" i="5" s="1"/>
  <c r="U29" i="5"/>
  <c r="V30" i="5" s="1"/>
  <c r="Y29" i="5"/>
  <c r="Z30" i="5" s="1"/>
  <c r="AC29" i="5"/>
  <c r="AD30" i="5" s="1"/>
  <c r="S30" i="5"/>
  <c r="W29" i="5"/>
  <c r="X30" i="5" s="1"/>
  <c r="AA29" i="5"/>
  <c r="AB30" i="5" s="1"/>
  <c r="S45" i="5"/>
  <c r="S53" i="5" s="1"/>
  <c r="AA45" i="5"/>
  <c r="AA53" i="5" s="1"/>
  <c r="AE21" i="5"/>
  <c r="AE14" i="5"/>
  <c r="AE5" i="5"/>
  <c r="AB45" i="5"/>
  <c r="AB53" i="5" s="1"/>
  <c r="U45" i="5"/>
  <c r="U53" i="5" s="1"/>
  <c r="W26" i="5"/>
  <c r="X27" i="5" s="1"/>
  <c r="AE11" i="5"/>
  <c r="AE18" i="5"/>
  <c r="AE7" i="5"/>
  <c r="AE12" i="5"/>
  <c r="S27" i="5"/>
  <c r="AE4" i="5"/>
  <c r="V29" i="5"/>
  <c r="W30" i="5" s="1"/>
  <c r="Z29" i="5"/>
  <c r="AA30" i="5" s="1"/>
  <c r="AD29" i="5"/>
  <c r="AE10" i="5"/>
  <c r="W45" i="5"/>
  <c r="W53" i="5" s="1"/>
  <c r="AE15" i="5"/>
  <c r="AE17" i="5"/>
  <c r="S29" i="5"/>
  <c r="T45" i="5"/>
  <c r="T53" i="5" s="1"/>
  <c r="X45" i="5"/>
  <c r="X53" i="5" s="1"/>
  <c r="AE20" i="5"/>
  <c r="P45" i="5"/>
  <c r="P53" i="5" s="1"/>
  <c r="Y45" i="5"/>
  <c r="Y53" i="5" s="1"/>
  <c r="AC45" i="5"/>
  <c r="AC53" i="5" s="1"/>
  <c r="AE6" i="5"/>
  <c r="V45" i="5"/>
  <c r="V53" i="5" s="1"/>
  <c r="Z45" i="5"/>
  <c r="Z53" i="5" s="1"/>
  <c r="AD45" i="5"/>
  <c r="AD53" i="5" s="1"/>
  <c r="P28" i="5"/>
  <c r="P31" i="5"/>
  <c r="D52" i="5"/>
  <c r="P37" i="5"/>
  <c r="E84" i="4"/>
  <c r="E95" i="4" s="1"/>
  <c r="F84" i="4"/>
  <c r="F95" i="4" s="1"/>
  <c r="G84" i="4"/>
  <c r="G95" i="4" s="1"/>
  <c r="H84" i="4"/>
  <c r="H95" i="4" s="1"/>
  <c r="I84" i="4"/>
  <c r="I95" i="4" s="1"/>
  <c r="J84" i="4"/>
  <c r="J95" i="4" s="1"/>
  <c r="K84" i="4"/>
  <c r="K95" i="4" s="1"/>
  <c r="L84" i="4"/>
  <c r="L95" i="4" s="1"/>
  <c r="M84" i="4"/>
  <c r="M95" i="4" s="1"/>
  <c r="N84" i="4"/>
  <c r="N95" i="4" s="1"/>
  <c r="O84" i="4"/>
  <c r="O95" i="4" s="1"/>
  <c r="D84" i="4"/>
  <c r="D95" i="4" s="1"/>
  <c r="R40" i="5" l="1"/>
  <c r="W40" i="5" s="1"/>
  <c r="P38" i="5"/>
  <c r="AE33" i="5"/>
  <c r="G48" i="5"/>
  <c r="M48" i="5"/>
  <c r="L48" i="5"/>
  <c r="K48" i="5"/>
  <c r="K52" i="5"/>
  <c r="J48" i="5"/>
  <c r="J52" i="5"/>
  <c r="P47" i="5"/>
  <c r="P55" i="5" s="1"/>
  <c r="O48" i="5"/>
  <c r="P46" i="5"/>
  <c r="P54" i="5" s="1"/>
  <c r="E54" i="5"/>
  <c r="P43" i="5"/>
  <c r="P51" i="5" s="1"/>
  <c r="L51" i="5"/>
  <c r="E48" i="5"/>
  <c r="E52" i="5"/>
  <c r="F48" i="5"/>
  <c r="I48" i="5"/>
  <c r="P44" i="5"/>
  <c r="P52" i="5" s="1"/>
  <c r="H48" i="5"/>
  <c r="N48" i="5"/>
  <c r="D55" i="5"/>
  <c r="AE27" i="5"/>
  <c r="Z39" i="5"/>
  <c r="R31" i="5"/>
  <c r="AC31" i="5" s="1"/>
  <c r="R28" i="5"/>
  <c r="AC28" i="5" s="1"/>
  <c r="R34" i="5"/>
  <c r="X34" i="5" s="1"/>
  <c r="X46" i="5" s="1"/>
  <c r="X54" i="5" s="1"/>
  <c r="AC37" i="5"/>
  <c r="AC47" i="5" s="1"/>
  <c r="AC55" i="5" s="1"/>
  <c r="Y37" i="5"/>
  <c r="Y47" i="5" s="1"/>
  <c r="Y55" i="5" s="1"/>
  <c r="U37" i="5"/>
  <c r="U47" i="5" s="1"/>
  <c r="U55" i="5" s="1"/>
  <c r="AB37" i="5"/>
  <c r="AB47" i="5" s="1"/>
  <c r="AB55" i="5" s="1"/>
  <c r="W37" i="5"/>
  <c r="W47" i="5" s="1"/>
  <c r="W55" i="5" s="1"/>
  <c r="AD37" i="5"/>
  <c r="AD47" i="5" s="1"/>
  <c r="AD55" i="5" s="1"/>
  <c r="V37" i="5"/>
  <c r="V47" i="5" s="1"/>
  <c r="V55" i="5" s="1"/>
  <c r="AA37" i="5"/>
  <c r="AA47" i="5" s="1"/>
  <c r="AA55" i="5" s="1"/>
  <c r="T37" i="5"/>
  <c r="T47" i="5" s="1"/>
  <c r="T55" i="5" s="1"/>
  <c r="X37" i="5"/>
  <c r="X47" i="5" s="1"/>
  <c r="X55" i="5" s="1"/>
  <c r="S37" i="5"/>
  <c r="Z37" i="5"/>
  <c r="Z47" i="5" s="1"/>
  <c r="Z55" i="5" s="1"/>
  <c r="AE26" i="5"/>
  <c r="T30" i="5"/>
  <c r="AE30" i="5" s="1"/>
  <c r="AE29" i="5"/>
  <c r="AE32" i="5"/>
  <c r="AE45" i="5"/>
  <c r="AE53" i="5" s="1"/>
  <c r="T72" i="4"/>
  <c r="U73" i="4" s="1"/>
  <c r="U72" i="4"/>
  <c r="V73" i="4" s="1"/>
  <c r="V72" i="4"/>
  <c r="W73" i="4" s="1"/>
  <c r="W72" i="4"/>
  <c r="X73" i="4" s="1"/>
  <c r="X72" i="4"/>
  <c r="Y73" i="4" s="1"/>
  <c r="Y72" i="4"/>
  <c r="Z73" i="4" s="1"/>
  <c r="Z72" i="4"/>
  <c r="AA73" i="4" s="1"/>
  <c r="AA72" i="4"/>
  <c r="AB73" i="4" s="1"/>
  <c r="AB72" i="4"/>
  <c r="AC73" i="4" s="1"/>
  <c r="AC72" i="4"/>
  <c r="AD73" i="4" s="1"/>
  <c r="AD72" i="4"/>
  <c r="S73" i="4"/>
  <c r="S72" i="4"/>
  <c r="T73" i="4" s="1"/>
  <c r="AC49" i="4"/>
  <c r="AD49" i="4"/>
  <c r="AC50" i="4"/>
  <c r="AD50" i="4"/>
  <c r="AC51" i="4"/>
  <c r="AD51" i="4"/>
  <c r="T49" i="4"/>
  <c r="U49" i="4"/>
  <c r="V49" i="4"/>
  <c r="W49" i="4"/>
  <c r="X49" i="4"/>
  <c r="Y49" i="4"/>
  <c r="Z49" i="4"/>
  <c r="AA49" i="4"/>
  <c r="AB49" i="4"/>
  <c r="T50" i="4"/>
  <c r="U50" i="4"/>
  <c r="V50" i="4"/>
  <c r="W50" i="4"/>
  <c r="X50" i="4"/>
  <c r="Y50" i="4"/>
  <c r="Z50" i="4"/>
  <c r="AA50" i="4"/>
  <c r="AB50" i="4"/>
  <c r="T51" i="4"/>
  <c r="U51" i="4"/>
  <c r="V51" i="4"/>
  <c r="W51" i="4"/>
  <c r="X51" i="4"/>
  <c r="Y51" i="4"/>
  <c r="Z51" i="4"/>
  <c r="AA51" i="4"/>
  <c r="AB51" i="4"/>
  <c r="S51" i="4"/>
  <c r="S49" i="4"/>
  <c r="S50" i="4"/>
  <c r="P50" i="4"/>
  <c r="P51" i="4"/>
  <c r="AB34" i="5" l="1"/>
  <c r="AB46" i="5" s="1"/>
  <c r="AB54" i="5" s="1"/>
  <c r="P48" i="5"/>
  <c r="AA39" i="5"/>
  <c r="U39" i="5"/>
  <c r="U34" i="5"/>
  <c r="U46" i="5" s="1"/>
  <c r="U54" i="5" s="1"/>
  <c r="AC34" i="5"/>
  <c r="AC46" i="5" s="1"/>
  <c r="AC54" i="5" s="1"/>
  <c r="AD31" i="5"/>
  <c r="AD39" i="5"/>
  <c r="V34" i="5"/>
  <c r="V46" i="5" s="1"/>
  <c r="V54" i="5" s="1"/>
  <c r="AC40" i="5"/>
  <c r="AC44" i="5" s="1"/>
  <c r="AC52" i="5" s="1"/>
  <c r="Y34" i="5"/>
  <c r="Y46" i="5" s="1"/>
  <c r="Y54" i="5" s="1"/>
  <c r="AA34" i="5"/>
  <c r="AA46" i="5" s="1"/>
  <c r="AA54" i="5" s="1"/>
  <c r="T40" i="5"/>
  <c r="AA40" i="5"/>
  <c r="X39" i="5"/>
  <c r="Z34" i="5"/>
  <c r="Z46" i="5" s="1"/>
  <c r="Z54" i="5" s="1"/>
  <c r="W34" i="5"/>
  <c r="W46" i="5" s="1"/>
  <c r="W54" i="5" s="1"/>
  <c r="T34" i="5"/>
  <c r="T46" i="5" s="1"/>
  <c r="T54" i="5" s="1"/>
  <c r="Y39" i="5"/>
  <c r="AC39" i="5"/>
  <c r="AC43" i="5" s="1"/>
  <c r="S34" i="5"/>
  <c r="S46" i="5" s="1"/>
  <c r="AD34" i="5"/>
  <c r="AD46" i="5" s="1"/>
  <c r="AD54" i="5" s="1"/>
  <c r="W39" i="5"/>
  <c r="AB39" i="5"/>
  <c r="V39" i="5"/>
  <c r="T39" i="5"/>
  <c r="S39" i="5"/>
  <c r="V40" i="5"/>
  <c r="W28" i="5"/>
  <c r="S40" i="5"/>
  <c r="T31" i="5"/>
  <c r="AB28" i="5"/>
  <c r="W31" i="5"/>
  <c r="W44" i="5" s="1"/>
  <c r="W52" i="5" s="1"/>
  <c r="AA31" i="5"/>
  <c r="AB40" i="5"/>
  <c r="S28" i="5"/>
  <c r="X31" i="5"/>
  <c r="U31" i="5"/>
  <c r="Z40" i="5"/>
  <c r="Y40" i="5"/>
  <c r="X40" i="5"/>
  <c r="U40" i="5"/>
  <c r="AD40" i="5"/>
  <c r="AA28" i="5"/>
  <c r="Z28" i="5"/>
  <c r="Z43" i="5" s="1"/>
  <c r="Z51" i="5" s="1"/>
  <c r="U28" i="5"/>
  <c r="V28" i="5"/>
  <c r="T28" i="5"/>
  <c r="Y28" i="5"/>
  <c r="AB31" i="5"/>
  <c r="Z31" i="5"/>
  <c r="Y31" i="5"/>
  <c r="AD28" i="5"/>
  <c r="X28" i="5"/>
  <c r="S31" i="5"/>
  <c r="V31" i="5"/>
  <c r="S47" i="5"/>
  <c r="AE37" i="5"/>
  <c r="AE50" i="4"/>
  <c r="AE51" i="4"/>
  <c r="Y44" i="5" l="1"/>
  <c r="Y52" i="5" s="1"/>
  <c r="Z44" i="5"/>
  <c r="Z52" i="5" s="1"/>
  <c r="AC48" i="5"/>
  <c r="AC51" i="5"/>
  <c r="AD43" i="5"/>
  <c r="AD51" i="5" s="1"/>
  <c r="U43" i="5"/>
  <c r="U51" i="5" s="1"/>
  <c r="AA43" i="5"/>
  <c r="AE28" i="5"/>
  <c r="V43" i="5"/>
  <c r="V51" i="5" s="1"/>
  <c r="AE34" i="5"/>
  <c r="AE31" i="5"/>
  <c r="AD44" i="5"/>
  <c r="AD52" i="5" s="1"/>
  <c r="Y43" i="5"/>
  <c r="Y51" i="5" s="1"/>
  <c r="T44" i="5"/>
  <c r="T52" i="5" s="1"/>
  <c r="V44" i="5"/>
  <c r="V52" i="5" s="1"/>
  <c r="AA44" i="5"/>
  <c r="AA52" i="5" s="1"/>
  <c r="X43" i="5"/>
  <c r="X51" i="5" s="1"/>
  <c r="U44" i="5"/>
  <c r="U52" i="5" s="1"/>
  <c r="S43" i="5"/>
  <c r="S51" i="5" s="1"/>
  <c r="T43" i="5"/>
  <c r="T51" i="5" s="1"/>
  <c r="W43" i="5"/>
  <c r="AE39" i="5"/>
  <c r="AB43" i="5"/>
  <c r="AB51" i="5" s="1"/>
  <c r="S44" i="5"/>
  <c r="S52" i="5" s="1"/>
  <c r="AB44" i="5"/>
  <c r="AB52" i="5" s="1"/>
  <c r="X44" i="5"/>
  <c r="X52" i="5" s="1"/>
  <c r="AE40" i="5"/>
  <c r="S55" i="5"/>
  <c r="AE47" i="5"/>
  <c r="AE55" i="5" s="1"/>
  <c r="AE46" i="5"/>
  <c r="S54" i="5"/>
  <c r="S47" i="4"/>
  <c r="T47" i="4"/>
  <c r="U47" i="4"/>
  <c r="V47" i="4"/>
  <c r="W47" i="4"/>
  <c r="X47" i="4"/>
  <c r="Y47" i="4"/>
  <c r="Z47" i="4"/>
  <c r="AA47" i="4"/>
  <c r="AB47" i="4"/>
  <c r="AC47" i="4"/>
  <c r="AD47" i="4"/>
  <c r="P47" i="4"/>
  <c r="P40" i="4"/>
  <c r="P41" i="4"/>
  <c r="S48" i="4"/>
  <c r="T48" i="4"/>
  <c r="U48" i="4"/>
  <c r="V48" i="4"/>
  <c r="W48" i="4"/>
  <c r="X48" i="4"/>
  <c r="Y48" i="4"/>
  <c r="Z48" i="4"/>
  <c r="AA48" i="4"/>
  <c r="AB48" i="4"/>
  <c r="AC48" i="4"/>
  <c r="AD48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39" i="4"/>
  <c r="T39" i="4"/>
  <c r="U39" i="4"/>
  <c r="V39" i="4"/>
  <c r="W39" i="4"/>
  <c r="X39" i="4"/>
  <c r="Y39" i="4"/>
  <c r="Z39" i="4"/>
  <c r="AA39" i="4"/>
  <c r="AB39" i="4"/>
  <c r="AC39" i="4"/>
  <c r="AD39" i="4"/>
  <c r="S40" i="4"/>
  <c r="T40" i="4"/>
  <c r="U40" i="4"/>
  <c r="V40" i="4"/>
  <c r="W40" i="4"/>
  <c r="X40" i="4"/>
  <c r="Y40" i="4"/>
  <c r="Z40" i="4"/>
  <c r="AA40" i="4"/>
  <c r="AB40" i="4"/>
  <c r="AC40" i="4"/>
  <c r="AD40" i="4"/>
  <c r="S41" i="4"/>
  <c r="T41" i="4"/>
  <c r="U41" i="4"/>
  <c r="V41" i="4"/>
  <c r="W41" i="4"/>
  <c r="X41" i="4"/>
  <c r="Y41" i="4"/>
  <c r="Z41" i="4"/>
  <c r="AA41" i="4"/>
  <c r="AB41" i="4"/>
  <c r="AC41" i="4"/>
  <c r="AD41" i="4"/>
  <c r="S42" i="4"/>
  <c r="T42" i="4"/>
  <c r="U42" i="4"/>
  <c r="V42" i="4"/>
  <c r="W42" i="4"/>
  <c r="X42" i="4"/>
  <c r="Y42" i="4"/>
  <c r="Z42" i="4"/>
  <c r="AA42" i="4"/>
  <c r="AB42" i="4"/>
  <c r="AC42" i="4"/>
  <c r="AD42" i="4"/>
  <c r="S30" i="4"/>
  <c r="T30" i="4"/>
  <c r="U30" i="4"/>
  <c r="V30" i="4"/>
  <c r="W30" i="4"/>
  <c r="X30" i="4"/>
  <c r="Y30" i="4"/>
  <c r="Z30" i="4"/>
  <c r="AA30" i="4"/>
  <c r="AB30" i="4"/>
  <c r="AC30" i="4"/>
  <c r="AD30" i="4"/>
  <c r="S31" i="4"/>
  <c r="T31" i="4"/>
  <c r="U31" i="4"/>
  <c r="V31" i="4"/>
  <c r="W31" i="4"/>
  <c r="X31" i="4"/>
  <c r="Y31" i="4"/>
  <c r="Z31" i="4"/>
  <c r="AA31" i="4"/>
  <c r="AB31" i="4"/>
  <c r="AC31" i="4"/>
  <c r="AD31" i="4"/>
  <c r="S32" i="4"/>
  <c r="T32" i="4"/>
  <c r="U32" i="4"/>
  <c r="V32" i="4"/>
  <c r="W32" i="4"/>
  <c r="X32" i="4"/>
  <c r="Y32" i="4"/>
  <c r="Z32" i="4"/>
  <c r="AA32" i="4"/>
  <c r="AB32" i="4"/>
  <c r="AC32" i="4"/>
  <c r="AD32" i="4"/>
  <c r="S24" i="4"/>
  <c r="T24" i="4"/>
  <c r="U24" i="4"/>
  <c r="V24" i="4"/>
  <c r="W24" i="4"/>
  <c r="X24" i="4"/>
  <c r="Y24" i="4"/>
  <c r="Z24" i="4"/>
  <c r="AA24" i="4"/>
  <c r="AB24" i="4"/>
  <c r="AC24" i="4"/>
  <c r="AD24" i="4"/>
  <c r="S25" i="4"/>
  <c r="T25" i="4"/>
  <c r="U25" i="4"/>
  <c r="V25" i="4"/>
  <c r="W25" i="4"/>
  <c r="X25" i="4"/>
  <c r="Y25" i="4"/>
  <c r="Z25" i="4"/>
  <c r="AA25" i="4"/>
  <c r="AB25" i="4"/>
  <c r="AC25" i="4"/>
  <c r="AD25" i="4"/>
  <c r="S26" i="4"/>
  <c r="T26" i="4"/>
  <c r="U26" i="4"/>
  <c r="V26" i="4"/>
  <c r="W26" i="4"/>
  <c r="X26" i="4"/>
  <c r="Y26" i="4"/>
  <c r="Z26" i="4"/>
  <c r="AA26" i="4"/>
  <c r="AB26" i="4"/>
  <c r="AC26" i="4"/>
  <c r="AD26" i="4"/>
  <c r="S18" i="4"/>
  <c r="T18" i="4"/>
  <c r="U18" i="4"/>
  <c r="V18" i="4"/>
  <c r="W18" i="4"/>
  <c r="X18" i="4"/>
  <c r="Y18" i="4"/>
  <c r="Z18" i="4"/>
  <c r="AA18" i="4"/>
  <c r="AB18" i="4"/>
  <c r="AC18" i="4"/>
  <c r="AD18" i="4"/>
  <c r="AC12" i="4"/>
  <c r="AD12" i="4"/>
  <c r="T12" i="4"/>
  <c r="U12" i="4"/>
  <c r="V12" i="4"/>
  <c r="W12" i="4"/>
  <c r="X12" i="4"/>
  <c r="Y12" i="4"/>
  <c r="Z12" i="4"/>
  <c r="AA12" i="4"/>
  <c r="AB12" i="4"/>
  <c r="S12" i="4"/>
  <c r="P78" i="4"/>
  <c r="P77" i="4"/>
  <c r="P76" i="4"/>
  <c r="O74" i="4"/>
  <c r="O86" i="4" s="1"/>
  <c r="O97" i="4" s="1"/>
  <c r="N74" i="4"/>
  <c r="N86" i="4" s="1"/>
  <c r="N97" i="4" s="1"/>
  <c r="M74" i="4"/>
  <c r="M86" i="4" s="1"/>
  <c r="M97" i="4" s="1"/>
  <c r="L74" i="4"/>
  <c r="L86" i="4" s="1"/>
  <c r="L97" i="4" s="1"/>
  <c r="K74" i="4"/>
  <c r="K86" i="4" s="1"/>
  <c r="K97" i="4" s="1"/>
  <c r="J74" i="4"/>
  <c r="J86" i="4" s="1"/>
  <c r="J97" i="4" s="1"/>
  <c r="I74" i="4"/>
  <c r="I86" i="4" s="1"/>
  <c r="I97" i="4" s="1"/>
  <c r="H74" i="4"/>
  <c r="H86" i="4" s="1"/>
  <c r="H97" i="4" s="1"/>
  <c r="G74" i="4"/>
  <c r="G86" i="4" s="1"/>
  <c r="G97" i="4" s="1"/>
  <c r="F74" i="4"/>
  <c r="F86" i="4" s="1"/>
  <c r="F97" i="4" s="1"/>
  <c r="E74" i="4"/>
  <c r="E86" i="4" s="1"/>
  <c r="E97" i="4" s="1"/>
  <c r="D74" i="4"/>
  <c r="P73" i="4"/>
  <c r="P72" i="4"/>
  <c r="O71" i="4"/>
  <c r="O85" i="4" s="1"/>
  <c r="O96" i="4" s="1"/>
  <c r="N71" i="4"/>
  <c r="N85" i="4" s="1"/>
  <c r="N96" i="4" s="1"/>
  <c r="M71" i="4"/>
  <c r="M85" i="4" s="1"/>
  <c r="M96" i="4" s="1"/>
  <c r="L71" i="4"/>
  <c r="L85" i="4" s="1"/>
  <c r="L96" i="4" s="1"/>
  <c r="K71" i="4"/>
  <c r="K85" i="4" s="1"/>
  <c r="K96" i="4" s="1"/>
  <c r="J71" i="4"/>
  <c r="J85" i="4" s="1"/>
  <c r="J96" i="4" s="1"/>
  <c r="I71" i="4"/>
  <c r="I85" i="4" s="1"/>
  <c r="I96" i="4" s="1"/>
  <c r="H71" i="4"/>
  <c r="H85" i="4" s="1"/>
  <c r="H96" i="4" s="1"/>
  <c r="G71" i="4"/>
  <c r="G85" i="4" s="1"/>
  <c r="G96" i="4" s="1"/>
  <c r="F71" i="4"/>
  <c r="F85" i="4" s="1"/>
  <c r="F96" i="4" s="1"/>
  <c r="E71" i="4"/>
  <c r="E85" i="4" s="1"/>
  <c r="E96" i="4" s="1"/>
  <c r="D71" i="4"/>
  <c r="P70" i="4"/>
  <c r="P69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P63" i="4"/>
  <c r="O59" i="4"/>
  <c r="O75" i="4" s="1"/>
  <c r="N59" i="4"/>
  <c r="M59" i="4"/>
  <c r="M82" i="4" s="1"/>
  <c r="M93" i="4" s="1"/>
  <c r="L59" i="4"/>
  <c r="L82" i="4" s="1"/>
  <c r="L93" i="4" s="1"/>
  <c r="K59" i="4"/>
  <c r="K82" i="4" s="1"/>
  <c r="K93" i="4" s="1"/>
  <c r="J59" i="4"/>
  <c r="J82" i="4" s="1"/>
  <c r="J93" i="4" s="1"/>
  <c r="I59" i="4"/>
  <c r="I82" i="4" s="1"/>
  <c r="I93" i="4" s="1"/>
  <c r="H59" i="4"/>
  <c r="H82" i="4" s="1"/>
  <c r="H93" i="4" s="1"/>
  <c r="G59" i="4"/>
  <c r="G82" i="4" s="1"/>
  <c r="G93" i="4" s="1"/>
  <c r="F59" i="4"/>
  <c r="F82" i="4" s="1"/>
  <c r="F93" i="4" s="1"/>
  <c r="E59" i="4"/>
  <c r="E82" i="4" s="1"/>
  <c r="E93" i="4" s="1"/>
  <c r="D59" i="4"/>
  <c r="P58" i="4"/>
  <c r="P57" i="4"/>
  <c r="O56" i="4"/>
  <c r="O81" i="4" s="1"/>
  <c r="O92" i="4" s="1"/>
  <c r="N56" i="4"/>
  <c r="M56" i="4"/>
  <c r="L56" i="4"/>
  <c r="K56" i="4"/>
  <c r="J56" i="4"/>
  <c r="I56" i="4"/>
  <c r="H56" i="4"/>
  <c r="G56" i="4"/>
  <c r="F56" i="4"/>
  <c r="E56" i="4"/>
  <c r="D56" i="4"/>
  <c r="P55" i="4"/>
  <c r="P54" i="4"/>
  <c r="P52" i="4"/>
  <c r="P49" i="4"/>
  <c r="AD46" i="4"/>
  <c r="AC46" i="4"/>
  <c r="AB46" i="4"/>
  <c r="AA46" i="4"/>
  <c r="Z46" i="4"/>
  <c r="Y46" i="4"/>
  <c r="X46" i="4"/>
  <c r="W46" i="4"/>
  <c r="V46" i="4"/>
  <c r="U46" i="4"/>
  <c r="T46" i="4"/>
  <c r="S46" i="4"/>
  <c r="P46" i="4"/>
  <c r="AD45" i="4"/>
  <c r="AC45" i="4"/>
  <c r="AB45" i="4"/>
  <c r="AA45" i="4"/>
  <c r="Z45" i="4"/>
  <c r="Y45" i="4"/>
  <c r="X45" i="4"/>
  <c r="W45" i="4"/>
  <c r="V45" i="4"/>
  <c r="U45" i="4"/>
  <c r="T45" i="4"/>
  <c r="S45" i="4"/>
  <c r="P45" i="4"/>
  <c r="AD44" i="4"/>
  <c r="AC44" i="4"/>
  <c r="AB44" i="4"/>
  <c r="AA44" i="4"/>
  <c r="Z44" i="4"/>
  <c r="Y44" i="4"/>
  <c r="X44" i="4"/>
  <c r="W44" i="4"/>
  <c r="V44" i="4"/>
  <c r="U44" i="4"/>
  <c r="T44" i="4"/>
  <c r="S44" i="4"/>
  <c r="P44" i="4"/>
  <c r="AD43" i="4"/>
  <c r="AC43" i="4"/>
  <c r="AB43" i="4"/>
  <c r="AA43" i="4"/>
  <c r="Z43" i="4"/>
  <c r="Y43" i="4"/>
  <c r="X43" i="4"/>
  <c r="W43" i="4"/>
  <c r="V43" i="4"/>
  <c r="U43" i="4"/>
  <c r="T43" i="4"/>
  <c r="S43" i="4"/>
  <c r="P43" i="4"/>
  <c r="P39" i="4"/>
  <c r="P38" i="4"/>
  <c r="AD36" i="4"/>
  <c r="AC36" i="4"/>
  <c r="AB36" i="4"/>
  <c r="AA36" i="4"/>
  <c r="Z36" i="4"/>
  <c r="Y36" i="4"/>
  <c r="X36" i="4"/>
  <c r="W36" i="4"/>
  <c r="V36" i="4"/>
  <c r="U36" i="4"/>
  <c r="T36" i="4"/>
  <c r="S36" i="4"/>
  <c r="P36" i="4"/>
  <c r="AD35" i="4"/>
  <c r="AC35" i="4"/>
  <c r="AB35" i="4"/>
  <c r="AA35" i="4"/>
  <c r="Z35" i="4"/>
  <c r="Y35" i="4"/>
  <c r="X35" i="4"/>
  <c r="W35" i="4"/>
  <c r="V35" i="4"/>
  <c r="U35" i="4"/>
  <c r="T35" i="4"/>
  <c r="S35" i="4"/>
  <c r="P35" i="4"/>
  <c r="AD34" i="4"/>
  <c r="AC34" i="4"/>
  <c r="AB34" i="4"/>
  <c r="AA34" i="4"/>
  <c r="Z34" i="4"/>
  <c r="Y34" i="4"/>
  <c r="X34" i="4"/>
  <c r="W34" i="4"/>
  <c r="V34" i="4"/>
  <c r="U34" i="4"/>
  <c r="T34" i="4"/>
  <c r="S34" i="4"/>
  <c r="P34" i="4"/>
  <c r="AD33" i="4"/>
  <c r="AC33" i="4"/>
  <c r="AB33" i="4"/>
  <c r="AA33" i="4"/>
  <c r="Z33" i="4"/>
  <c r="Y33" i="4"/>
  <c r="X33" i="4"/>
  <c r="W33" i="4"/>
  <c r="V33" i="4"/>
  <c r="U33" i="4"/>
  <c r="T33" i="4"/>
  <c r="S33" i="4"/>
  <c r="P33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8" i="4"/>
  <c r="AC28" i="4"/>
  <c r="AB28" i="4"/>
  <c r="AA28" i="4"/>
  <c r="Z28" i="4"/>
  <c r="Y28" i="4"/>
  <c r="X28" i="4"/>
  <c r="W28" i="4"/>
  <c r="V28" i="4"/>
  <c r="U28" i="4"/>
  <c r="T28" i="4"/>
  <c r="S28" i="4"/>
  <c r="P28" i="4"/>
  <c r="AD27" i="4"/>
  <c r="AC27" i="4"/>
  <c r="AB27" i="4"/>
  <c r="AA27" i="4"/>
  <c r="Z27" i="4"/>
  <c r="Y27" i="4"/>
  <c r="X27" i="4"/>
  <c r="W27" i="4"/>
  <c r="V27" i="4"/>
  <c r="U27" i="4"/>
  <c r="T27" i="4"/>
  <c r="S27" i="4"/>
  <c r="P27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22" i="4"/>
  <c r="AC22" i="4"/>
  <c r="AB22" i="4"/>
  <c r="AA22" i="4"/>
  <c r="Z22" i="4"/>
  <c r="Y22" i="4"/>
  <c r="X22" i="4"/>
  <c r="W22" i="4"/>
  <c r="V22" i="4"/>
  <c r="U22" i="4"/>
  <c r="T22" i="4"/>
  <c r="S22" i="4"/>
  <c r="P22" i="4"/>
  <c r="AD21" i="4"/>
  <c r="AC21" i="4"/>
  <c r="AB21" i="4"/>
  <c r="AA21" i="4"/>
  <c r="Z21" i="4"/>
  <c r="Y21" i="4"/>
  <c r="X21" i="4"/>
  <c r="W21" i="4"/>
  <c r="V21" i="4"/>
  <c r="U21" i="4"/>
  <c r="T21" i="4"/>
  <c r="S21" i="4"/>
  <c r="P21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6" i="4"/>
  <c r="AC16" i="4"/>
  <c r="AB16" i="4"/>
  <c r="AA16" i="4"/>
  <c r="Z16" i="4"/>
  <c r="Y16" i="4"/>
  <c r="X16" i="4"/>
  <c r="W16" i="4"/>
  <c r="V16" i="4"/>
  <c r="U16" i="4"/>
  <c r="T16" i="4"/>
  <c r="S16" i="4"/>
  <c r="P16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B10" i="4"/>
  <c r="AA10" i="4"/>
  <c r="Z10" i="4"/>
  <c r="Y10" i="4"/>
  <c r="X10" i="4"/>
  <c r="W10" i="4"/>
  <c r="V10" i="4"/>
  <c r="U10" i="4"/>
  <c r="T10" i="4"/>
  <c r="S10" i="4"/>
  <c r="P10" i="4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P5" i="4"/>
  <c r="AD4" i="4"/>
  <c r="AC4" i="4"/>
  <c r="AB4" i="4"/>
  <c r="AA4" i="4"/>
  <c r="Z4" i="4"/>
  <c r="Y4" i="4"/>
  <c r="X4" i="4"/>
  <c r="W4" i="4"/>
  <c r="V4" i="4"/>
  <c r="U4" i="4"/>
  <c r="T4" i="4"/>
  <c r="P4" i="4"/>
  <c r="AC3" i="4"/>
  <c r="AB3" i="4"/>
  <c r="AA3" i="4"/>
  <c r="Z3" i="4"/>
  <c r="Y3" i="4"/>
  <c r="X3" i="4"/>
  <c r="W3" i="4"/>
  <c r="V3" i="4"/>
  <c r="U3" i="4"/>
  <c r="T3" i="4"/>
  <c r="P3" i="4"/>
  <c r="Q11" i="4" l="1"/>
  <c r="Y57" i="4"/>
  <c r="Z58" i="4" s="1"/>
  <c r="U57" i="4"/>
  <c r="V58" i="4" s="1"/>
  <c r="Z66" i="4"/>
  <c r="AA67" i="4" s="1"/>
  <c r="W57" i="4"/>
  <c r="X58" i="4" s="1"/>
  <c r="AC57" i="4"/>
  <c r="AD58" i="4" s="1"/>
  <c r="Z48" i="5"/>
  <c r="V66" i="4"/>
  <c r="W67" i="4" s="1"/>
  <c r="AD66" i="4"/>
  <c r="AA57" i="4"/>
  <c r="AB58" i="4" s="1"/>
  <c r="D86" i="4"/>
  <c r="P86" i="4" s="1"/>
  <c r="P97" i="4" s="1"/>
  <c r="D85" i="4"/>
  <c r="D96" i="4" s="1"/>
  <c r="H83" i="4"/>
  <c r="H94" i="4" s="1"/>
  <c r="I83" i="4"/>
  <c r="J83" i="4"/>
  <c r="K83" i="4"/>
  <c r="D83" i="4"/>
  <c r="D94" i="4" s="1"/>
  <c r="L83" i="4"/>
  <c r="E83" i="4"/>
  <c r="E94" i="4" s="1"/>
  <c r="M83" i="4"/>
  <c r="F83" i="4"/>
  <c r="F94" i="4" s="1"/>
  <c r="N83" i="4"/>
  <c r="G83" i="4"/>
  <c r="G94" i="4" s="1"/>
  <c r="D82" i="4"/>
  <c r="D93" i="4" s="1"/>
  <c r="D81" i="4"/>
  <c r="D92" i="4" s="1"/>
  <c r="D75" i="4"/>
  <c r="L81" i="4"/>
  <c r="L92" i="4" s="1"/>
  <c r="L75" i="4"/>
  <c r="E81" i="4"/>
  <c r="E92" i="4" s="1"/>
  <c r="E75" i="4"/>
  <c r="M81" i="4"/>
  <c r="M92" i="4" s="1"/>
  <c r="M75" i="4"/>
  <c r="F81" i="4"/>
  <c r="F92" i="4" s="1"/>
  <c r="F75" i="4"/>
  <c r="N81" i="4"/>
  <c r="N92" i="4" s="1"/>
  <c r="N75" i="4"/>
  <c r="G81" i="4"/>
  <c r="G92" i="4" s="1"/>
  <c r="G75" i="4"/>
  <c r="H81" i="4"/>
  <c r="H92" i="4" s="1"/>
  <c r="H75" i="4"/>
  <c r="I81" i="4"/>
  <c r="I92" i="4" s="1"/>
  <c r="I75" i="4"/>
  <c r="J81" i="4"/>
  <c r="J92" i="4" s="1"/>
  <c r="J75" i="4"/>
  <c r="K81" i="4"/>
  <c r="K92" i="4" s="1"/>
  <c r="K75" i="4"/>
  <c r="V69" i="4"/>
  <c r="W70" i="4" s="1"/>
  <c r="Z69" i="4"/>
  <c r="AA70" i="4" s="1"/>
  <c r="AD69" i="4"/>
  <c r="X66" i="4"/>
  <c r="Y67" i="4" s="1"/>
  <c r="T66" i="4"/>
  <c r="U67" i="4" s="1"/>
  <c r="W66" i="4"/>
  <c r="X67" i="4" s="1"/>
  <c r="AA66" i="4"/>
  <c r="AB67" i="4" s="1"/>
  <c r="T60" i="4"/>
  <c r="U61" i="4" s="1"/>
  <c r="X60" i="4"/>
  <c r="Y61" i="4" s="1"/>
  <c r="AB60" i="4"/>
  <c r="AC61" i="4" s="1"/>
  <c r="V60" i="4"/>
  <c r="W61" i="4" s="1"/>
  <c r="Z60" i="4"/>
  <c r="AA61" i="4" s="1"/>
  <c r="AD60" i="4"/>
  <c r="AE54" i="5"/>
  <c r="AF47" i="5"/>
  <c r="O83" i="4"/>
  <c r="U69" i="4"/>
  <c r="V70" i="4" s="1"/>
  <c r="Y69" i="4"/>
  <c r="Z70" i="4" s="1"/>
  <c r="AC69" i="4"/>
  <c r="AD70" i="4" s="1"/>
  <c r="W69" i="4"/>
  <c r="X70" i="4" s="1"/>
  <c r="AA69" i="4"/>
  <c r="AB70" i="4" s="1"/>
  <c r="T69" i="4"/>
  <c r="U70" i="4" s="1"/>
  <c r="X69" i="4"/>
  <c r="Y70" i="4" s="1"/>
  <c r="AB69" i="4"/>
  <c r="AC70" i="4" s="1"/>
  <c r="S69" i="4"/>
  <c r="S70" i="4"/>
  <c r="AB66" i="4"/>
  <c r="AC67" i="4" s="1"/>
  <c r="U66" i="4"/>
  <c r="V67" i="4" s="1"/>
  <c r="Y66" i="4"/>
  <c r="Z67" i="4" s="1"/>
  <c r="AC66" i="4"/>
  <c r="AD67" i="4" s="1"/>
  <c r="S67" i="4"/>
  <c r="S66" i="4"/>
  <c r="S64" i="4"/>
  <c r="S63" i="4"/>
  <c r="T64" i="4" s="1"/>
  <c r="N82" i="4"/>
  <c r="N93" i="4" s="1"/>
  <c r="O82" i="4"/>
  <c r="O93" i="4" s="1"/>
  <c r="S57" i="4"/>
  <c r="S58" i="4"/>
  <c r="T57" i="4"/>
  <c r="U58" i="4" s="1"/>
  <c r="X57" i="4"/>
  <c r="Y58" i="4" s="1"/>
  <c r="AB57" i="4"/>
  <c r="AC58" i="4" s="1"/>
  <c r="U60" i="4"/>
  <c r="V61" i="4" s="1"/>
  <c r="Y60" i="4"/>
  <c r="Z61" i="4" s="1"/>
  <c r="AC60" i="4"/>
  <c r="AD61" i="4" s="1"/>
  <c r="S61" i="4"/>
  <c r="V57" i="4"/>
  <c r="W58" i="4" s="1"/>
  <c r="Z57" i="4"/>
  <c r="AA58" i="4" s="1"/>
  <c r="AD57" i="4"/>
  <c r="S60" i="4"/>
  <c r="W60" i="4"/>
  <c r="X61" i="4" s="1"/>
  <c r="AA60" i="4"/>
  <c r="AB61" i="4" s="1"/>
  <c r="V84" i="4"/>
  <c r="V95" i="4" s="1"/>
  <c r="Z84" i="4"/>
  <c r="Z95" i="4" s="1"/>
  <c r="T84" i="4"/>
  <c r="T95" i="4" s="1"/>
  <c r="X84" i="4"/>
  <c r="X95" i="4" s="1"/>
  <c r="AB84" i="4"/>
  <c r="AB95" i="4" s="1"/>
  <c r="U84" i="4"/>
  <c r="U95" i="4" s="1"/>
  <c r="Y84" i="4"/>
  <c r="Y95" i="4" s="1"/>
  <c r="S84" i="4"/>
  <c r="S95" i="4" s="1"/>
  <c r="W84" i="4"/>
  <c r="W95" i="4" s="1"/>
  <c r="AA84" i="4"/>
  <c r="AA95" i="4" s="1"/>
  <c r="Q5" i="4"/>
  <c r="AC84" i="4"/>
  <c r="AC95" i="4" s="1"/>
  <c r="AD84" i="4"/>
  <c r="AD95" i="4" s="1"/>
  <c r="Q23" i="4"/>
  <c r="AD48" i="5"/>
  <c r="W48" i="5"/>
  <c r="W51" i="5"/>
  <c r="Y48" i="5"/>
  <c r="U48" i="5"/>
  <c r="AA48" i="5"/>
  <c r="AA51" i="5"/>
  <c r="AB48" i="5"/>
  <c r="T48" i="5"/>
  <c r="X48" i="5"/>
  <c r="V48" i="5"/>
  <c r="AE43" i="5"/>
  <c r="AE44" i="5"/>
  <c r="S48" i="5"/>
  <c r="AE47" i="4"/>
  <c r="AE41" i="4"/>
  <c r="AE40" i="4"/>
  <c r="AE48" i="4"/>
  <c r="AE42" i="4"/>
  <c r="AE37" i="4"/>
  <c r="AE31" i="4"/>
  <c r="AB63" i="4"/>
  <c r="AC64" i="4" s="1"/>
  <c r="AE30" i="4"/>
  <c r="AE32" i="4"/>
  <c r="AE24" i="4"/>
  <c r="AE26" i="4"/>
  <c r="AE25" i="4"/>
  <c r="AE18" i="4"/>
  <c r="S54" i="4"/>
  <c r="T55" i="4" s="1"/>
  <c r="W54" i="4"/>
  <c r="X55" i="4" s="1"/>
  <c r="AA54" i="4"/>
  <c r="AB55" i="4" s="1"/>
  <c r="U54" i="4"/>
  <c r="V55" i="4" s="1"/>
  <c r="V63" i="4"/>
  <c r="W64" i="4" s="1"/>
  <c r="Z63" i="4"/>
  <c r="AA64" i="4" s="1"/>
  <c r="AD63" i="4"/>
  <c r="W63" i="4"/>
  <c r="X64" i="4" s="1"/>
  <c r="P24" i="4"/>
  <c r="P48" i="4"/>
  <c r="Q22" i="4"/>
  <c r="AB54" i="4"/>
  <c r="AC55" i="4" s="1"/>
  <c r="AE17" i="4"/>
  <c r="AC63" i="4"/>
  <c r="AD64" i="4" s="1"/>
  <c r="P30" i="4"/>
  <c r="AE33" i="4"/>
  <c r="P18" i="4"/>
  <c r="U63" i="4"/>
  <c r="V64" i="4" s="1"/>
  <c r="Y63" i="4"/>
  <c r="Z64" i="4" s="1"/>
  <c r="P26" i="4"/>
  <c r="Q26" i="4" s="1"/>
  <c r="P74" i="4"/>
  <c r="AE49" i="4"/>
  <c r="AE45" i="4"/>
  <c r="AE46" i="4"/>
  <c r="AE43" i="4"/>
  <c r="AE38" i="4"/>
  <c r="AE35" i="4"/>
  <c r="AE36" i="4"/>
  <c r="AE27" i="4"/>
  <c r="AE29" i="4"/>
  <c r="AA63" i="4"/>
  <c r="AB64" i="4" s="1"/>
  <c r="T63" i="4"/>
  <c r="U64" i="4" s="1"/>
  <c r="X63" i="4"/>
  <c r="Y64" i="4" s="1"/>
  <c r="AE15" i="4"/>
  <c r="AE5" i="4"/>
  <c r="Y54" i="4"/>
  <c r="Z55" i="4" s="1"/>
  <c r="V54" i="4"/>
  <c r="W55" i="4" s="1"/>
  <c r="Z54" i="4"/>
  <c r="AA55" i="4" s="1"/>
  <c r="AD54" i="4"/>
  <c r="AE6" i="4"/>
  <c r="AE9" i="4"/>
  <c r="Q10" i="4"/>
  <c r="Q4" i="4"/>
  <c r="AE11" i="4"/>
  <c r="AE22" i="4"/>
  <c r="AE52" i="4"/>
  <c r="R74" i="4" s="1"/>
  <c r="P59" i="4"/>
  <c r="AE4" i="4"/>
  <c r="AC54" i="4"/>
  <c r="AD55" i="4" s="1"/>
  <c r="AE8" i="4"/>
  <c r="AE16" i="4"/>
  <c r="AE23" i="4"/>
  <c r="AE28" i="4"/>
  <c r="AE34" i="4"/>
  <c r="P37" i="4"/>
  <c r="AE39" i="4"/>
  <c r="S55" i="4"/>
  <c r="T54" i="4"/>
  <c r="U55" i="4" s="1"/>
  <c r="X54" i="4"/>
  <c r="Y55" i="4" s="1"/>
  <c r="AE21" i="4"/>
  <c r="P32" i="4"/>
  <c r="AE7" i="4"/>
  <c r="P31" i="4"/>
  <c r="P65" i="4"/>
  <c r="P71" i="4"/>
  <c r="AE10" i="4"/>
  <c r="P25" i="4"/>
  <c r="P42" i="4"/>
  <c r="AE44" i="4"/>
  <c r="P56" i="4"/>
  <c r="E103" i="3"/>
  <c r="F103" i="3"/>
  <c r="G103" i="3"/>
  <c r="I103" i="3"/>
  <c r="J103" i="3"/>
  <c r="K103" i="3"/>
  <c r="L103" i="3"/>
  <c r="M103" i="3"/>
  <c r="O103" i="3"/>
  <c r="D103" i="3"/>
  <c r="D97" i="4" l="1"/>
  <c r="P75" i="4"/>
  <c r="R68" i="4"/>
  <c r="AC68" i="4" s="1"/>
  <c r="AE66" i="4"/>
  <c r="T67" i="4"/>
  <c r="AE67" i="4" s="1"/>
  <c r="R62" i="4"/>
  <c r="T61" i="4"/>
  <c r="AE61" i="4" s="1"/>
  <c r="AE60" i="4"/>
  <c r="AE51" i="5"/>
  <c r="AF43" i="5"/>
  <c r="AE52" i="5"/>
  <c r="AF45" i="5"/>
  <c r="P92" i="3"/>
  <c r="N103" i="3"/>
  <c r="Q25" i="4"/>
  <c r="R71" i="4"/>
  <c r="Z71" i="4" s="1"/>
  <c r="Z85" i="4" s="1"/>
  <c r="Z96" i="4" s="1"/>
  <c r="Q24" i="4"/>
  <c r="R65" i="4"/>
  <c r="U74" i="4"/>
  <c r="U86" i="4" s="1"/>
  <c r="U97" i="4" s="1"/>
  <c r="Y74" i="4"/>
  <c r="Y86" i="4" s="1"/>
  <c r="Y97" i="4" s="1"/>
  <c r="AC74" i="4"/>
  <c r="AC86" i="4" s="1"/>
  <c r="AC97" i="4" s="1"/>
  <c r="V74" i="4"/>
  <c r="V86" i="4" s="1"/>
  <c r="V97" i="4" s="1"/>
  <c r="Z74" i="4"/>
  <c r="Z86" i="4" s="1"/>
  <c r="Z97" i="4" s="1"/>
  <c r="AD74" i="4"/>
  <c r="AD86" i="4" s="1"/>
  <c r="AD97" i="4" s="1"/>
  <c r="W74" i="4"/>
  <c r="W86" i="4" s="1"/>
  <c r="W97" i="4" s="1"/>
  <c r="AA74" i="4"/>
  <c r="AA86" i="4" s="1"/>
  <c r="AA97" i="4" s="1"/>
  <c r="T74" i="4"/>
  <c r="T86" i="4" s="1"/>
  <c r="T97" i="4" s="1"/>
  <c r="X74" i="4"/>
  <c r="X86" i="4" s="1"/>
  <c r="X97" i="4" s="1"/>
  <c r="AB74" i="4"/>
  <c r="AB86" i="4" s="1"/>
  <c r="AB97" i="4" s="1"/>
  <c r="AE48" i="5"/>
  <c r="AE69" i="4"/>
  <c r="AE64" i="4"/>
  <c r="AE63" i="4"/>
  <c r="E87" i="4"/>
  <c r="P81" i="4"/>
  <c r="P92" i="4" s="1"/>
  <c r="D87" i="4"/>
  <c r="P84" i="4"/>
  <c r="P95" i="4" s="1"/>
  <c r="T70" i="4"/>
  <c r="AE70" i="4" s="1"/>
  <c r="O87" i="4"/>
  <c r="M87" i="4"/>
  <c r="P85" i="4"/>
  <c r="P96" i="4" s="1"/>
  <c r="G87" i="4"/>
  <c r="K87" i="4"/>
  <c r="J87" i="4"/>
  <c r="L87" i="4"/>
  <c r="H87" i="4"/>
  <c r="AE72" i="4"/>
  <c r="P82" i="4"/>
  <c r="P93" i="4" s="1"/>
  <c r="N87" i="4"/>
  <c r="T58" i="4"/>
  <c r="AE58" i="4" s="1"/>
  <c r="AE57" i="4"/>
  <c r="I87" i="4"/>
  <c r="AE55" i="4"/>
  <c r="R56" i="4"/>
  <c r="P83" i="4"/>
  <c r="P94" i="4" s="1"/>
  <c r="F87" i="4"/>
  <c r="AE73" i="4"/>
  <c r="AE54" i="4"/>
  <c r="W68" i="4" l="1"/>
  <c r="Z68" i="4"/>
  <c r="V68" i="4"/>
  <c r="Y68" i="4"/>
  <c r="U68" i="4"/>
  <c r="T68" i="4"/>
  <c r="AB68" i="4"/>
  <c r="S68" i="4"/>
  <c r="X68" i="4"/>
  <c r="AD68" i="4"/>
  <c r="AA68" i="4"/>
  <c r="AE37" i="3"/>
  <c r="AF49" i="5"/>
  <c r="X62" i="4"/>
  <c r="AB62" i="4"/>
  <c r="U62" i="4"/>
  <c r="Y62" i="4"/>
  <c r="AC62" i="4"/>
  <c r="S62" i="4"/>
  <c r="V62" i="4"/>
  <c r="Z62" i="4"/>
  <c r="AD62" i="4"/>
  <c r="T62" i="4"/>
  <c r="W62" i="4"/>
  <c r="AA62" i="4"/>
  <c r="R78" i="4"/>
  <c r="AD78" i="4" s="1"/>
  <c r="P37" i="3"/>
  <c r="S74" i="4"/>
  <c r="S86" i="4" s="1"/>
  <c r="U71" i="4"/>
  <c r="U85" i="4" s="1"/>
  <c r="U96" i="4" s="1"/>
  <c r="S71" i="4"/>
  <c r="S85" i="4" s="1"/>
  <c r="S96" i="4" s="1"/>
  <c r="AA71" i="4"/>
  <c r="AA85" i="4" s="1"/>
  <c r="AA96" i="4" s="1"/>
  <c r="X71" i="4"/>
  <c r="X85" i="4" s="1"/>
  <c r="X96" i="4" s="1"/>
  <c r="AD71" i="4"/>
  <c r="AD85" i="4" s="1"/>
  <c r="AD96" i="4" s="1"/>
  <c r="T71" i="4"/>
  <c r="T85" i="4" s="1"/>
  <c r="T96" i="4" s="1"/>
  <c r="W71" i="4"/>
  <c r="W85" i="4" s="1"/>
  <c r="W96" i="4" s="1"/>
  <c r="AC71" i="4"/>
  <c r="AC85" i="4" s="1"/>
  <c r="AC96" i="4" s="1"/>
  <c r="Y71" i="4"/>
  <c r="Y85" i="4" s="1"/>
  <c r="Y96" i="4" s="1"/>
  <c r="AB71" i="4"/>
  <c r="AB85" i="4" s="1"/>
  <c r="AB96" i="4" s="1"/>
  <c r="V71" i="4"/>
  <c r="V85" i="4" s="1"/>
  <c r="V96" i="4" s="1"/>
  <c r="AC56" i="4"/>
  <c r="Y56" i="4"/>
  <c r="U56" i="4"/>
  <c r="AB56" i="4"/>
  <c r="W56" i="4"/>
  <c r="AA56" i="4"/>
  <c r="V56" i="4"/>
  <c r="AD56" i="4"/>
  <c r="S56" i="4"/>
  <c r="Z56" i="4"/>
  <c r="X56" i="4"/>
  <c r="T56" i="4"/>
  <c r="AA76" i="4"/>
  <c r="W76" i="4"/>
  <c r="AB76" i="4"/>
  <c r="V76" i="4"/>
  <c r="Y76" i="4"/>
  <c r="AD76" i="4"/>
  <c r="X76" i="4"/>
  <c r="AC76" i="4"/>
  <c r="U76" i="4"/>
  <c r="Z76" i="4"/>
  <c r="T76" i="4"/>
  <c r="AC65" i="4"/>
  <c r="Y65" i="4"/>
  <c r="U65" i="4"/>
  <c r="AD65" i="4"/>
  <c r="X65" i="4"/>
  <c r="S65" i="4"/>
  <c r="AB65" i="4"/>
  <c r="W65" i="4"/>
  <c r="AA65" i="4"/>
  <c r="V65" i="4"/>
  <c r="Z65" i="4"/>
  <c r="T65" i="4"/>
  <c r="P87" i="4"/>
  <c r="AE38" i="3"/>
  <c r="AD95" i="3"/>
  <c r="AC95" i="3"/>
  <c r="AB95" i="3"/>
  <c r="AA95" i="3"/>
  <c r="Z95" i="3"/>
  <c r="Y95" i="3"/>
  <c r="X95" i="3"/>
  <c r="W95" i="3"/>
  <c r="V95" i="3"/>
  <c r="U95" i="3"/>
  <c r="T95" i="3"/>
  <c r="S95" i="3"/>
  <c r="O95" i="3"/>
  <c r="N95" i="3"/>
  <c r="M95" i="3"/>
  <c r="L95" i="3"/>
  <c r="K95" i="3"/>
  <c r="J95" i="3"/>
  <c r="I95" i="3"/>
  <c r="H95" i="3"/>
  <c r="G95" i="3"/>
  <c r="F95" i="3"/>
  <c r="E95" i="3"/>
  <c r="D95" i="3"/>
  <c r="P85" i="3"/>
  <c r="P84" i="3"/>
  <c r="P83" i="3"/>
  <c r="O81" i="3"/>
  <c r="N81" i="3"/>
  <c r="M81" i="3"/>
  <c r="L81" i="3"/>
  <c r="K81" i="3"/>
  <c r="J81" i="3"/>
  <c r="I81" i="3"/>
  <c r="H81" i="3"/>
  <c r="G81" i="3"/>
  <c r="F81" i="3"/>
  <c r="E81" i="3"/>
  <c r="D81" i="3"/>
  <c r="P80" i="3"/>
  <c r="P79" i="3"/>
  <c r="O78" i="3"/>
  <c r="N78" i="3"/>
  <c r="M78" i="3"/>
  <c r="L78" i="3"/>
  <c r="L94" i="3" s="1"/>
  <c r="L104" i="3" s="1"/>
  <c r="K78" i="3"/>
  <c r="J78" i="3"/>
  <c r="I78" i="3"/>
  <c r="H78" i="3"/>
  <c r="H94" i="3" s="1"/>
  <c r="H104" i="3" s="1"/>
  <c r="G78" i="3"/>
  <c r="F78" i="3"/>
  <c r="E78" i="3"/>
  <c r="D78" i="3"/>
  <c r="P77" i="3"/>
  <c r="P76" i="3"/>
  <c r="O69" i="3"/>
  <c r="N69" i="3"/>
  <c r="M69" i="3"/>
  <c r="L69" i="3"/>
  <c r="K69" i="3"/>
  <c r="J69" i="3"/>
  <c r="I69" i="3"/>
  <c r="H69" i="3"/>
  <c r="G69" i="3"/>
  <c r="F69" i="3"/>
  <c r="F91" i="3" s="1"/>
  <c r="F102" i="3" s="1"/>
  <c r="E69" i="3"/>
  <c r="E91" i="3" s="1"/>
  <c r="E102" i="3" s="1"/>
  <c r="D69" i="3"/>
  <c r="D91" i="3" s="1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D66" i="3"/>
  <c r="P65" i="3"/>
  <c r="P64" i="3"/>
  <c r="O63" i="3"/>
  <c r="N63" i="3"/>
  <c r="M63" i="3"/>
  <c r="L63" i="3"/>
  <c r="K63" i="3"/>
  <c r="J63" i="3"/>
  <c r="I63" i="3"/>
  <c r="H63" i="3"/>
  <c r="G63" i="3"/>
  <c r="F63" i="3"/>
  <c r="E63" i="3"/>
  <c r="D63" i="3"/>
  <c r="P62" i="3"/>
  <c r="P61" i="3"/>
  <c r="O60" i="3"/>
  <c r="N60" i="3"/>
  <c r="M60" i="3"/>
  <c r="L60" i="3"/>
  <c r="K60" i="3"/>
  <c r="J60" i="3"/>
  <c r="I60" i="3"/>
  <c r="H60" i="3"/>
  <c r="G60" i="3"/>
  <c r="F60" i="3"/>
  <c r="E60" i="3"/>
  <c r="D60" i="3"/>
  <c r="P59" i="3"/>
  <c r="P58" i="3"/>
  <c r="O57" i="3"/>
  <c r="N57" i="3"/>
  <c r="M57" i="3"/>
  <c r="L57" i="3"/>
  <c r="K57" i="3"/>
  <c r="J57" i="3"/>
  <c r="I57" i="3"/>
  <c r="H57" i="3"/>
  <c r="G57" i="3"/>
  <c r="F57" i="3"/>
  <c r="E57" i="3"/>
  <c r="D57" i="3"/>
  <c r="P56" i="3"/>
  <c r="P55" i="3"/>
  <c r="O54" i="3"/>
  <c r="N54" i="3"/>
  <c r="M54" i="3"/>
  <c r="L54" i="3"/>
  <c r="K54" i="3"/>
  <c r="J54" i="3"/>
  <c r="I54" i="3"/>
  <c r="H54" i="3"/>
  <c r="G54" i="3"/>
  <c r="F54" i="3"/>
  <c r="E54" i="3"/>
  <c r="D54" i="3"/>
  <c r="P53" i="3"/>
  <c r="P52" i="3"/>
  <c r="AE50" i="3"/>
  <c r="P50" i="3"/>
  <c r="AE49" i="3"/>
  <c r="P48" i="3"/>
  <c r="P47" i="3"/>
  <c r="P46" i="3"/>
  <c r="P45" i="3"/>
  <c r="AE44" i="3"/>
  <c r="P43" i="3"/>
  <c r="P42" i="3"/>
  <c r="P41" i="3"/>
  <c r="P40" i="3"/>
  <c r="AE39" i="3"/>
  <c r="AD35" i="3"/>
  <c r="AD70" i="3" s="1"/>
  <c r="S35" i="3"/>
  <c r="P35" i="3"/>
  <c r="AD34" i="3"/>
  <c r="AC34" i="3"/>
  <c r="AC92" i="3" s="1"/>
  <c r="AB34" i="3"/>
  <c r="AB92" i="3" s="1"/>
  <c r="AA34" i="3"/>
  <c r="AA92" i="3" s="1"/>
  <c r="Z34" i="3"/>
  <c r="Z92" i="3" s="1"/>
  <c r="Y34" i="3"/>
  <c r="Y92" i="3" s="1"/>
  <c r="X34" i="3"/>
  <c r="X92" i="3" s="1"/>
  <c r="W34" i="3"/>
  <c r="W92" i="3" s="1"/>
  <c r="V34" i="3"/>
  <c r="V92" i="3" s="1"/>
  <c r="U34" i="3"/>
  <c r="U92" i="3" s="1"/>
  <c r="T34" i="3"/>
  <c r="T92" i="3" s="1"/>
  <c r="S34" i="3"/>
  <c r="P34" i="3"/>
  <c r="P103" i="3" s="1"/>
  <c r="AE33" i="3"/>
  <c r="AE32" i="3"/>
  <c r="AE31" i="3"/>
  <c r="AD30" i="3"/>
  <c r="AC30" i="3"/>
  <c r="AB30" i="3"/>
  <c r="AA30" i="3"/>
  <c r="Z30" i="3"/>
  <c r="Y30" i="3"/>
  <c r="X30" i="3"/>
  <c r="W30" i="3"/>
  <c r="V30" i="3"/>
  <c r="U30" i="3"/>
  <c r="T30" i="3"/>
  <c r="S30" i="3"/>
  <c r="P30" i="3"/>
  <c r="AD29" i="3"/>
  <c r="AC29" i="3"/>
  <c r="AB29" i="3"/>
  <c r="AA29" i="3"/>
  <c r="Z29" i="3"/>
  <c r="Y29" i="3"/>
  <c r="X29" i="3"/>
  <c r="W29" i="3"/>
  <c r="V29" i="3"/>
  <c r="U29" i="3"/>
  <c r="T29" i="3"/>
  <c r="S29" i="3"/>
  <c r="P29" i="3"/>
  <c r="AD28" i="3"/>
  <c r="AC28" i="3"/>
  <c r="AB28" i="3"/>
  <c r="AA28" i="3"/>
  <c r="Z28" i="3"/>
  <c r="Y28" i="3"/>
  <c r="X28" i="3"/>
  <c r="W28" i="3"/>
  <c r="V28" i="3"/>
  <c r="U28" i="3"/>
  <c r="T28" i="3"/>
  <c r="S28" i="3"/>
  <c r="P28" i="3"/>
  <c r="AE27" i="3"/>
  <c r="AE26" i="3"/>
  <c r="AE25" i="3"/>
  <c r="AD24" i="3"/>
  <c r="AC24" i="3"/>
  <c r="AB24" i="3"/>
  <c r="AA24" i="3"/>
  <c r="Z24" i="3"/>
  <c r="Y24" i="3"/>
  <c r="X24" i="3"/>
  <c r="W24" i="3"/>
  <c r="V24" i="3"/>
  <c r="U24" i="3"/>
  <c r="T24" i="3"/>
  <c r="S24" i="3"/>
  <c r="P24" i="3"/>
  <c r="AD23" i="3"/>
  <c r="AC23" i="3"/>
  <c r="AB23" i="3"/>
  <c r="AA23" i="3"/>
  <c r="Z23" i="3"/>
  <c r="Y23" i="3"/>
  <c r="X23" i="3"/>
  <c r="W23" i="3"/>
  <c r="V23" i="3"/>
  <c r="U23" i="3"/>
  <c r="T23" i="3"/>
  <c r="S23" i="3"/>
  <c r="P23" i="3"/>
  <c r="AD22" i="3"/>
  <c r="AC22" i="3"/>
  <c r="AB22" i="3"/>
  <c r="AA22" i="3"/>
  <c r="Z22" i="3"/>
  <c r="Y22" i="3"/>
  <c r="X22" i="3"/>
  <c r="W22" i="3"/>
  <c r="V22" i="3"/>
  <c r="U22" i="3"/>
  <c r="T22" i="3"/>
  <c r="S22" i="3"/>
  <c r="P22" i="3"/>
  <c r="AE21" i="3"/>
  <c r="AE20" i="3"/>
  <c r="AE19" i="3"/>
  <c r="AD18" i="3"/>
  <c r="AC18" i="3"/>
  <c r="AB18" i="3"/>
  <c r="AA18" i="3"/>
  <c r="Z18" i="3"/>
  <c r="Y18" i="3"/>
  <c r="X18" i="3"/>
  <c r="W18" i="3"/>
  <c r="V18" i="3"/>
  <c r="U18" i="3"/>
  <c r="T18" i="3"/>
  <c r="S18" i="3"/>
  <c r="P18" i="3"/>
  <c r="AD17" i="3"/>
  <c r="AC17" i="3"/>
  <c r="AB17" i="3"/>
  <c r="AA17" i="3"/>
  <c r="Z17" i="3"/>
  <c r="Y17" i="3"/>
  <c r="X17" i="3"/>
  <c r="W17" i="3"/>
  <c r="V17" i="3"/>
  <c r="U17" i="3"/>
  <c r="T17" i="3"/>
  <c r="S17" i="3"/>
  <c r="P17" i="3"/>
  <c r="AD16" i="3"/>
  <c r="AC16" i="3"/>
  <c r="AB16" i="3"/>
  <c r="AA16" i="3"/>
  <c r="Z16" i="3"/>
  <c r="Y16" i="3"/>
  <c r="X16" i="3"/>
  <c r="W16" i="3"/>
  <c r="V16" i="3"/>
  <c r="U16" i="3"/>
  <c r="T16" i="3"/>
  <c r="S16" i="3"/>
  <c r="P16" i="3"/>
  <c r="AE15" i="3"/>
  <c r="AE14" i="3"/>
  <c r="AD13" i="3"/>
  <c r="AC13" i="3"/>
  <c r="AB13" i="3"/>
  <c r="AA13" i="3"/>
  <c r="Z13" i="3"/>
  <c r="Y13" i="3"/>
  <c r="X13" i="3"/>
  <c r="W13" i="3"/>
  <c r="V13" i="3"/>
  <c r="U13" i="3"/>
  <c r="T13" i="3"/>
  <c r="S13" i="3"/>
  <c r="P13" i="3"/>
  <c r="AD12" i="3"/>
  <c r="AC12" i="3"/>
  <c r="AB12" i="3"/>
  <c r="AA12" i="3"/>
  <c r="Z12" i="3"/>
  <c r="Y12" i="3"/>
  <c r="X12" i="3"/>
  <c r="W12" i="3"/>
  <c r="V12" i="3"/>
  <c r="U12" i="3"/>
  <c r="T12" i="3"/>
  <c r="S12" i="3"/>
  <c r="P12" i="3"/>
  <c r="AD11" i="3"/>
  <c r="AC11" i="3"/>
  <c r="AB11" i="3"/>
  <c r="AA11" i="3"/>
  <c r="Z11" i="3"/>
  <c r="Y11" i="3"/>
  <c r="X11" i="3"/>
  <c r="W11" i="3"/>
  <c r="V11" i="3"/>
  <c r="U11" i="3"/>
  <c r="T11" i="3"/>
  <c r="S11" i="3"/>
  <c r="P11" i="3"/>
  <c r="AE10" i="3"/>
  <c r="AE9" i="3"/>
  <c r="AD8" i="3"/>
  <c r="AC8" i="3"/>
  <c r="AB8" i="3"/>
  <c r="AA8" i="3"/>
  <c r="Z8" i="3"/>
  <c r="Y8" i="3"/>
  <c r="X8" i="3"/>
  <c r="W8" i="3"/>
  <c r="V8" i="3"/>
  <c r="U8" i="3"/>
  <c r="T8" i="3"/>
  <c r="S8" i="3"/>
  <c r="P8" i="3"/>
  <c r="AD7" i="3"/>
  <c r="AC7" i="3"/>
  <c r="AB7" i="3"/>
  <c r="AA7" i="3"/>
  <c r="Z7" i="3"/>
  <c r="Y7" i="3"/>
  <c r="X7" i="3"/>
  <c r="W7" i="3"/>
  <c r="V7" i="3"/>
  <c r="U7" i="3"/>
  <c r="T7" i="3"/>
  <c r="S7" i="3"/>
  <c r="P7" i="3"/>
  <c r="AD6" i="3"/>
  <c r="AC6" i="3"/>
  <c r="AB6" i="3"/>
  <c r="AA6" i="3"/>
  <c r="Z6" i="3"/>
  <c r="Y6" i="3"/>
  <c r="X6" i="3"/>
  <c r="W6" i="3"/>
  <c r="V6" i="3"/>
  <c r="U6" i="3"/>
  <c r="T6" i="3"/>
  <c r="S6" i="3"/>
  <c r="P6" i="3"/>
  <c r="AD5" i="3"/>
  <c r="AC5" i="3"/>
  <c r="AB5" i="3"/>
  <c r="AA5" i="3"/>
  <c r="Z5" i="3"/>
  <c r="Y5" i="3"/>
  <c r="X5" i="3"/>
  <c r="W5" i="3"/>
  <c r="V5" i="3"/>
  <c r="U5" i="3"/>
  <c r="T5" i="3"/>
  <c r="S5" i="3"/>
  <c r="P5" i="3"/>
  <c r="AD4" i="3"/>
  <c r="AC4" i="3"/>
  <c r="AB4" i="3"/>
  <c r="AA4" i="3"/>
  <c r="Z4" i="3"/>
  <c r="Y4" i="3"/>
  <c r="X4" i="3"/>
  <c r="W4" i="3"/>
  <c r="V4" i="3"/>
  <c r="U4" i="3"/>
  <c r="T4" i="3"/>
  <c r="S4" i="3"/>
  <c r="P4" i="3"/>
  <c r="AD3" i="3"/>
  <c r="AC3" i="3"/>
  <c r="AB3" i="3"/>
  <c r="AA3" i="3"/>
  <c r="Z3" i="3"/>
  <c r="Y3" i="3"/>
  <c r="X3" i="3"/>
  <c r="W3" i="3"/>
  <c r="V3" i="3"/>
  <c r="U3" i="3"/>
  <c r="T3" i="3"/>
  <c r="S3" i="3"/>
  <c r="P3" i="3"/>
  <c r="G90" i="3" l="1"/>
  <c r="G101" i="3" s="1"/>
  <c r="H90" i="3"/>
  <c r="H101" i="3" s="1"/>
  <c r="S92" i="3"/>
  <c r="S103" i="3" s="1"/>
  <c r="AD92" i="3"/>
  <c r="AD103" i="3" s="1"/>
  <c r="AE68" i="4"/>
  <c r="AC81" i="4"/>
  <c r="AC92" i="4" s="1"/>
  <c r="Q5" i="3"/>
  <c r="D82" i="3"/>
  <c r="E82" i="3"/>
  <c r="F82" i="3"/>
  <c r="Q17" i="3"/>
  <c r="Q18" i="3"/>
  <c r="N91" i="3"/>
  <c r="N102" i="3" s="1"/>
  <c r="N82" i="3"/>
  <c r="G91" i="3"/>
  <c r="G102" i="3" s="1"/>
  <c r="G82" i="3"/>
  <c r="O91" i="3"/>
  <c r="O102" i="3" s="1"/>
  <c r="O82" i="3"/>
  <c r="L91" i="3"/>
  <c r="L102" i="3" s="1"/>
  <c r="L82" i="3"/>
  <c r="J91" i="3"/>
  <c r="J102" i="3" s="1"/>
  <c r="J82" i="3"/>
  <c r="K91" i="3"/>
  <c r="K102" i="3" s="1"/>
  <c r="K82" i="3"/>
  <c r="M91" i="3"/>
  <c r="M102" i="3" s="1"/>
  <c r="M82" i="3"/>
  <c r="S71" i="3"/>
  <c r="S70" i="3"/>
  <c r="I91" i="3"/>
  <c r="I102" i="3" s="1"/>
  <c r="I82" i="3"/>
  <c r="H91" i="3"/>
  <c r="H102" i="3" s="1"/>
  <c r="H82" i="3"/>
  <c r="H88" i="3"/>
  <c r="H99" i="3" s="1"/>
  <c r="M88" i="3"/>
  <c r="M99" i="3" s="1"/>
  <c r="F88" i="3"/>
  <c r="F99" i="3" s="1"/>
  <c r="J88" i="3"/>
  <c r="J99" i="3" s="1"/>
  <c r="N88" i="3"/>
  <c r="N99" i="3" s="1"/>
  <c r="L88" i="3"/>
  <c r="L99" i="3" s="1"/>
  <c r="I88" i="3"/>
  <c r="I99" i="3" s="1"/>
  <c r="G88" i="3"/>
  <c r="G99" i="3" s="1"/>
  <c r="K88" i="3"/>
  <c r="K99" i="3" s="1"/>
  <c r="O88" i="3"/>
  <c r="O99" i="3" s="1"/>
  <c r="E88" i="3"/>
  <c r="E99" i="3" s="1"/>
  <c r="T103" i="3"/>
  <c r="X103" i="3"/>
  <c r="AB103" i="3"/>
  <c r="V103" i="3"/>
  <c r="Z103" i="3"/>
  <c r="E94" i="3"/>
  <c r="E104" i="3" s="1"/>
  <c r="K90" i="3"/>
  <c r="K101" i="3" s="1"/>
  <c r="D88" i="3"/>
  <c r="D99" i="3" s="1"/>
  <c r="U103" i="3"/>
  <c r="Y103" i="3"/>
  <c r="AC103" i="3"/>
  <c r="AD94" i="4"/>
  <c r="H88" i="4"/>
  <c r="E88" i="4"/>
  <c r="I88" i="4"/>
  <c r="M88" i="4"/>
  <c r="F88" i="4"/>
  <c r="J88" i="4"/>
  <c r="N88" i="4"/>
  <c r="G88" i="4"/>
  <c r="K88" i="4"/>
  <c r="O88" i="4"/>
  <c r="L88" i="4"/>
  <c r="D88" i="4"/>
  <c r="Z78" i="4"/>
  <c r="Y78" i="4"/>
  <c r="S78" i="4"/>
  <c r="W78" i="4"/>
  <c r="T78" i="4"/>
  <c r="X78" i="4"/>
  <c r="U78" i="4"/>
  <c r="AC78" i="4"/>
  <c r="V78" i="4"/>
  <c r="V94" i="4" s="1"/>
  <c r="AB78" i="4"/>
  <c r="AE62" i="4"/>
  <c r="AA78" i="4"/>
  <c r="W103" i="3"/>
  <c r="AA103" i="3"/>
  <c r="S64" i="3"/>
  <c r="T65" i="3" s="1"/>
  <c r="W64" i="3"/>
  <c r="X65" i="3" s="1"/>
  <c r="AA64" i="3"/>
  <c r="AB65" i="3" s="1"/>
  <c r="V81" i="4"/>
  <c r="V92" i="4" s="1"/>
  <c r="U81" i="4"/>
  <c r="U92" i="4" s="1"/>
  <c r="AA81" i="4"/>
  <c r="AA92" i="4" s="1"/>
  <c r="T81" i="4"/>
  <c r="T92" i="4" s="1"/>
  <c r="AB81" i="4"/>
  <c r="AB92" i="4" s="1"/>
  <c r="AD81" i="4"/>
  <c r="AD92" i="4" s="1"/>
  <c r="X81" i="4"/>
  <c r="X92" i="4" s="1"/>
  <c r="Z81" i="4"/>
  <c r="Z92" i="4" s="1"/>
  <c r="Y81" i="4"/>
  <c r="Y92" i="4" s="1"/>
  <c r="S81" i="4"/>
  <c r="W81" i="4"/>
  <c r="W92" i="4" s="1"/>
  <c r="S97" i="4"/>
  <c r="AE86" i="4"/>
  <c r="AE97" i="4" s="1"/>
  <c r="AE74" i="4"/>
  <c r="AE71" i="4"/>
  <c r="AE84" i="4"/>
  <c r="AE65" i="4"/>
  <c r="AE76" i="4"/>
  <c r="AE56" i="4"/>
  <c r="D94" i="3"/>
  <c r="D104" i="3" s="1"/>
  <c r="D90" i="3"/>
  <c r="D101" i="3" s="1"/>
  <c r="I94" i="3"/>
  <c r="I104" i="3" s="1"/>
  <c r="M94" i="3"/>
  <c r="M104" i="3" s="1"/>
  <c r="O90" i="3"/>
  <c r="O101" i="3" s="1"/>
  <c r="P38" i="3"/>
  <c r="V58" i="3"/>
  <c r="W59" i="3" s="1"/>
  <c r="Z58" i="3"/>
  <c r="AA59" i="3" s="1"/>
  <c r="F94" i="3"/>
  <c r="F104" i="3" s="1"/>
  <c r="J94" i="3"/>
  <c r="J104" i="3" s="1"/>
  <c r="N94" i="3"/>
  <c r="N104" i="3" s="1"/>
  <c r="AB61" i="3"/>
  <c r="AC62" i="3" s="1"/>
  <c r="G94" i="3"/>
  <c r="G104" i="3" s="1"/>
  <c r="K94" i="3"/>
  <c r="K104" i="3" s="1"/>
  <c r="O94" i="3"/>
  <c r="O104" i="3" s="1"/>
  <c r="AC61" i="3"/>
  <c r="AD62" i="3" s="1"/>
  <c r="AB52" i="3"/>
  <c r="AC53" i="3" s="1"/>
  <c r="AC55" i="3"/>
  <c r="AD56" i="3" s="1"/>
  <c r="T58" i="3"/>
  <c r="U59" i="3" s="1"/>
  <c r="S62" i="3"/>
  <c r="W61" i="3"/>
  <c r="X62" i="3" s="1"/>
  <c r="AA61" i="3"/>
  <c r="AB62" i="3" s="1"/>
  <c r="U64" i="3"/>
  <c r="V65" i="3" s="1"/>
  <c r="T64" i="3"/>
  <c r="U65" i="3" s="1"/>
  <c r="X64" i="3"/>
  <c r="Y65" i="3" s="1"/>
  <c r="AB64" i="3"/>
  <c r="AC65" i="3" s="1"/>
  <c r="AD67" i="3"/>
  <c r="T76" i="3"/>
  <c r="U77" i="3" s="1"/>
  <c r="W76" i="3"/>
  <c r="X77" i="3" s="1"/>
  <c r="AA76" i="3"/>
  <c r="AB77" i="3" s="1"/>
  <c r="U55" i="3"/>
  <c r="V56" i="3" s="1"/>
  <c r="Y55" i="3"/>
  <c r="Z56" i="3" s="1"/>
  <c r="X58" i="3"/>
  <c r="Y59" i="3" s="1"/>
  <c r="F89" i="3"/>
  <c r="F100" i="3" s="1"/>
  <c r="V64" i="3"/>
  <c r="W65" i="3" s="1"/>
  <c r="U67" i="3"/>
  <c r="V68" i="3" s="1"/>
  <c r="Y67" i="3"/>
  <c r="Z68" i="3" s="1"/>
  <c r="AE40" i="3"/>
  <c r="Z76" i="3"/>
  <c r="AA77" i="3" s="1"/>
  <c r="AC79" i="3"/>
  <c r="AD80" i="3" s="1"/>
  <c r="T79" i="3"/>
  <c r="U80" i="3" s="1"/>
  <c r="X79" i="3"/>
  <c r="Y80" i="3" s="1"/>
  <c r="AB79" i="3"/>
  <c r="AC80" i="3" s="1"/>
  <c r="P69" i="3"/>
  <c r="Q8" i="3"/>
  <c r="AB58" i="3"/>
  <c r="AC59" i="3" s="1"/>
  <c r="N89" i="3"/>
  <c r="N100" i="3" s="1"/>
  <c r="T61" i="3"/>
  <c r="U62" i="3" s="1"/>
  <c r="X61" i="3"/>
  <c r="Y62" i="3" s="1"/>
  <c r="V52" i="3"/>
  <c r="W53" i="3" s="1"/>
  <c r="Z52" i="3"/>
  <c r="AA53" i="3" s="1"/>
  <c r="AD52" i="3"/>
  <c r="W55" i="3"/>
  <c r="X56" i="3" s="1"/>
  <c r="AA55" i="3"/>
  <c r="AB56" i="3" s="1"/>
  <c r="S59" i="3"/>
  <c r="W58" i="3"/>
  <c r="X59" i="3" s="1"/>
  <c r="AA58" i="3"/>
  <c r="AB59" i="3" s="1"/>
  <c r="AD58" i="3"/>
  <c r="V67" i="3"/>
  <c r="W68" i="3" s="1"/>
  <c r="E89" i="3"/>
  <c r="E100" i="3" s="1"/>
  <c r="E90" i="3"/>
  <c r="E101" i="3" s="1"/>
  <c r="I90" i="3"/>
  <c r="I101" i="3" s="1"/>
  <c r="M90" i="3"/>
  <c r="M101" i="3" s="1"/>
  <c r="AE48" i="3"/>
  <c r="AA67" i="3"/>
  <c r="AB68" i="3" s="1"/>
  <c r="P33" i="3"/>
  <c r="AE42" i="3"/>
  <c r="S52" i="3"/>
  <c r="T53" i="3" s="1"/>
  <c r="W52" i="3"/>
  <c r="X53" i="3" s="1"/>
  <c r="AA52" i="3"/>
  <c r="AB53" i="3" s="1"/>
  <c r="T55" i="3"/>
  <c r="U56" i="3" s="1"/>
  <c r="X55" i="3"/>
  <c r="Y56" i="3" s="1"/>
  <c r="AB55" i="3"/>
  <c r="AC56" i="3" s="1"/>
  <c r="V55" i="3"/>
  <c r="W56" i="3" s="1"/>
  <c r="Z55" i="3"/>
  <c r="AA56" i="3" s="1"/>
  <c r="AE11" i="3"/>
  <c r="S61" i="3"/>
  <c r="T62" i="3" s="1"/>
  <c r="P19" i="3"/>
  <c r="AE22" i="3"/>
  <c r="Z64" i="3"/>
  <c r="AA65" i="3" s="1"/>
  <c r="AD64" i="3"/>
  <c r="Y64" i="3"/>
  <c r="Z65" i="3" s="1"/>
  <c r="AC64" i="3"/>
  <c r="AD65" i="3" s="1"/>
  <c r="T67" i="3"/>
  <c r="U68" i="3" s="1"/>
  <c r="X67" i="3"/>
  <c r="Y68" i="3" s="1"/>
  <c r="AB67" i="3"/>
  <c r="AC68" i="3" s="1"/>
  <c r="AE30" i="3"/>
  <c r="U76" i="3"/>
  <c r="V77" i="3" s="1"/>
  <c r="Y76" i="3"/>
  <c r="Z77" i="3" s="1"/>
  <c r="AC76" i="3"/>
  <c r="AD77" i="3" s="1"/>
  <c r="AE43" i="3"/>
  <c r="P44" i="3"/>
  <c r="M89" i="3"/>
  <c r="M100" i="3" s="1"/>
  <c r="S58" i="3"/>
  <c r="T59" i="3" s="1"/>
  <c r="P60" i="3"/>
  <c r="L90" i="3"/>
  <c r="L101" i="3" s="1"/>
  <c r="AE95" i="3"/>
  <c r="AE6" i="3"/>
  <c r="Q7" i="3"/>
  <c r="AE13" i="3"/>
  <c r="P14" i="3"/>
  <c r="V61" i="3"/>
  <c r="W62" i="3" s="1"/>
  <c r="Z61" i="3"/>
  <c r="AA62" i="3" s="1"/>
  <c r="AD61" i="3"/>
  <c r="U61" i="3"/>
  <c r="V62" i="3" s="1"/>
  <c r="Y61" i="3"/>
  <c r="Z62" i="3" s="1"/>
  <c r="P21" i="3"/>
  <c r="AE24" i="3"/>
  <c r="P25" i="3"/>
  <c r="AE28" i="3"/>
  <c r="Z67" i="3"/>
  <c r="AA68" i="3" s="1"/>
  <c r="AC67" i="3"/>
  <c r="AD68" i="3" s="1"/>
  <c r="AE34" i="3"/>
  <c r="V76" i="3"/>
  <c r="W77" i="3" s="1"/>
  <c r="AD76" i="3"/>
  <c r="AE45" i="3"/>
  <c r="V79" i="3"/>
  <c r="W80" i="3" s="1"/>
  <c r="Z79" i="3"/>
  <c r="AA80" i="3" s="1"/>
  <c r="AD79" i="3"/>
  <c r="U79" i="3"/>
  <c r="V80" i="3" s="1"/>
  <c r="Y79" i="3"/>
  <c r="Z80" i="3" s="1"/>
  <c r="G89" i="3"/>
  <c r="G100" i="3" s="1"/>
  <c r="K89" i="3"/>
  <c r="K100" i="3" s="1"/>
  <c r="O89" i="3"/>
  <c r="O100" i="3" s="1"/>
  <c r="J89" i="3"/>
  <c r="J100" i="3" s="1"/>
  <c r="U52" i="3"/>
  <c r="V53" i="3" s="1"/>
  <c r="AE5" i="3"/>
  <c r="Y52" i="3"/>
  <c r="Z53" i="3" s="1"/>
  <c r="AE3" i="3"/>
  <c r="Q4" i="3"/>
  <c r="S55" i="3"/>
  <c r="S56" i="3"/>
  <c r="AE8" i="3"/>
  <c r="P15" i="3"/>
  <c r="AE17" i="3"/>
  <c r="S80" i="3"/>
  <c r="W79" i="3"/>
  <c r="X80" i="3" s="1"/>
  <c r="AA79" i="3"/>
  <c r="AB80" i="3" s="1"/>
  <c r="AE46" i="3"/>
  <c r="D89" i="3"/>
  <c r="H89" i="3"/>
  <c r="H100" i="3" s="1"/>
  <c r="L89" i="3"/>
  <c r="L100" i="3" s="1"/>
  <c r="P57" i="3"/>
  <c r="AE4" i="3"/>
  <c r="AC52" i="3"/>
  <c r="AD53" i="3" s="1"/>
  <c r="AD55" i="3"/>
  <c r="AE12" i="3"/>
  <c r="AE18" i="3"/>
  <c r="AE23" i="3"/>
  <c r="S67" i="3"/>
  <c r="S68" i="3"/>
  <c r="W67" i="3"/>
  <c r="X68" i="3" s="1"/>
  <c r="AE29" i="3"/>
  <c r="P31" i="3"/>
  <c r="AE35" i="3"/>
  <c r="R72" i="3" s="1"/>
  <c r="S53" i="3"/>
  <c r="I89" i="3"/>
  <c r="I100" i="3" s="1"/>
  <c r="F90" i="3"/>
  <c r="J90" i="3"/>
  <c r="J101" i="3" s="1"/>
  <c r="N90" i="3"/>
  <c r="N101" i="3" s="1"/>
  <c r="S79" i="3"/>
  <c r="T52" i="3"/>
  <c r="U53" i="3" s="1"/>
  <c r="X52" i="3"/>
  <c r="Y53" i="3" s="1"/>
  <c r="P10" i="3"/>
  <c r="AE16" i="3"/>
  <c r="P27" i="3"/>
  <c r="P32" i="3"/>
  <c r="X76" i="3"/>
  <c r="Y77" i="3" s="1"/>
  <c r="AB76" i="3"/>
  <c r="AC77" i="3" s="1"/>
  <c r="AE47" i="3"/>
  <c r="S65" i="3"/>
  <c r="P81" i="3"/>
  <c r="P9" i="3"/>
  <c r="U58" i="3"/>
  <c r="V59" i="3" s="1"/>
  <c r="Y58" i="3"/>
  <c r="Z59" i="3" s="1"/>
  <c r="AC58" i="3"/>
  <c r="AD59" i="3" s="1"/>
  <c r="P26" i="3"/>
  <c r="P49" i="3"/>
  <c r="P63" i="3"/>
  <c r="P66" i="3"/>
  <c r="P95" i="3"/>
  <c r="AE7" i="3"/>
  <c r="P20" i="3"/>
  <c r="P39" i="3"/>
  <c r="S77" i="3"/>
  <c r="AE41" i="3"/>
  <c r="P54" i="3"/>
  <c r="S76" i="3"/>
  <c r="P78" i="3"/>
  <c r="AE95" i="4" l="1"/>
  <c r="AL84" i="4"/>
  <c r="T71" i="3"/>
  <c r="AE71" i="3" s="1"/>
  <c r="AE70" i="3"/>
  <c r="P91" i="3"/>
  <c r="P102" i="3" s="1"/>
  <c r="V72" i="3"/>
  <c r="X72" i="3"/>
  <c r="Y72" i="3"/>
  <c r="AB72" i="3"/>
  <c r="U72" i="3"/>
  <c r="AC72" i="3"/>
  <c r="W72" i="3"/>
  <c r="Z72" i="3"/>
  <c r="S72" i="3"/>
  <c r="AD72" i="3"/>
  <c r="T72" i="3"/>
  <c r="AA72" i="3"/>
  <c r="P82" i="3"/>
  <c r="P88" i="4"/>
  <c r="AB94" i="4"/>
  <c r="X94" i="4"/>
  <c r="W94" i="4"/>
  <c r="AC94" i="4"/>
  <c r="U94" i="4"/>
  <c r="AA94" i="4"/>
  <c r="T94" i="4"/>
  <c r="Y94" i="4"/>
  <c r="Z94" i="4"/>
  <c r="AE78" i="4"/>
  <c r="AE92" i="3"/>
  <c r="AE103" i="3" s="1"/>
  <c r="R83" i="3"/>
  <c r="AE81" i="4"/>
  <c r="AL81" i="4" s="1"/>
  <c r="S92" i="4"/>
  <c r="AE85" i="4"/>
  <c r="S94" i="4"/>
  <c r="L96" i="3"/>
  <c r="E96" i="3"/>
  <c r="R60" i="3"/>
  <c r="Z60" i="3" s="1"/>
  <c r="R85" i="3"/>
  <c r="W85" i="3" s="1"/>
  <c r="R84" i="3"/>
  <c r="X84" i="3" s="1"/>
  <c r="K96" i="3"/>
  <c r="P94" i="3"/>
  <c r="P104" i="3" s="1"/>
  <c r="AE61" i="3"/>
  <c r="R78" i="3"/>
  <c r="T78" i="3" s="1"/>
  <c r="AE64" i="3"/>
  <c r="D102" i="3"/>
  <c r="AE62" i="3"/>
  <c r="P88" i="3"/>
  <c r="P99" i="3" s="1"/>
  <c r="J96" i="3"/>
  <c r="R69" i="3"/>
  <c r="AA69" i="3" s="1"/>
  <c r="AA91" i="3" s="1"/>
  <c r="AA102" i="3" s="1"/>
  <c r="R66" i="3"/>
  <c r="AC66" i="3" s="1"/>
  <c r="H96" i="3"/>
  <c r="D96" i="3"/>
  <c r="R57" i="3"/>
  <c r="S57" i="3" s="1"/>
  <c r="AE59" i="3"/>
  <c r="O96" i="3"/>
  <c r="G96" i="3"/>
  <c r="M96" i="3"/>
  <c r="T80" i="3"/>
  <c r="AE80" i="3" s="1"/>
  <c r="AE79" i="3"/>
  <c r="AE58" i="3"/>
  <c r="AE67" i="3"/>
  <c r="T68" i="3"/>
  <c r="AE68" i="3" s="1"/>
  <c r="P89" i="3"/>
  <c r="P100" i="3" s="1"/>
  <c r="D100" i="3"/>
  <c r="N96" i="3"/>
  <c r="R81" i="3"/>
  <c r="R63" i="3"/>
  <c r="T56" i="3"/>
  <c r="AE56" i="3" s="1"/>
  <c r="AE55" i="3"/>
  <c r="I96" i="3"/>
  <c r="T77" i="3"/>
  <c r="AE77" i="3" s="1"/>
  <c r="AE76" i="3"/>
  <c r="AE53" i="3"/>
  <c r="R54" i="3"/>
  <c r="AE65" i="3"/>
  <c r="P90" i="3"/>
  <c r="P101" i="3" s="1"/>
  <c r="F101" i="3"/>
  <c r="F96" i="3"/>
  <c r="AE52" i="3"/>
  <c r="AL85" i="4" l="1"/>
  <c r="AF85" i="4"/>
  <c r="AE72" i="3"/>
  <c r="AE94" i="4"/>
  <c r="AE96" i="4"/>
  <c r="AE92" i="4"/>
  <c r="AF81" i="4"/>
  <c r="T85" i="3"/>
  <c r="AD78" i="3"/>
  <c r="Z78" i="3"/>
  <c r="AA78" i="3"/>
  <c r="AC78" i="3"/>
  <c r="AD69" i="3"/>
  <c r="AD91" i="3" s="1"/>
  <c r="AD102" i="3" s="1"/>
  <c r="S78" i="3"/>
  <c r="X78" i="3"/>
  <c r="X66" i="3"/>
  <c r="AB66" i="3"/>
  <c r="AD66" i="3"/>
  <c r="AA66" i="3"/>
  <c r="Y66" i="3"/>
  <c r="V66" i="3"/>
  <c r="U60" i="3"/>
  <c r="AA60" i="3"/>
  <c r="Y60" i="3"/>
  <c r="T60" i="3"/>
  <c r="AC60" i="3"/>
  <c r="AB60" i="3"/>
  <c r="W60" i="3"/>
  <c r="AD60" i="3"/>
  <c r="X60" i="3"/>
  <c r="V60" i="3"/>
  <c r="S60" i="3"/>
  <c r="U66" i="3"/>
  <c r="S66" i="3"/>
  <c r="Z66" i="3"/>
  <c r="T66" i="3"/>
  <c r="W66" i="3"/>
  <c r="AB69" i="3"/>
  <c r="AB91" i="3" s="1"/>
  <c r="AB102" i="3" s="1"/>
  <c r="AC57" i="3"/>
  <c r="X69" i="3"/>
  <c r="X91" i="3" s="1"/>
  <c r="X102" i="3" s="1"/>
  <c r="AB84" i="3"/>
  <c r="Z57" i="3"/>
  <c r="AA84" i="3"/>
  <c r="T69" i="3"/>
  <c r="T91" i="3" s="1"/>
  <c r="T102" i="3" s="1"/>
  <c r="W69" i="3"/>
  <c r="W91" i="3" s="1"/>
  <c r="W102" i="3" s="1"/>
  <c r="X57" i="3"/>
  <c r="W57" i="3"/>
  <c r="Y78" i="3"/>
  <c r="V78" i="3"/>
  <c r="AB78" i="3"/>
  <c r="Z69" i="3"/>
  <c r="Z91" i="3" s="1"/>
  <c r="Z102" i="3" s="1"/>
  <c r="T57" i="3"/>
  <c r="W78" i="3"/>
  <c r="U78" i="3"/>
  <c r="AB85" i="3"/>
  <c r="U85" i="3"/>
  <c r="S85" i="3"/>
  <c r="AD85" i="3"/>
  <c r="V85" i="3"/>
  <c r="Y85" i="3"/>
  <c r="Z85" i="3"/>
  <c r="X85" i="3"/>
  <c r="AA85" i="3"/>
  <c r="AC85" i="3"/>
  <c r="V84" i="3"/>
  <c r="W84" i="3"/>
  <c r="Z84" i="3"/>
  <c r="AC84" i="3"/>
  <c r="S84" i="3"/>
  <c r="AD84" i="3"/>
  <c r="T84" i="3"/>
  <c r="U84" i="3"/>
  <c r="Y84" i="3"/>
  <c r="AD57" i="3"/>
  <c r="AC69" i="3"/>
  <c r="AC91" i="3" s="1"/>
  <c r="AC102" i="3" s="1"/>
  <c r="U69" i="3"/>
  <c r="U91" i="3" s="1"/>
  <c r="U102" i="3" s="1"/>
  <c r="S69" i="3"/>
  <c r="V57" i="3"/>
  <c r="U57" i="3"/>
  <c r="AA57" i="3"/>
  <c r="Y69" i="3"/>
  <c r="Y91" i="3" s="1"/>
  <c r="Y102" i="3" s="1"/>
  <c r="V69" i="3"/>
  <c r="V91" i="3" s="1"/>
  <c r="V102" i="3" s="1"/>
  <c r="AB57" i="3"/>
  <c r="Y57" i="3"/>
  <c r="AD81" i="3"/>
  <c r="Z81" i="3"/>
  <c r="V81" i="3"/>
  <c r="AA81" i="3"/>
  <c r="U81" i="3"/>
  <c r="AB81" i="3"/>
  <c r="T81" i="3"/>
  <c r="Y81" i="3"/>
  <c r="S81" i="3"/>
  <c r="X81" i="3"/>
  <c r="AC81" i="3"/>
  <c r="W81" i="3"/>
  <c r="AC54" i="3"/>
  <c r="Y54" i="3"/>
  <c r="U54" i="3"/>
  <c r="AB54" i="3"/>
  <c r="W54" i="3"/>
  <c r="AA54" i="3"/>
  <c r="V54" i="3"/>
  <c r="AD54" i="3"/>
  <c r="S54" i="3"/>
  <c r="Z54" i="3"/>
  <c r="X54" i="3"/>
  <c r="T54" i="3"/>
  <c r="AA83" i="3"/>
  <c r="W83" i="3"/>
  <c r="S83" i="3"/>
  <c r="AB83" i="3"/>
  <c r="AB88" i="3" s="1"/>
  <c r="AB99" i="3" s="1"/>
  <c r="V83" i="3"/>
  <c r="Y83" i="3"/>
  <c r="Y88" i="3" s="1"/>
  <c r="Y99" i="3" s="1"/>
  <c r="AD83" i="3"/>
  <c r="X83" i="3"/>
  <c r="AC83" i="3"/>
  <c r="U83" i="3"/>
  <c r="Z83" i="3"/>
  <c r="T83" i="3"/>
  <c r="T88" i="3" s="1"/>
  <c r="T99" i="3" s="1"/>
  <c r="AC63" i="3"/>
  <c r="Y63" i="3"/>
  <c r="U63" i="3"/>
  <c r="AD63" i="3"/>
  <c r="X63" i="3"/>
  <c r="S63" i="3"/>
  <c r="AB63" i="3"/>
  <c r="W63" i="3"/>
  <c r="AA63" i="3"/>
  <c r="V63" i="3"/>
  <c r="Z63" i="3"/>
  <c r="T63" i="3"/>
  <c r="S91" i="3"/>
  <c r="P96" i="3"/>
  <c r="P54" i="1"/>
  <c r="X89" i="3" l="1"/>
  <c r="X100" i="3" s="1"/>
  <c r="AC88" i="3"/>
  <c r="AC99" i="3" s="1"/>
  <c r="Z88" i="3"/>
  <c r="Z99" i="3" s="1"/>
  <c r="V88" i="3"/>
  <c r="V99" i="3" s="1"/>
  <c r="AA88" i="3"/>
  <c r="AA99" i="3" s="1"/>
  <c r="W94" i="3"/>
  <c r="W104" i="3" s="1"/>
  <c r="X88" i="3"/>
  <c r="X99" i="3" s="1"/>
  <c r="V94" i="3"/>
  <c r="V104" i="3" s="1"/>
  <c r="AD94" i="3"/>
  <c r="AD104" i="3" s="1"/>
  <c r="AC94" i="3"/>
  <c r="AC104" i="3" s="1"/>
  <c r="U94" i="3"/>
  <c r="U104" i="3" s="1"/>
  <c r="AB94" i="3"/>
  <c r="AB104" i="3" s="1"/>
  <c r="S94" i="3"/>
  <c r="S104" i="3" s="1"/>
  <c r="Z94" i="3"/>
  <c r="Z104" i="3" s="1"/>
  <c r="Y94" i="3"/>
  <c r="Y104" i="3" s="1"/>
  <c r="X94" i="3"/>
  <c r="X104" i="3" s="1"/>
  <c r="AA94" i="3"/>
  <c r="AA104" i="3" s="1"/>
  <c r="T94" i="3"/>
  <c r="T104" i="3" s="1"/>
  <c r="AD88" i="3"/>
  <c r="AD99" i="3" s="1"/>
  <c r="W88" i="3"/>
  <c r="W99" i="3" s="1"/>
  <c r="S88" i="3"/>
  <c r="S99" i="3" s="1"/>
  <c r="U88" i="3"/>
  <c r="U99" i="3" s="1"/>
  <c r="S89" i="3"/>
  <c r="S100" i="3" s="1"/>
  <c r="W90" i="3"/>
  <c r="W101" i="3" s="1"/>
  <c r="AB89" i="3"/>
  <c r="AB100" i="3" s="1"/>
  <c r="AE60" i="3"/>
  <c r="T90" i="3"/>
  <c r="T101" i="3" s="1"/>
  <c r="AD90" i="3"/>
  <c r="AD101" i="3" s="1"/>
  <c r="AE66" i="3"/>
  <c r="Z90" i="3"/>
  <c r="Z101" i="3" s="1"/>
  <c r="AD89" i="3"/>
  <c r="AD100" i="3" s="1"/>
  <c r="T89" i="3"/>
  <c r="T100" i="3" s="1"/>
  <c r="Z89" i="3"/>
  <c r="Z100" i="3" s="1"/>
  <c r="X90" i="3"/>
  <c r="X101" i="3" s="1"/>
  <c r="AC90" i="3"/>
  <c r="AC101" i="3" s="1"/>
  <c r="AE78" i="3"/>
  <c r="AA90" i="3"/>
  <c r="AA101" i="3" s="1"/>
  <c r="AC89" i="3"/>
  <c r="AC100" i="3" s="1"/>
  <c r="Y89" i="3"/>
  <c r="Y100" i="3" s="1"/>
  <c r="AA89" i="3"/>
  <c r="AA100" i="3" s="1"/>
  <c r="V89" i="3"/>
  <c r="V100" i="3" s="1"/>
  <c r="W89" i="3"/>
  <c r="W100" i="3" s="1"/>
  <c r="AE85" i="3"/>
  <c r="AB90" i="3"/>
  <c r="AB101" i="3" s="1"/>
  <c r="U90" i="3"/>
  <c r="U101" i="3" s="1"/>
  <c r="V90" i="3"/>
  <c r="V101" i="3" s="1"/>
  <c r="Y90" i="3"/>
  <c r="Y101" i="3" s="1"/>
  <c r="AE84" i="3"/>
  <c r="AE57" i="3"/>
  <c r="U89" i="3"/>
  <c r="U100" i="3" s="1"/>
  <c r="AE69" i="3"/>
  <c r="AE83" i="3"/>
  <c r="AE54" i="3"/>
  <c r="S102" i="3"/>
  <c r="AE91" i="3"/>
  <c r="AF92" i="3" s="1"/>
  <c r="S90" i="3"/>
  <c r="AE63" i="3"/>
  <c r="AE81" i="3"/>
  <c r="E95" i="1"/>
  <c r="F95" i="1"/>
  <c r="G95" i="1"/>
  <c r="H95" i="1"/>
  <c r="I95" i="1"/>
  <c r="J95" i="1"/>
  <c r="K95" i="1"/>
  <c r="L95" i="1"/>
  <c r="M95" i="1"/>
  <c r="N95" i="1"/>
  <c r="O95" i="1"/>
  <c r="D95" i="1"/>
  <c r="AE102" i="3" l="1"/>
  <c r="AB96" i="3"/>
  <c r="T96" i="3"/>
  <c r="Z96" i="3"/>
  <c r="AE94" i="3"/>
  <c r="AE104" i="3" s="1"/>
  <c r="AE89" i="3"/>
  <c r="AA96" i="3"/>
  <c r="AD96" i="3"/>
  <c r="V96" i="3"/>
  <c r="AC96" i="3"/>
  <c r="U96" i="3"/>
  <c r="W96" i="3"/>
  <c r="X96" i="3"/>
  <c r="AE90" i="3"/>
  <c r="AE101" i="3" s="1"/>
  <c r="S101" i="3"/>
  <c r="S96" i="3"/>
  <c r="AE88" i="3"/>
  <c r="Y96" i="3"/>
  <c r="P95" i="1"/>
  <c r="T95" i="1"/>
  <c r="U95" i="1"/>
  <c r="V95" i="1"/>
  <c r="W95" i="1"/>
  <c r="X95" i="1"/>
  <c r="Y95" i="1"/>
  <c r="Z95" i="1"/>
  <c r="AA95" i="1"/>
  <c r="AC95" i="1"/>
  <c r="AD95" i="1"/>
  <c r="S95" i="1"/>
  <c r="AE95" i="1" l="1"/>
  <c r="AE100" i="3"/>
  <c r="AF90" i="3"/>
  <c r="AE99" i="3"/>
  <c r="AF88" i="3"/>
  <c r="AE96" i="3"/>
  <c r="AE53" i="1"/>
  <c r="AE54" i="1"/>
  <c r="AF96" i="3" l="1"/>
  <c r="G76" i="1" l="1"/>
  <c r="H76" i="1"/>
  <c r="I76" i="1"/>
  <c r="J76" i="1"/>
  <c r="K76" i="1"/>
  <c r="K93" i="1" s="1"/>
  <c r="K102" i="1" s="1"/>
  <c r="L76" i="1"/>
  <c r="L93" i="1" s="1"/>
  <c r="L102" i="1" s="1"/>
  <c r="M76" i="1"/>
  <c r="F70" i="1"/>
  <c r="E76" i="1"/>
  <c r="F76" i="1"/>
  <c r="N76" i="1"/>
  <c r="O76" i="1"/>
  <c r="E79" i="1"/>
  <c r="F79" i="1"/>
  <c r="G79" i="1"/>
  <c r="H79" i="1"/>
  <c r="I79" i="1"/>
  <c r="J79" i="1"/>
  <c r="K79" i="1"/>
  <c r="L79" i="1"/>
  <c r="M79" i="1"/>
  <c r="N79" i="1"/>
  <c r="O79" i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E70" i="1"/>
  <c r="G70" i="1"/>
  <c r="H70" i="1"/>
  <c r="I70" i="1"/>
  <c r="J70" i="1"/>
  <c r="K70" i="1"/>
  <c r="L70" i="1"/>
  <c r="M70" i="1"/>
  <c r="N70" i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E64" i="1"/>
  <c r="F64" i="1"/>
  <c r="G64" i="1"/>
  <c r="H64" i="1"/>
  <c r="I64" i="1"/>
  <c r="J64" i="1"/>
  <c r="K64" i="1"/>
  <c r="L64" i="1"/>
  <c r="M64" i="1"/>
  <c r="N64" i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E61" i="1"/>
  <c r="F61" i="1"/>
  <c r="G61" i="1"/>
  <c r="H61" i="1"/>
  <c r="I61" i="1"/>
  <c r="J61" i="1"/>
  <c r="K61" i="1"/>
  <c r="L61" i="1"/>
  <c r="M61" i="1"/>
  <c r="N61" i="1"/>
  <c r="O61" i="1"/>
  <c r="D61" i="1"/>
  <c r="P61" i="1" s="1"/>
  <c r="P56" i="1"/>
  <c r="E58" i="1"/>
  <c r="F58" i="1"/>
  <c r="G58" i="1"/>
  <c r="H58" i="1"/>
  <c r="I58" i="1"/>
  <c r="I90" i="1" s="1"/>
  <c r="J58" i="1"/>
  <c r="J90" i="1" s="1"/>
  <c r="K58" i="1"/>
  <c r="K83" i="1" s="1"/>
  <c r="L58" i="1"/>
  <c r="M58" i="1"/>
  <c r="N58" i="1"/>
  <c r="O58" i="1"/>
  <c r="D58" i="1"/>
  <c r="M90" i="1" l="1"/>
  <c r="M99" i="1" s="1"/>
  <c r="P82" i="1"/>
  <c r="P79" i="1"/>
  <c r="P73" i="1"/>
  <c r="P70" i="1"/>
  <c r="M91" i="1"/>
  <c r="M100" i="1" s="1"/>
  <c r="E91" i="1"/>
  <c r="E100" i="1" s="1"/>
  <c r="P67" i="1"/>
  <c r="I91" i="1"/>
  <c r="I100" i="1" s="1"/>
  <c r="D91" i="1"/>
  <c r="D100" i="1" s="1"/>
  <c r="P64" i="1"/>
  <c r="F90" i="1"/>
  <c r="F99" i="1" s="1"/>
  <c r="E90" i="1"/>
  <c r="E99" i="1" s="1"/>
  <c r="L83" i="1"/>
  <c r="P58" i="1"/>
  <c r="J93" i="1"/>
  <c r="J102" i="1" s="1"/>
  <c r="J83" i="1"/>
  <c r="N93" i="1"/>
  <c r="N102" i="1" s="1"/>
  <c r="N83" i="1"/>
  <c r="I93" i="1"/>
  <c r="I102" i="1" s="1"/>
  <c r="I83" i="1"/>
  <c r="F93" i="1"/>
  <c r="F102" i="1" s="1"/>
  <c r="F83" i="1"/>
  <c r="H93" i="1"/>
  <c r="H102" i="1" s="1"/>
  <c r="H83" i="1"/>
  <c r="O93" i="1"/>
  <c r="O102" i="1" s="1"/>
  <c r="O83" i="1"/>
  <c r="M93" i="1"/>
  <c r="M102" i="1" s="1"/>
  <c r="M83" i="1"/>
  <c r="D93" i="1"/>
  <c r="D102" i="1" s="1"/>
  <c r="P76" i="1"/>
  <c r="D83" i="1"/>
  <c r="E93" i="1"/>
  <c r="E102" i="1" s="1"/>
  <c r="E83" i="1"/>
  <c r="G93" i="1"/>
  <c r="G102" i="1" s="1"/>
  <c r="G83" i="1"/>
  <c r="M103" i="1"/>
  <c r="I103" i="1"/>
  <c r="E103" i="1"/>
  <c r="E92" i="1"/>
  <c r="E101" i="1" s="1"/>
  <c r="M92" i="1"/>
  <c r="M101" i="1" s="1"/>
  <c r="I92" i="1"/>
  <c r="I101" i="1" s="1"/>
  <c r="N91" i="1"/>
  <c r="N100" i="1" s="1"/>
  <c r="J91" i="1"/>
  <c r="J100" i="1" s="1"/>
  <c r="F91" i="1"/>
  <c r="F100" i="1" s="1"/>
  <c r="N92" i="1"/>
  <c r="N101" i="1" s="1"/>
  <c r="J92" i="1"/>
  <c r="J101" i="1" s="1"/>
  <c r="N103" i="1"/>
  <c r="J103" i="1"/>
  <c r="F103" i="1"/>
  <c r="F92" i="1"/>
  <c r="F101" i="1" s="1"/>
  <c r="D92" i="1"/>
  <c r="D101" i="1" s="1"/>
  <c r="D103" i="1"/>
  <c r="L103" i="1"/>
  <c r="H103" i="1"/>
  <c r="O103" i="1"/>
  <c r="K103" i="1"/>
  <c r="G103" i="1"/>
  <c r="L92" i="1"/>
  <c r="L101" i="1" s="1"/>
  <c r="H92" i="1"/>
  <c r="H101" i="1" s="1"/>
  <c r="K92" i="1"/>
  <c r="K101" i="1" s="1"/>
  <c r="G92" i="1"/>
  <c r="G101" i="1" s="1"/>
  <c r="L91" i="1"/>
  <c r="L100" i="1" s="1"/>
  <c r="H91" i="1"/>
  <c r="H100" i="1" s="1"/>
  <c r="K91" i="1"/>
  <c r="K100" i="1" s="1"/>
  <c r="G91" i="1"/>
  <c r="G100" i="1" s="1"/>
  <c r="D90" i="1"/>
  <c r="D99" i="1" s="1"/>
  <c r="L90" i="1"/>
  <c r="L99" i="1" s="1"/>
  <c r="H90" i="1"/>
  <c r="K90" i="1"/>
  <c r="K99" i="1" s="1"/>
  <c r="G90" i="1"/>
  <c r="G99" i="1" s="1"/>
  <c r="J99" i="1"/>
  <c r="I99" i="1"/>
  <c r="O91" i="1"/>
  <c r="O100" i="1" s="1"/>
  <c r="O90" i="1"/>
  <c r="O99" i="1" s="1"/>
  <c r="O92" i="1"/>
  <c r="N90" i="1"/>
  <c r="T44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AA8" i="1"/>
  <c r="AB8" i="1"/>
  <c r="AC8" i="1"/>
  <c r="AD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V12" i="1"/>
  <c r="W12" i="1"/>
  <c r="X12" i="1"/>
  <c r="Y12" i="1"/>
  <c r="Z12" i="1"/>
  <c r="AA12" i="1"/>
  <c r="AB12" i="1"/>
  <c r="AC12" i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U17" i="1"/>
  <c r="V17" i="1"/>
  <c r="W17" i="1"/>
  <c r="X17" i="1"/>
  <c r="Y17" i="1"/>
  <c r="Z17" i="1"/>
  <c r="AA17" i="1"/>
  <c r="AB17" i="1"/>
  <c r="AC17" i="1"/>
  <c r="AD17" i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X22" i="1"/>
  <c r="Y22" i="1"/>
  <c r="Z22" i="1"/>
  <c r="AA22" i="1"/>
  <c r="AB22" i="1"/>
  <c r="AC22" i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V34" i="1"/>
  <c r="W34" i="1"/>
  <c r="X34" i="1"/>
  <c r="Y34" i="1"/>
  <c r="Z34" i="1"/>
  <c r="AA34" i="1"/>
  <c r="AB34" i="1"/>
  <c r="AC34" i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Q4" i="1" l="1"/>
  <c r="AC71" i="1"/>
  <c r="AD72" i="1" s="1"/>
  <c r="Y71" i="1"/>
  <c r="Z72" i="1" s="1"/>
  <c r="M96" i="1"/>
  <c r="I96" i="1"/>
  <c r="AB62" i="1"/>
  <c r="AC63" i="1" s="1"/>
  <c r="P93" i="1"/>
  <c r="P102" i="1" s="1"/>
  <c r="P83" i="1"/>
  <c r="E96" i="1"/>
  <c r="J96" i="1"/>
  <c r="X62" i="1"/>
  <c r="Y63" i="1" s="1"/>
  <c r="T62" i="1"/>
  <c r="U63" i="1" s="1"/>
  <c r="F96" i="1"/>
  <c r="AB65" i="1"/>
  <c r="AC66" i="1" s="1"/>
  <c r="X65" i="1"/>
  <c r="Y66" i="1" s="1"/>
  <c r="D96" i="1"/>
  <c r="AC68" i="1"/>
  <c r="AD69" i="1" s="1"/>
  <c r="AB80" i="1"/>
  <c r="AC81" i="1" s="1"/>
  <c r="X80" i="1"/>
  <c r="Y81" i="1" s="1"/>
  <c r="T80" i="1"/>
  <c r="U81" i="1" s="1"/>
  <c r="AB77" i="1"/>
  <c r="AC78" i="1" s="1"/>
  <c r="X77" i="1"/>
  <c r="Y78" i="1" s="1"/>
  <c r="T77" i="1"/>
  <c r="U78" i="1" s="1"/>
  <c r="AC74" i="1"/>
  <c r="AD75" i="1" s="1"/>
  <c r="Y74" i="1"/>
  <c r="Z75" i="1" s="1"/>
  <c r="U74" i="1"/>
  <c r="V75" i="1" s="1"/>
  <c r="U71" i="1"/>
  <c r="V72" i="1" s="1"/>
  <c r="AD71" i="1"/>
  <c r="Z71" i="1"/>
  <c r="AA72" i="1" s="1"/>
  <c r="V71" i="1"/>
  <c r="W72" i="1" s="1"/>
  <c r="AA68" i="1"/>
  <c r="AB69" i="1" s="1"/>
  <c r="W68" i="1"/>
  <c r="X69" i="1" s="1"/>
  <c r="H96" i="1"/>
  <c r="AD65" i="1"/>
  <c r="T65" i="1"/>
  <c r="U66" i="1" s="1"/>
  <c r="AC62" i="1"/>
  <c r="AD63" i="1" s="1"/>
  <c r="Y62" i="1"/>
  <c r="Z63" i="1" s="1"/>
  <c r="U62" i="1"/>
  <c r="V63" i="1" s="1"/>
  <c r="Y59" i="1"/>
  <c r="Z60" i="1" s="1"/>
  <c r="U59" i="1"/>
  <c r="V60" i="1" s="1"/>
  <c r="AC56" i="1"/>
  <c r="AD57" i="1" s="1"/>
  <c r="Y56" i="1"/>
  <c r="Z57" i="1" s="1"/>
  <c r="U56" i="1"/>
  <c r="V57" i="1" s="1"/>
  <c r="L96" i="1"/>
  <c r="Q5" i="1"/>
  <c r="H99" i="1"/>
  <c r="K96" i="1"/>
  <c r="P91" i="1"/>
  <c r="P100" i="1" s="1"/>
  <c r="G96" i="1"/>
  <c r="AD77" i="1"/>
  <c r="AC77" i="1"/>
  <c r="AD78" i="1" s="1"/>
  <c r="AD68" i="1"/>
  <c r="Z68" i="1"/>
  <c r="AA69" i="1" s="1"/>
  <c r="Z62" i="1"/>
  <c r="AA63" i="1" s="1"/>
  <c r="V62" i="1"/>
  <c r="W63" i="1" s="1"/>
  <c r="AD59" i="1"/>
  <c r="Z59" i="1"/>
  <c r="AA60" i="1" s="1"/>
  <c r="V59" i="1"/>
  <c r="W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90" i="1"/>
  <c r="P99" i="1" s="1"/>
  <c r="N99" i="1"/>
  <c r="P92" i="1"/>
  <c r="P101" i="1" s="1"/>
  <c r="O101" i="1"/>
  <c r="O96" i="1"/>
  <c r="P94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AE49" i="1"/>
  <c r="AE44" i="1"/>
  <c r="AE35" i="1"/>
  <c r="AE28" i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R86" i="1" s="1"/>
  <c r="S86" i="1" s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AE4" i="1"/>
  <c r="P39" i="1"/>
  <c r="P40" i="1"/>
  <c r="P31" i="1"/>
  <c r="P25" i="1"/>
  <c r="P19" i="1"/>
  <c r="R64" i="1" l="1"/>
  <c r="Z64" i="1" s="1"/>
  <c r="R73" i="1"/>
  <c r="AD73" i="1" s="1"/>
  <c r="R70" i="1"/>
  <c r="AC70" i="1" s="1"/>
  <c r="R61" i="1"/>
  <c r="W61" i="1" s="1"/>
  <c r="R58" i="1"/>
  <c r="AB58" i="1" s="1"/>
  <c r="P96" i="1"/>
  <c r="N96" i="1"/>
  <c r="P103" i="1"/>
  <c r="R79" i="1"/>
  <c r="AD79" i="1" s="1"/>
  <c r="R76" i="1"/>
  <c r="AC76" i="1" s="1"/>
  <c r="AC93" i="1" s="1"/>
  <c r="AC102" i="1" s="1"/>
  <c r="T60" i="1"/>
  <c r="AE60" i="1" s="1"/>
  <c r="AE59" i="1"/>
  <c r="T66" i="1"/>
  <c r="AE66" i="1" s="1"/>
  <c r="AE65" i="1"/>
  <c r="AE80" i="1"/>
  <c r="T81" i="1"/>
  <c r="AE81" i="1" s="1"/>
  <c r="AE56" i="1"/>
  <c r="T57" i="1"/>
  <c r="AE57" i="1" s="1"/>
  <c r="AE62" i="1"/>
  <c r="T63" i="1"/>
  <c r="AE63" i="1" s="1"/>
  <c r="AE74" i="1"/>
  <c r="T75" i="1"/>
  <c r="AE75" i="1" s="1"/>
  <c r="AE71" i="1"/>
  <c r="T72" i="1"/>
  <c r="AE72" i="1" s="1"/>
  <c r="R85" i="1"/>
  <c r="R67" i="1"/>
  <c r="AE77" i="1"/>
  <c r="T78" i="1"/>
  <c r="AE78" i="1" s="1"/>
  <c r="R82" i="1"/>
  <c r="AE68" i="1"/>
  <c r="T69" i="1"/>
  <c r="AE69" i="1" s="1"/>
  <c r="AA64" i="1" l="1"/>
  <c r="W64" i="1"/>
  <c r="S64" i="1"/>
  <c r="V64" i="1"/>
  <c r="U64" i="1"/>
  <c r="Y64" i="1"/>
  <c r="AD64" i="1"/>
  <c r="AB64" i="1"/>
  <c r="AB70" i="1"/>
  <c r="X64" i="1"/>
  <c r="T64" i="1"/>
  <c r="AD70" i="1"/>
  <c r="AC64" i="1"/>
  <c r="U73" i="1"/>
  <c r="T73" i="1"/>
  <c r="Y73" i="1"/>
  <c r="X73" i="1"/>
  <c r="S73" i="1"/>
  <c r="Z73" i="1"/>
  <c r="V61" i="1"/>
  <c r="U61" i="1"/>
  <c r="V58" i="1"/>
  <c r="W70" i="1"/>
  <c r="AA70" i="1"/>
  <c r="Z70" i="1"/>
  <c r="V70" i="1"/>
  <c r="X58" i="1"/>
  <c r="AA58" i="1"/>
  <c r="U58" i="1"/>
  <c r="AC58" i="1"/>
  <c r="T58" i="1"/>
  <c r="AD58" i="1"/>
  <c r="Y61" i="1"/>
  <c r="Z58" i="1"/>
  <c r="S58" i="1"/>
  <c r="Z61" i="1"/>
  <c r="G97" i="1"/>
  <c r="K97" i="1"/>
  <c r="O97" i="1"/>
  <c r="L97" i="1"/>
  <c r="E97" i="1"/>
  <c r="I97" i="1"/>
  <c r="M97" i="1"/>
  <c r="F97" i="1"/>
  <c r="N97" i="1"/>
  <c r="H97" i="1"/>
  <c r="J97" i="1"/>
  <c r="D97" i="1"/>
  <c r="AC73" i="1"/>
  <c r="AA73" i="1"/>
  <c r="V73" i="1"/>
  <c r="AB73" i="1"/>
  <c r="W73" i="1"/>
  <c r="T70" i="1"/>
  <c r="Y70" i="1"/>
  <c r="X70" i="1"/>
  <c r="S70" i="1"/>
  <c r="U70" i="1"/>
  <c r="X61" i="1"/>
  <c r="AC61" i="1"/>
  <c r="AD61" i="1"/>
  <c r="S61" i="1"/>
  <c r="AA61" i="1"/>
  <c r="T61" i="1"/>
  <c r="AB61" i="1"/>
  <c r="W58" i="1"/>
  <c r="Y58" i="1"/>
  <c r="Y79" i="1"/>
  <c r="AA79" i="1"/>
  <c r="AC79" i="1"/>
  <c r="AB79" i="1"/>
  <c r="V79" i="1"/>
  <c r="U79" i="1"/>
  <c r="T79" i="1"/>
  <c r="V76" i="1"/>
  <c r="V93" i="1" s="1"/>
  <c r="V102" i="1" s="1"/>
  <c r="S79" i="1"/>
  <c r="Z79" i="1"/>
  <c r="X79" i="1"/>
  <c r="W79" i="1"/>
  <c r="S76" i="1"/>
  <c r="S93" i="1" s="1"/>
  <c r="T76" i="1"/>
  <c r="T93" i="1" s="1"/>
  <c r="T102" i="1" s="1"/>
  <c r="Y76" i="1"/>
  <c r="Y93" i="1" s="1"/>
  <c r="Y102" i="1" s="1"/>
  <c r="AB76" i="1"/>
  <c r="AB93" i="1" s="1"/>
  <c r="AB102" i="1" s="1"/>
  <c r="AA76" i="1"/>
  <c r="AA93" i="1" s="1"/>
  <c r="AA102" i="1" s="1"/>
  <c r="U76" i="1"/>
  <c r="U93" i="1" s="1"/>
  <c r="U102" i="1" s="1"/>
  <c r="X76" i="1"/>
  <c r="X93" i="1" s="1"/>
  <c r="X102" i="1" s="1"/>
  <c r="W76" i="1"/>
  <c r="W93" i="1" s="1"/>
  <c r="W102" i="1" s="1"/>
  <c r="Z76" i="1"/>
  <c r="Z93" i="1" s="1"/>
  <c r="Z102" i="1" s="1"/>
  <c r="AD76" i="1"/>
  <c r="AD93" i="1" s="1"/>
  <c r="AD102" i="1" s="1"/>
  <c r="V82" i="1"/>
  <c r="Z82" i="1"/>
  <c r="S82" i="1"/>
  <c r="S94" i="1" s="1"/>
  <c r="S103" i="1" s="1"/>
  <c r="U82" i="1"/>
  <c r="W82" i="1"/>
  <c r="AA82" i="1"/>
  <c r="T82" i="1"/>
  <c r="Y82" i="1"/>
  <c r="AC82" i="1"/>
  <c r="X82" i="1"/>
  <c r="AB82" i="1"/>
  <c r="AD82" i="1"/>
  <c r="AD94" i="1" s="1"/>
  <c r="AD103" i="1" s="1"/>
  <c r="V85" i="1"/>
  <c r="Z85" i="1"/>
  <c r="AD85" i="1"/>
  <c r="S85" i="1"/>
  <c r="W85" i="1"/>
  <c r="AA85" i="1"/>
  <c r="U85" i="1"/>
  <c r="AC85" i="1"/>
  <c r="T85" i="1"/>
  <c r="X85" i="1"/>
  <c r="AB85" i="1"/>
  <c r="Y85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Y84" i="1"/>
  <c r="AC84" i="1"/>
  <c r="T84" i="1"/>
  <c r="V84" i="1"/>
  <c r="Z84" i="1"/>
  <c r="AD84" i="1"/>
  <c r="AB84" i="1"/>
  <c r="W84" i="1"/>
  <c r="AA84" i="1"/>
  <c r="S84" i="1"/>
  <c r="X84" i="1"/>
  <c r="W86" i="1"/>
  <c r="AA86" i="1"/>
  <c r="V86" i="1"/>
  <c r="T86" i="1"/>
  <c r="X86" i="1"/>
  <c r="AB86" i="1"/>
  <c r="Z86" i="1"/>
  <c r="U86" i="1"/>
  <c r="Y86" i="1"/>
  <c r="AC86" i="1"/>
  <c r="AD86" i="1"/>
  <c r="AD92" i="1" s="1"/>
  <c r="AD101" i="1" s="1"/>
  <c r="S92" i="1" l="1"/>
  <c r="S101" i="1" s="1"/>
  <c r="AE64" i="1"/>
  <c r="U92" i="1"/>
  <c r="U101" i="1" s="1"/>
  <c r="T92" i="1"/>
  <c r="T101" i="1" s="1"/>
  <c r="AD90" i="1"/>
  <c r="AD99" i="1" s="1"/>
  <c r="AC92" i="1"/>
  <c r="AC101" i="1" s="1"/>
  <c r="Z92" i="1"/>
  <c r="Z101" i="1" s="1"/>
  <c r="V90" i="1"/>
  <c r="V99" i="1" s="1"/>
  <c r="AA92" i="1"/>
  <c r="AA101" i="1" s="1"/>
  <c r="AE58" i="1"/>
  <c r="U90" i="1"/>
  <c r="U99" i="1" s="1"/>
  <c r="AB90" i="1"/>
  <c r="AB99" i="1" s="1"/>
  <c r="W90" i="1"/>
  <c r="W99" i="1" s="1"/>
  <c r="V92" i="1"/>
  <c r="V101" i="1" s="1"/>
  <c r="AC90" i="1"/>
  <c r="AC99" i="1" s="1"/>
  <c r="X90" i="1"/>
  <c r="X99" i="1" s="1"/>
  <c r="AA90" i="1"/>
  <c r="AA99" i="1" s="1"/>
  <c r="Z90" i="1"/>
  <c r="Z99" i="1" s="1"/>
  <c r="T94" i="1"/>
  <c r="T103" i="1" s="1"/>
  <c r="P97" i="1"/>
  <c r="AE70" i="1"/>
  <c r="W92" i="1"/>
  <c r="W101" i="1" s="1"/>
  <c r="AE73" i="1"/>
  <c r="Y92" i="1"/>
  <c r="Y101" i="1" s="1"/>
  <c r="Y90" i="1"/>
  <c r="Y99" i="1" s="1"/>
  <c r="AA94" i="1"/>
  <c r="AA103" i="1" s="1"/>
  <c r="V94" i="1"/>
  <c r="V103" i="1" s="1"/>
  <c r="Y94" i="1"/>
  <c r="Y103" i="1" s="1"/>
  <c r="AB92" i="1"/>
  <c r="AB101" i="1" s="1"/>
  <c r="X92" i="1"/>
  <c r="X101" i="1" s="1"/>
  <c r="S90" i="1"/>
  <c r="S99" i="1" s="1"/>
  <c r="AE61" i="1"/>
  <c r="T90" i="1"/>
  <c r="T99" i="1" s="1"/>
  <c r="AB94" i="1"/>
  <c r="AB103" i="1" s="1"/>
  <c r="U94" i="1"/>
  <c r="U103" i="1" s="1"/>
  <c r="AC94" i="1"/>
  <c r="AC103" i="1" s="1"/>
  <c r="Z94" i="1"/>
  <c r="Z103" i="1" s="1"/>
  <c r="W94" i="1"/>
  <c r="W103" i="1" s="1"/>
  <c r="X94" i="1"/>
  <c r="X103" i="1" s="1"/>
  <c r="AE79" i="1"/>
  <c r="S102" i="1"/>
  <c r="AE93" i="1"/>
  <c r="AF94" i="1" s="1"/>
  <c r="AE76" i="1"/>
  <c r="AE86" i="1"/>
  <c r="AE84" i="1"/>
  <c r="AE82" i="1"/>
  <c r="AE85" i="1"/>
  <c r="AE67" i="1"/>
  <c r="AE92" i="1" l="1"/>
  <c r="AE102" i="1"/>
  <c r="AE94" i="1"/>
  <c r="AE103" i="1" s="1"/>
  <c r="AE101" i="1" l="1"/>
  <c r="AE99" i="1"/>
  <c r="P12" i="4"/>
  <c r="AE12" i="4"/>
  <c r="Q12" i="4" l="1"/>
  <c r="R77" i="4" s="1"/>
  <c r="R59" i="4"/>
  <c r="Z77" i="4" l="1"/>
  <c r="AC77" i="4"/>
  <c r="T77" i="4"/>
  <c r="V77" i="4"/>
  <c r="AB77" i="4"/>
  <c r="X77" i="4"/>
  <c r="Y77" i="4"/>
  <c r="AA77" i="4"/>
  <c r="U77" i="4"/>
  <c r="S77" i="4"/>
  <c r="AD77" i="4"/>
  <c r="W77" i="4"/>
  <c r="Z59" i="4"/>
  <c r="AD59" i="4"/>
  <c r="AD82" i="4" s="1"/>
  <c r="AC59" i="4"/>
  <c r="AC82" i="4" s="1"/>
  <c r="X59" i="4"/>
  <c r="AA59" i="4"/>
  <c r="U59" i="4"/>
  <c r="T59" i="4"/>
  <c r="T82" i="4" s="1"/>
  <c r="V59" i="4"/>
  <c r="V82" i="4" s="1"/>
  <c r="Y59" i="4"/>
  <c r="AB59" i="4"/>
  <c r="S59" i="4"/>
  <c r="S82" i="4" s="1"/>
  <c r="W59" i="4"/>
  <c r="W82" i="4" s="1"/>
  <c r="X82" i="4" l="1"/>
  <c r="Z82" i="4"/>
  <c r="Z93" i="4" s="1"/>
  <c r="U82" i="4"/>
  <c r="U93" i="4" s="1"/>
  <c r="AB82" i="4"/>
  <c r="AB93" i="4" s="1"/>
  <c r="AE77" i="4"/>
  <c r="Y82" i="4"/>
  <c r="Y87" i="4" s="1"/>
  <c r="AA82" i="4"/>
  <c r="AA93" i="4" s="1"/>
  <c r="AD93" i="4"/>
  <c r="AD87" i="4"/>
  <c r="AC93" i="4"/>
  <c r="AC87" i="4"/>
  <c r="W93" i="4"/>
  <c r="W87" i="4"/>
  <c r="V93" i="4"/>
  <c r="V87" i="4"/>
  <c r="X93" i="4"/>
  <c r="X87" i="4"/>
  <c r="AE59" i="4"/>
  <c r="T93" i="4"/>
  <c r="T87" i="4"/>
  <c r="AB87" i="4" l="1"/>
  <c r="Z87" i="4"/>
  <c r="U87" i="4"/>
  <c r="Y93" i="4"/>
  <c r="AA87" i="4"/>
  <c r="AF83" i="4"/>
  <c r="AF87" i="4" s="1"/>
  <c r="S87" i="4"/>
  <c r="S93" i="4"/>
  <c r="AE93" i="4" l="1"/>
  <c r="AE87" i="4"/>
  <c r="AE15" i="1"/>
  <c r="AE14" i="1"/>
  <c r="Z91" i="1"/>
  <c r="Z100" i="1" s="1"/>
  <c r="AC91" i="1"/>
  <c r="AC100" i="1" s="1"/>
  <c r="V91" i="1"/>
  <c r="V96" i="1" s="1"/>
  <c r="T91" i="1"/>
  <c r="T100" i="1" s="1"/>
  <c r="Y91" i="1"/>
  <c r="Y100" i="1" s="1"/>
  <c r="W91" i="1"/>
  <c r="W96" i="1" s="1"/>
  <c r="AB91" i="1"/>
  <c r="AB100" i="1" s="1"/>
  <c r="X91" i="1"/>
  <c r="X100" i="1" s="1"/>
  <c r="P15" i="1"/>
  <c r="U91" i="1"/>
  <c r="U100" i="1" s="1"/>
  <c r="AD91" i="1"/>
  <c r="AD100" i="1" s="1"/>
  <c r="AA91" i="1"/>
  <c r="AA100" i="1" s="1"/>
  <c r="P14" i="1"/>
  <c r="S91" i="1"/>
  <c r="S96" i="1" s="1"/>
  <c r="AA96" i="1" l="1"/>
  <c r="AC96" i="1"/>
  <c r="AD96" i="1"/>
  <c r="V100" i="1"/>
  <c r="U96" i="1"/>
  <c r="AB96" i="1"/>
  <c r="T96" i="1"/>
  <c r="Y96" i="1"/>
  <c r="W100" i="1"/>
  <c r="S100" i="1"/>
  <c r="X96" i="1"/>
  <c r="Z96" i="1"/>
  <c r="AE91" i="1"/>
  <c r="AF92" i="1" s="1"/>
  <c r="AE96" i="1" l="1"/>
  <c r="AF96" i="1"/>
  <c r="AE100" i="1"/>
  <c r="R82" i="9"/>
  <c r="F83" i="9"/>
  <c r="R8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12" authorId="0" shapeId="0" xr:uid="{BD2FFA53-656B-4B34-AE83-BC0B2F3C1E6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Billing Cor</t>
        </r>
      </text>
    </comment>
    <comment ref="M17" authorId="0" shapeId="0" xr:uid="{59E9EDFB-F7A7-4AD5-85B8-E511C5EF68E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 cor</t>
        </r>
      </text>
    </comment>
    <comment ref="P50" authorId="0" shapeId="0" xr:uid="{4A9759B5-4C3D-4E22-AC79-4E3A630515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Billing Cor</t>
        </r>
      </text>
    </comment>
    <comment ref="M55" authorId="0" shapeId="0" xr:uid="{BCF1AEBA-749C-4E73-9B7B-EF57E76424D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Billing Cor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temporarily moved to Schedule 21, for GRC will pro-form normal usage</t>
        </r>
      </text>
    </comment>
    <comment ref="I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J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agrees with customer bill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W7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 adjusted to avoid Div 0 error</t>
        </r>
      </text>
    </comment>
  </commentList>
</comments>
</file>

<file path=xl/sharedStrings.xml><?xml version="1.0" encoding="utf-8"?>
<sst xmlns="http://schemas.openxmlformats.org/spreadsheetml/2006/main" count="1082" uniqueCount="302">
  <si>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</si>
  <si>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</si>
  <si>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</si>
  <si>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</si>
  <si>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</si>
  <si>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</si>
  <si>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</si>
  <si>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</si>
  <si>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</si>
  <si>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</si>
  <si>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</si>
  <si>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</si>
  <si>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</si>
  <si>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</si>
  <si>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</si>
  <si>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</si>
  <si>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</si>
  <si>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</si>
  <si>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</si>
  <si>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</si>
  <si>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</si>
  <si>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</si>
  <si>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</si>
  <si>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</si>
  <si>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</si>
  <si>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</si>
  <si>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</si>
  <si>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</si>
  <si>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</si>
  <si>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</si>
  <si>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</si>
  <si>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</si>
  <si>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</si>
  <si>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</si>
  <si>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</si>
  <si>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</si>
  <si>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</si>
  <si>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</si>
  <si>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</si>
  <si>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</si>
  <si>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</si>
  <si>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</si>
  <si>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</si>
  <si>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</si>
  <si>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</si>
  <si>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</si>
  <si>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</si>
  <si>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</si>
  <si>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</si>
  <si>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</si>
  <si>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</si>
  <si>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</si>
  <si>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</si>
  <si>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</si>
  <si>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</si>
  <si>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</si>
  <si>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</si>
  <si>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ID Electric Normalized Revenue Calculation</t>
  </si>
  <si>
    <t>Sch 25P</t>
  </si>
  <si>
    <t>Schedule 25P</t>
  </si>
  <si>
    <t>Schedule 31/32</t>
  </si>
  <si>
    <t>Block 3 Demand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</si>
  <si>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</si>
  <si>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</si>
  <si>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</si>
  <si>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</si>
  <si>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</si>
  <si>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</si>
  <si>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</si>
  <si>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</si>
  <si>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</si>
  <si>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</si>
  <si>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</si>
  <si>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</si>
  <si>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</si>
  <si>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</si>
  <si>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</si>
  <si>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</si>
  <si>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</si>
  <si>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</si>
  <si>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</si>
  <si>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</si>
  <si>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</si>
  <si>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</si>
  <si>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</si>
  <si>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</si>
  <si>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</si>
  <si>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</si>
  <si>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</si>
  <si>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</si>
  <si>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ID Natural Gas Normalized Revenue Calculation</t>
  </si>
  <si>
    <t>Sch 159</t>
  </si>
  <si>
    <t>OR Natural Gas Normalized Revenue Calculation</t>
  </si>
  <si>
    <t>Sch 410</t>
  </si>
  <si>
    <t>Sch 420</t>
  </si>
  <si>
    <t>Sch 424</t>
  </si>
  <si>
    <t>Sch 440</t>
  </si>
  <si>
    <t>Sch 444</t>
  </si>
  <si>
    <t>Sch 456</t>
  </si>
  <si>
    <t>Sch 447</t>
  </si>
  <si>
    <t>Sch 447B</t>
  </si>
  <si>
    <t>Sch 447R</t>
  </si>
  <si>
    <t>Schedule 410</t>
  </si>
  <si>
    <t>Schedule 420</t>
  </si>
  <si>
    <t>Schedule 424</t>
  </si>
  <si>
    <t>Schedule 440</t>
  </si>
  <si>
    <t>Schedule 444</t>
  </si>
  <si>
    <t>Schedule 456</t>
  </si>
  <si>
    <t>Special Contracts Sch 447</t>
  </si>
  <si>
    <t>Res</t>
  </si>
  <si>
    <t>Non-Res</t>
  </si>
  <si>
    <t>Excluded</t>
  </si>
  <si>
    <t>Schedule 112/122/132 Exclusion</t>
  </si>
  <si>
    <t>Schedule 11</t>
  </si>
  <si>
    <t>Block 2 Demand Revenue</t>
  </si>
  <si>
    <t>Block 2 Demand Rate</t>
  </si>
  <si>
    <t>Demand, PF and PVD Calc Support</t>
  </si>
  <si>
    <t>Power Factor Revenue</t>
  </si>
  <si>
    <t>Power Factor Rate</t>
  </si>
  <si>
    <t>Schedule 12</t>
  </si>
  <si>
    <t>Schedule 21</t>
  </si>
  <si>
    <t>Prim. Volt. Disc. Revenue</t>
  </si>
  <si>
    <t>Prim. Volt. Disc. Rate</t>
  </si>
  <si>
    <t>Schedule 22</t>
  </si>
  <si>
    <t>Prim. Volt. Disc. &gt;11 Revenue</t>
  </si>
  <si>
    <t>Prim. Volt. Disc. &gt;11 Rate</t>
  </si>
  <si>
    <t>Prim. Volt. Disc. &gt;60 Revenue</t>
  </si>
  <si>
    <t>Prim. Volt. Disc. &gt;60 Rate</t>
  </si>
  <si>
    <t>Prim. Volt. Disc. &gt;115 Revenue</t>
  </si>
  <si>
    <t>Prim. Volt. Disc. &gt;115 Rate</t>
  </si>
  <si>
    <t>Schedule 31</t>
  </si>
  <si>
    <t>Schedule 32</t>
  </si>
  <si>
    <t>Schedule 30</t>
  </si>
  <si>
    <t>Washington Schedule 25 Billing Determinants</t>
  </si>
  <si>
    <t>1st</t>
  </si>
  <si>
    <t>12-mo Ended</t>
  </si>
  <si>
    <t>KWHs</t>
  </si>
  <si>
    <t>SA Account ID</t>
  </si>
  <si>
    <t>new SA</t>
  </si>
  <si>
    <t>old account</t>
  </si>
  <si>
    <t>kwhs/mo</t>
  </si>
  <si>
    <t>Goodrich - North 2311008572</t>
  </si>
  <si>
    <t>2317650000</t>
  </si>
  <si>
    <t>2311008572</t>
  </si>
  <si>
    <t>Goodrich - South 2311155858 (No PVD)</t>
  </si>
  <si>
    <t>new Sept 2017</t>
  </si>
  <si>
    <t>Boise Cascade LLC Inland Region</t>
  </si>
  <si>
    <t>7600430000</t>
  </si>
  <si>
    <t>transferred from schedule 21 Nov 2017</t>
  </si>
  <si>
    <t>Boise Cascade Plywood</t>
  </si>
  <si>
    <t>8927100000</t>
  </si>
  <si>
    <t>8920023327</t>
  </si>
  <si>
    <t>Boise Cascade Sawmill</t>
  </si>
  <si>
    <t>9927100000</t>
  </si>
  <si>
    <t>9920023116</t>
  </si>
  <si>
    <t>City of Spokane</t>
  </si>
  <si>
    <t>8972300000</t>
  </si>
  <si>
    <t>8970099313</t>
  </si>
  <si>
    <t>Empire Health Services</t>
  </si>
  <si>
    <t>0082300000</t>
  </si>
  <si>
    <t>0080095044</t>
  </si>
  <si>
    <t>Gonzaga University</t>
  </si>
  <si>
    <t>1423850000</t>
  </si>
  <si>
    <t>1420028876</t>
  </si>
  <si>
    <t>Honeywell Electronics</t>
  </si>
  <si>
    <t>0177400000</t>
  </si>
  <si>
    <t>0170122152</t>
  </si>
  <si>
    <t>Huntwood Industries</t>
  </si>
  <si>
    <t>8649170000</t>
  </si>
  <si>
    <t>8640841982</t>
  </si>
  <si>
    <t>Inland Empire Paper</t>
  </si>
  <si>
    <t>0166400000</t>
  </si>
  <si>
    <t>0160126924</t>
  </si>
  <si>
    <t>Simplot - Othello</t>
  </si>
  <si>
    <t>4258610000</t>
  </si>
  <si>
    <t>4250473907</t>
  </si>
  <si>
    <t>McCaine Foods Inc</t>
  </si>
  <si>
    <t>9066400000</t>
  </si>
  <si>
    <t>9060132009</t>
  </si>
  <si>
    <t>Sacred Heart Medical Center</t>
  </si>
  <si>
    <t>0037100000</t>
  </si>
  <si>
    <t>0030019644</t>
  </si>
  <si>
    <t>Spokane County Combined Master</t>
  </si>
  <si>
    <t>1082300000</t>
  </si>
  <si>
    <t>1080099801</t>
  </si>
  <si>
    <t>Spokane Industries</t>
  </si>
  <si>
    <t>0078160000</t>
  </si>
  <si>
    <t>0070121063</t>
  </si>
  <si>
    <t>Triumph Composite</t>
  </si>
  <si>
    <t>2261550000</t>
  </si>
  <si>
    <t>2260946595</t>
  </si>
  <si>
    <t>Vaagen Brothers Lumber</t>
  </si>
  <si>
    <t>2478200000</t>
  </si>
  <si>
    <t>2470070232</t>
  </si>
  <si>
    <t xml:space="preserve">WSU - MP-A South Campus Feeder </t>
  </si>
  <si>
    <t>3731710000</t>
  </si>
  <si>
    <t>3730460787</t>
  </si>
  <si>
    <t xml:space="preserve">WSU - MP-B East Campus EA </t>
  </si>
  <si>
    <t>6037100000</t>
  </si>
  <si>
    <t>6030021572</t>
  </si>
  <si>
    <t xml:space="preserve">WSU - MP-C East Campus EB </t>
  </si>
  <si>
    <t>6100220000</t>
  </si>
  <si>
    <t>6100609210</t>
  </si>
  <si>
    <t>WSU - MP -D Casp East (no PVD)</t>
  </si>
  <si>
    <t>5037100000</t>
  </si>
  <si>
    <t>5030019646</t>
  </si>
  <si>
    <t>WSU - MP-E Casp West (no PVD)</t>
  </si>
  <si>
    <t>6365350762</t>
  </si>
  <si>
    <t>7030024549</t>
  </si>
  <si>
    <t>Schedule 25 Total</t>
  </si>
  <si>
    <t>MP-E changed account ID</t>
  </si>
  <si>
    <t>Revenue Run Total</t>
  </si>
  <si>
    <t>Gross Booked Unbilled</t>
  </si>
  <si>
    <t>Booked Unbilled Reversal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</si>
  <si>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</si>
  <si>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</si>
  <si>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</si>
  <si>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</si>
  <si>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</si>
  <si>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</si>
  <si>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</si>
  <si>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9 KWHs</t>
  </si>
  <si>
    <t>60kV</t>
  </si>
  <si>
    <t>60 kV</t>
  </si>
  <si>
    <t>4.16kV</t>
  </si>
  <si>
    <t>4.16 kV</t>
  </si>
  <si>
    <t>115kV</t>
  </si>
  <si>
    <t>115 kV</t>
  </si>
  <si>
    <t>9 Total</t>
  </si>
  <si>
    <t>9 KVA</t>
  </si>
  <si>
    <t>*9</t>
  </si>
  <si>
    <t>Class Peak</t>
  </si>
  <si>
    <t>Calc Revenue for 9</t>
  </si>
  <si>
    <t>Revenue for 9 per Handbill Report</t>
  </si>
  <si>
    <t>Primary Voltage Discount</t>
  </si>
  <si>
    <t>&gt;11 and &lt;60</t>
  </si>
  <si>
    <t>&gt;60 and &lt;115</t>
  </si>
  <si>
    <t>&gt;115</t>
  </si>
  <si>
    <t>Total Block 3 kWhs</t>
  </si>
  <si>
    <t>Total Block 2 kWhs</t>
  </si>
  <si>
    <t>Total Block 1 kWhs</t>
  </si>
  <si>
    <t>Total kWhs</t>
  </si>
  <si>
    <t>Primary Voltage Discount 11kV</t>
  </si>
  <si>
    <t>kVA</t>
  </si>
  <si>
    <t>Primary Voltage Discount 60kV</t>
  </si>
  <si>
    <t>Primary Voltage Discount 115kV</t>
  </si>
  <si>
    <t>highlighted cells include adj for prior period sch shifting</t>
  </si>
  <si>
    <t>Block 3 Demand Revenue</t>
  </si>
  <si>
    <t>Block 3 Demand Rate</t>
  </si>
  <si>
    <t>Sch 447M</t>
  </si>
  <si>
    <t>Idaho Schedule 25 Billing Determinants</t>
  </si>
  <si>
    <t>KWH</t>
  </si>
  <si>
    <t>Calendar per Books Total</t>
  </si>
  <si>
    <t>Schedule 25P KWH</t>
  </si>
  <si>
    <t>25P Tie Load</t>
  </si>
  <si>
    <t>Adj Revenue Runs, Sch 25P</t>
  </si>
  <si>
    <t>Hecla Limited</t>
  </si>
  <si>
    <t>PVD</t>
  </si>
  <si>
    <t>No PVD</t>
  </si>
  <si>
    <t>*</t>
  </si>
  <si>
    <t>Schedule 25P kVA</t>
  </si>
  <si>
    <t>Cust 8 KWH</t>
  </si>
  <si>
    <t>Customer 8 KVA</t>
  </si>
  <si>
    <t>Primary Voltage KVA</t>
  </si>
  <si>
    <t>Coeur D Alene Resort</t>
  </si>
  <si>
    <t>Clearwater Paper</t>
  </si>
  <si>
    <t>Idaho Forest Group</t>
  </si>
  <si>
    <t>Potlatch Deltic</t>
  </si>
  <si>
    <t>Plummer Forest Products Inc</t>
  </si>
  <si>
    <t>CCI-Speer Operations/Vista Outdoor</t>
  </si>
  <si>
    <t>University of Idaho</t>
  </si>
  <si>
    <t>Stimson Lumber</t>
  </si>
  <si>
    <t>Kootenai Health</t>
  </si>
  <si>
    <t>US Silver-Idaho Inc</t>
  </si>
  <si>
    <t>Schedule 25 PVD</t>
  </si>
  <si>
    <t>Totalized KVA</t>
  </si>
  <si>
    <t>Moved to Schedule 21 January 1, 2019</t>
  </si>
  <si>
    <t>Summarize Schedule 25 Billing Determinants</t>
  </si>
  <si>
    <t>Over 500,000</t>
  </si>
  <si>
    <t>Excess KVA</t>
  </si>
  <si>
    <t>Block 2 KVA</t>
  </si>
  <si>
    <t>Block 3 KVA</t>
  </si>
  <si>
    <t>Total KVA</t>
  </si>
  <si>
    <t xml:space="preserve">Calendar Books </t>
  </si>
  <si>
    <t xml:space="preserve">Clearwater Block 2 </t>
  </si>
  <si>
    <t>Sch 25PG</t>
  </si>
  <si>
    <t>Total Idaho</t>
  </si>
  <si>
    <t>Schedule 25PG</t>
  </si>
  <si>
    <t xml:space="preserve">     25PG</t>
  </si>
  <si>
    <t>Version with Customer Names and Account Numbers is Confidential</t>
  </si>
  <si>
    <t>Billed Rev</t>
  </si>
  <si>
    <t>11/1/2020 Billing Rates</t>
  </si>
  <si>
    <t>3/1/2021 Billing Rates</t>
  </si>
  <si>
    <t>10/1/2020 Billing Rates</t>
  </si>
  <si>
    <t>Sch 11/13</t>
  </si>
  <si>
    <t>Sch 21/23</t>
  </si>
  <si>
    <t>Schedule 11/12/13</t>
  </si>
  <si>
    <t>Schedule 21/22/23</t>
  </si>
  <si>
    <t>Schedule 25/25I</t>
  </si>
  <si>
    <t>Sch 25/25I</t>
  </si>
  <si>
    <t>11/1/2021 Billing Rates (121/122 were discontinued 4/1/2020, used 111/112 rates which is deemed materially reasonable)</t>
  </si>
  <si>
    <t>4/1/2022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</si>
</sst>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  <numFmt numFmtId="168" formatCode="&quot;Over&quot;"/>
    <numFmt numFmtId="169" formatCode="mmm\ yy"/>
    <numFmt numFmtId="170" formatCode="#,##0;;"/>
    <numFmt numFmtId="171" formatCode="#,##0;\-#,##0;"/>
    <numFmt numFmtId="172" formatCode="[$-409]mmm/yy;@"/>
    <numFmt numFmtId="173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readingOrder="1"/>
    </xf>
    <xf numFmtId="0" fontId="1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44" fontId="0" fillId="0" borderId="0" xfId="2" applyFont="1"/>
    <xf numFmtId="3" fontId="0" fillId="0" borderId="0" xfId="0" applyNumberFormat="1"/>
    <xf numFmtId="44" fontId="2" fillId="0" borderId="0" xfId="2" applyFont="1" applyFill="1"/>
    <xf numFmtId="44" fontId="5" fillId="0" borderId="0" xfId="2" applyFont="1"/>
    <xf numFmtId="44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10" fontId="0" fillId="0" borderId="0" xfId="3" applyNumberFormat="1" applyFont="1" applyBorder="1"/>
    <xf numFmtId="0" fontId="7" fillId="0" borderId="0" xfId="4" applyFont="1"/>
    <xf numFmtId="0" fontId="6" fillId="0" borderId="0" xfId="4"/>
    <xf numFmtId="0" fontId="8" fillId="0" borderId="0" xfId="4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6" fillId="0" borderId="0" xfId="4" applyAlignment="1">
      <alignment horizontal="center"/>
    </xf>
    <xf numFmtId="3" fontId="9" fillId="0" borderId="0" xfId="4" applyNumberFormat="1" applyFont="1" applyAlignment="1">
      <alignment horizontal="center"/>
    </xf>
    <xf numFmtId="168" fontId="9" fillId="0" borderId="0" xfId="4" applyNumberFormat="1" applyFont="1" applyAlignment="1">
      <alignment horizontal="center"/>
    </xf>
    <xf numFmtId="0" fontId="8" fillId="0" borderId="0" xfId="4" applyFont="1"/>
    <xf numFmtId="0" fontId="10" fillId="0" borderId="0" xfId="4" applyFont="1"/>
    <xf numFmtId="0" fontId="6" fillId="0" borderId="0" xfId="4" applyFont="1"/>
    <xf numFmtId="169" fontId="6" fillId="0" borderId="0" xfId="4" applyNumberFormat="1" applyAlignment="1">
      <alignment horizontal="center"/>
    </xf>
    <xf numFmtId="169" fontId="6" fillId="0" borderId="0" xfId="4" applyNumberFormat="1" applyBorder="1" applyAlignment="1">
      <alignment horizontal="center"/>
    </xf>
    <xf numFmtId="3" fontId="11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12" fillId="0" borderId="0" xfId="4" quotePrefix="1" applyFont="1" applyAlignment="1">
      <alignment horizontal="left"/>
    </xf>
    <xf numFmtId="0" fontId="6" fillId="0" borderId="0" xfId="4" applyFont="1" applyAlignment="1">
      <alignment horizontal="left"/>
    </xf>
    <xf numFmtId="166" fontId="13" fillId="0" borderId="0" xfId="5" applyNumberFormat="1" applyFont="1" applyFill="1"/>
    <xf numFmtId="166" fontId="6" fillId="0" borderId="0" xfId="6" applyNumberFormat="1"/>
    <xf numFmtId="170" fontId="6" fillId="0" borderId="0" xfId="4" applyNumberFormat="1"/>
    <xf numFmtId="166" fontId="12" fillId="0" borderId="2" xfId="6" applyNumberFormat="1" applyFont="1" applyFill="1" applyBorder="1"/>
    <xf numFmtId="0" fontId="6" fillId="0" borderId="0" xfId="4" applyFill="1"/>
    <xf numFmtId="0" fontId="12" fillId="0" borderId="0" xfId="4" applyFont="1" applyFill="1" applyAlignment="1">
      <alignment horizontal="left"/>
    </xf>
    <xf numFmtId="0" fontId="12" fillId="0" borderId="0" xfId="4" quotePrefix="1" applyFont="1" applyFill="1" applyAlignment="1">
      <alignment horizontal="left"/>
    </xf>
    <xf numFmtId="0" fontId="6" fillId="0" borderId="0" xfId="4" applyFont="1" applyFill="1" applyAlignment="1">
      <alignment horizontal="left"/>
    </xf>
    <xf numFmtId="166" fontId="6" fillId="0" borderId="0" xfId="6" applyNumberFormat="1" applyFill="1"/>
    <xf numFmtId="170" fontId="6" fillId="0" borderId="0" xfId="4" applyNumberFormat="1" applyFill="1"/>
    <xf numFmtId="166" fontId="6" fillId="0" borderId="1" xfId="6" applyNumberFormat="1" applyFont="1" applyFill="1" applyBorder="1"/>
    <xf numFmtId="166" fontId="6" fillId="0" borderId="3" xfId="6" applyNumberFormat="1" applyFont="1" applyFill="1" applyBorder="1"/>
    <xf numFmtId="166" fontId="6" fillId="0" borderId="4" xfId="6" applyNumberFormat="1" applyFont="1" applyFill="1" applyBorder="1"/>
    <xf numFmtId="3" fontId="6" fillId="0" borderId="1" xfId="6" applyNumberFormat="1" applyFont="1" applyFill="1" applyBorder="1"/>
    <xf numFmtId="0" fontId="6" fillId="0" borderId="0" xfId="4" applyBorder="1"/>
    <xf numFmtId="0" fontId="6" fillId="0" borderId="2" xfId="4" applyBorder="1"/>
    <xf numFmtId="43" fontId="6" fillId="0" borderId="0" xfId="4" applyNumberFormat="1"/>
    <xf numFmtId="3" fontId="6" fillId="0" borderId="0" xfId="4" applyNumberFormat="1"/>
    <xf numFmtId="166" fontId="12" fillId="0" borderId="0" xfId="5" applyNumberFormat="1" applyFont="1" applyFill="1" applyBorder="1"/>
    <xf numFmtId="166" fontId="12" fillId="0" borderId="2" xfId="5" applyNumberFormat="1" applyFont="1" applyFill="1" applyBorder="1"/>
    <xf numFmtId="0" fontId="6" fillId="0" borderId="0" xfId="4" applyFont="1" applyAlignment="1"/>
    <xf numFmtId="0" fontId="6" fillId="0" borderId="0" xfId="4" applyAlignment="1"/>
    <xf numFmtId="0" fontId="6" fillId="0" borderId="0" xfId="4" applyAlignment="1">
      <alignment horizontal="left" indent="1"/>
    </xf>
    <xf numFmtId="166" fontId="6" fillId="0" borderId="4" xfId="6" applyNumberFormat="1" applyBorder="1"/>
    <xf numFmtId="171" fontId="6" fillId="0" borderId="0" xfId="4" applyNumberFormat="1" applyFill="1"/>
    <xf numFmtId="171" fontId="6" fillId="0" borderId="0" xfId="4" applyNumberFormat="1" applyBorder="1"/>
    <xf numFmtId="171" fontId="6" fillId="0" borderId="2" xfId="4" applyNumberFormat="1" applyBorder="1"/>
    <xf numFmtId="171" fontId="6" fillId="0" borderId="0" xfId="4" applyNumberFormat="1"/>
    <xf numFmtId="0" fontId="6" fillId="0" borderId="0" xfId="4" applyAlignment="1">
      <alignment vertical="justify"/>
    </xf>
    <xf numFmtId="0" fontId="6" fillId="0" borderId="0" xfId="4" applyFill="1" applyAlignment="1">
      <alignment vertical="justify"/>
    </xf>
    <xf numFmtId="0" fontId="6" fillId="0" borderId="0" xfId="4" applyBorder="1" applyAlignment="1">
      <alignment vertical="justify"/>
    </xf>
    <xf numFmtId="166" fontId="6" fillId="0" borderId="2" xfId="4" applyNumberFormat="1" applyBorder="1" applyAlignment="1">
      <alignment horizontal="centerContinuous" vertical="justify"/>
    </xf>
    <xf numFmtId="5" fontId="6" fillId="0" borderId="0" xfId="4" applyNumberFormat="1"/>
    <xf numFmtId="169" fontId="6" fillId="0" borderId="0" xfId="4" applyNumberFormat="1" applyFill="1" applyAlignment="1">
      <alignment horizontal="center"/>
    </xf>
    <xf numFmtId="169" fontId="6" fillId="0" borderId="2" xfId="4" applyNumberFormat="1" applyBorder="1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166" fontId="6" fillId="0" borderId="0" xfId="4" applyNumberFormat="1"/>
    <xf numFmtId="172" fontId="6" fillId="0" borderId="0" xfId="4" applyNumberFormat="1" applyAlignment="1">
      <alignment horizontal="center"/>
    </xf>
    <xf numFmtId="166" fontId="6" fillId="0" borderId="1" xfId="4" applyNumberFormat="1" applyFill="1" applyBorder="1"/>
    <xf numFmtId="166" fontId="6" fillId="0" borderId="1" xfId="4" applyNumberFormat="1" applyBorder="1"/>
    <xf numFmtId="166" fontId="6" fillId="0" borderId="3" xfId="4" applyNumberFormat="1" applyBorder="1"/>
    <xf numFmtId="166" fontId="6" fillId="0" borderId="0" xfId="4" applyNumberFormat="1" applyFill="1" applyBorder="1"/>
    <xf numFmtId="166" fontId="6" fillId="0" borderId="0" xfId="4" applyNumberFormat="1" applyBorder="1"/>
    <xf numFmtId="166" fontId="6" fillId="0" borderId="2" xfId="4" applyNumberFormat="1" applyBorder="1"/>
    <xf numFmtId="166" fontId="6" fillId="0" borderId="0" xfId="6" applyNumberFormat="1" applyFill="1" applyBorder="1"/>
    <xf numFmtId="166" fontId="6" fillId="0" borderId="2" xfId="6" applyNumberFormat="1" applyFill="1" applyBorder="1"/>
    <xf numFmtId="0" fontId="6" fillId="0" borderId="0" xfId="4" applyAlignment="1">
      <alignment horizontal="left"/>
    </xf>
    <xf numFmtId="166" fontId="6" fillId="0" borderId="1" xfId="6" applyNumberFormat="1" applyFill="1" applyBorder="1"/>
    <xf numFmtId="166" fontId="6" fillId="0" borderId="1" xfId="6" applyNumberFormat="1" applyBorder="1"/>
    <xf numFmtId="166" fontId="6" fillId="0" borderId="3" xfId="6" applyNumberFormat="1" applyBorder="1"/>
    <xf numFmtId="166" fontId="6" fillId="0" borderId="0" xfId="6" applyNumberFormat="1" applyBorder="1"/>
    <xf numFmtId="166" fontId="6" fillId="0" borderId="2" xfId="6" applyNumberFormat="1" applyBorder="1"/>
    <xf numFmtId="166" fontId="14" fillId="4" borderId="0" xfId="5" applyNumberFormat="1" applyFont="1" applyFill="1"/>
    <xf numFmtId="166" fontId="14" fillId="4" borderId="0" xfId="6" applyNumberFormat="1" applyFont="1" applyFill="1" applyBorder="1"/>
    <xf numFmtId="166" fontId="14" fillId="4" borderId="2" xfId="6" applyNumberFormat="1" applyFont="1" applyFill="1" applyBorder="1"/>
    <xf numFmtId="166" fontId="6" fillId="4" borderId="0" xfId="6" applyNumberFormat="1" applyFont="1" applyFill="1"/>
    <xf numFmtId="166" fontId="14" fillId="3" borderId="0" xfId="5" applyNumberFormat="1" applyFont="1" applyFill="1"/>
    <xf numFmtId="166" fontId="14" fillId="5" borderId="0" xfId="5" applyNumberFormat="1" applyFont="1" applyFill="1"/>
    <xf numFmtId="166" fontId="14" fillId="5" borderId="0" xfId="6" applyNumberFormat="1" applyFont="1" applyFill="1" applyBorder="1"/>
    <xf numFmtId="166" fontId="14" fillId="5" borderId="2" xfId="6" applyNumberFormat="1" applyFont="1" applyFill="1" applyBorder="1"/>
    <xf numFmtId="166" fontId="6" fillId="5" borderId="0" xfId="6" applyNumberFormat="1" applyFont="1" applyFill="1"/>
    <xf numFmtId="166" fontId="6" fillId="0" borderId="0" xfId="4" applyNumberFormat="1" applyFill="1"/>
    <xf numFmtId="166" fontId="6" fillId="0" borderId="0" xfId="6" applyNumberFormat="1" applyFont="1" applyFill="1" applyBorder="1"/>
    <xf numFmtId="166" fontId="6" fillId="0" borderId="2" xfId="6" applyNumberFormat="1" applyFont="1" applyFill="1" applyBorder="1"/>
    <xf numFmtId="0" fontId="6" fillId="0" borderId="0" xfId="7" applyFont="1"/>
    <xf numFmtId="166" fontId="6" fillId="2" borderId="0" xfId="6" applyNumberFormat="1" applyFont="1" applyFill="1" applyBorder="1"/>
    <xf numFmtId="166" fontId="6" fillId="2" borderId="2" xfId="6" applyNumberFormat="1" applyFont="1" applyFill="1" applyBorder="1"/>
    <xf numFmtId="173" fontId="6" fillId="0" borderId="0" xfId="8" applyNumberFormat="1" applyFont="1" applyFill="1"/>
    <xf numFmtId="173" fontId="6" fillId="0" borderId="0" xfId="9" applyNumberFormat="1" applyFont="1" applyFill="1"/>
    <xf numFmtId="173" fontId="6" fillId="0" borderId="0" xfId="9" applyNumberFormat="1" applyFont="1" applyFill="1" applyBorder="1"/>
    <xf numFmtId="173" fontId="6" fillId="0" borderId="2" xfId="9" applyNumberFormat="1" applyFont="1" applyFill="1" applyBorder="1"/>
    <xf numFmtId="173" fontId="6" fillId="0" borderId="0" xfId="9" applyNumberFormat="1"/>
    <xf numFmtId="166" fontId="14" fillId="0" borderId="0" xfId="10" applyNumberFormat="1" applyFont="1"/>
    <xf numFmtId="166" fontId="14" fillId="0" borderId="0" xfId="6" applyNumberFormat="1" applyFont="1" applyFill="1"/>
    <xf numFmtId="166" fontId="14" fillId="0" borderId="0" xfId="6" applyNumberFormat="1" applyFont="1" applyBorder="1"/>
    <xf numFmtId="166" fontId="14" fillId="0" borderId="2" xfId="6" applyNumberFormat="1" applyFont="1" applyBorder="1"/>
    <xf numFmtId="166" fontId="6" fillId="0" borderId="0" xfId="6" applyNumberFormat="1" applyFont="1" applyFill="1"/>
    <xf numFmtId="166" fontId="6" fillId="0" borderId="0" xfId="6" applyNumberFormat="1" applyFont="1" applyBorder="1"/>
    <xf numFmtId="166" fontId="6" fillId="0" borderId="2" xfId="6" applyNumberFormat="1" applyFont="1" applyBorder="1"/>
    <xf numFmtId="4" fontId="14" fillId="0" borderId="0" xfId="4" applyNumberFormat="1" applyFont="1"/>
    <xf numFmtId="43" fontId="6" fillId="0" borderId="0" xfId="6" applyFill="1"/>
    <xf numFmtId="43" fontId="6" fillId="0" borderId="0" xfId="6" applyFill="1" applyBorder="1"/>
    <xf numFmtId="43" fontId="6" fillId="0" borderId="2" xfId="6" applyFill="1" applyBorder="1"/>
    <xf numFmtId="43" fontId="6" fillId="0" borderId="0" xfId="6" applyFont="1"/>
    <xf numFmtId="4" fontId="14" fillId="0" borderId="0" xfId="4" applyNumberFormat="1" applyFont="1" applyFill="1"/>
    <xf numFmtId="43" fontId="6" fillId="0" borderId="0" xfId="6" applyBorder="1"/>
    <xf numFmtId="43" fontId="6" fillId="0" borderId="2" xfId="6" applyBorder="1"/>
    <xf numFmtId="43" fontId="6" fillId="0" borderId="1" xfId="4" applyNumberFormat="1" applyFill="1" applyBorder="1"/>
    <xf numFmtId="43" fontId="6" fillId="0" borderId="1" xfId="4" applyNumberFormat="1" applyBorder="1"/>
    <xf numFmtId="43" fontId="6" fillId="0" borderId="3" xfId="4" applyNumberFormat="1" applyBorder="1"/>
    <xf numFmtId="0" fontId="6" fillId="0" borderId="0" xfId="4" applyFill="1" applyBorder="1"/>
    <xf numFmtId="0" fontId="6" fillId="0" borderId="2" xfId="4" applyFill="1" applyBorder="1"/>
    <xf numFmtId="0" fontId="16" fillId="0" borderId="0" xfId="4" applyFont="1"/>
    <xf numFmtId="0" fontId="16" fillId="0" borderId="0" xfId="4" applyFont="1" applyAlignment="1">
      <alignment horizontal="left"/>
    </xf>
    <xf numFmtId="166" fontId="6" fillId="0" borderId="5" xfId="6" applyNumberFormat="1" applyBorder="1"/>
    <xf numFmtId="166" fontId="6" fillId="0" borderId="6" xfId="6" applyNumberFormat="1" applyFont="1" applyFill="1" applyBorder="1"/>
    <xf numFmtId="166" fontId="6" fillId="0" borderId="7" xfId="6" applyNumberFormat="1" applyBorder="1"/>
    <xf numFmtId="166" fontId="5" fillId="0" borderId="0" xfId="1" applyNumberFormat="1" applyFont="1"/>
    <xf numFmtId="166" fontId="2" fillId="0" borderId="0" xfId="0" applyNumberFormat="1" applyFont="1"/>
    <xf numFmtId="166" fontId="2" fillId="0" borderId="0" xfId="0" applyNumberFormat="1" applyFont="1" applyFill="1"/>
    <xf numFmtId="0" fontId="7" fillId="0" borderId="0" xfId="11" applyFont="1" applyAlignment="1">
      <alignment horizontal="left"/>
    </xf>
    <xf numFmtId="0" fontId="6" fillId="0" borderId="0" xfId="11"/>
    <xf numFmtId="0" fontId="6" fillId="0" borderId="0" xfId="11" applyFont="1"/>
    <xf numFmtId="0" fontId="8" fillId="0" borderId="0" xfId="11" applyFont="1" applyAlignment="1">
      <alignment horizontal="center"/>
    </xf>
    <xf numFmtId="3" fontId="8" fillId="0" borderId="0" xfId="11" applyNumberFormat="1" applyFont="1" applyAlignment="1">
      <alignment horizontal="center"/>
    </xf>
    <xf numFmtId="0" fontId="6" fillId="0" borderId="0" xfId="11" applyAlignment="1">
      <alignment horizontal="center"/>
    </xf>
    <xf numFmtId="3" fontId="9" fillId="0" borderId="0" xfId="11" applyNumberFormat="1" applyFont="1" applyAlignment="1">
      <alignment horizontal="center"/>
    </xf>
    <xf numFmtId="168" fontId="9" fillId="0" borderId="0" xfId="11" applyNumberFormat="1" applyFont="1" applyAlignment="1">
      <alignment horizontal="center"/>
    </xf>
    <xf numFmtId="0" fontId="8" fillId="0" borderId="0" xfId="11" applyFont="1"/>
    <xf numFmtId="169" fontId="6" fillId="0" borderId="0" xfId="12" applyNumberFormat="1" applyAlignment="1">
      <alignment horizontal="center"/>
    </xf>
    <xf numFmtId="3" fontId="11" fillId="0" borderId="0" xfId="11" applyNumberFormat="1" applyFont="1" applyAlignment="1">
      <alignment horizontal="center"/>
    </xf>
    <xf numFmtId="0" fontId="12" fillId="0" borderId="0" xfId="11" applyFont="1" applyAlignment="1">
      <alignment horizontal="center"/>
    </xf>
    <xf numFmtId="0" fontId="17" fillId="0" borderId="0" xfId="13" applyAlignment="1">
      <alignment horizontal="center"/>
    </xf>
    <xf numFmtId="3" fontId="13" fillId="0" borderId="0" xfId="14" applyNumberFormat="1" applyFont="1" applyFill="1"/>
    <xf numFmtId="3" fontId="6" fillId="0" borderId="0" xfId="10" applyNumberFormat="1"/>
    <xf numFmtId="170" fontId="6" fillId="0" borderId="0" xfId="11" applyNumberFormat="1"/>
    <xf numFmtId="3" fontId="14" fillId="0" borderId="0" xfId="15" applyNumberFormat="1" applyFont="1" applyFill="1"/>
    <xf numFmtId="0" fontId="6" fillId="0" borderId="0" xfId="13" applyFont="1" applyAlignment="1">
      <alignment horizontal="center"/>
    </xf>
    <xf numFmtId="3" fontId="6" fillId="0" borderId="1" xfId="10" applyNumberFormat="1" applyFont="1" applyFill="1" applyBorder="1"/>
    <xf numFmtId="3" fontId="6" fillId="0" borderId="4" xfId="10" applyNumberFormat="1" applyBorder="1"/>
    <xf numFmtId="166" fontId="6" fillId="0" borderId="0" xfId="10" applyNumberFormat="1"/>
    <xf numFmtId="3" fontId="6" fillId="0" borderId="0" xfId="11" applyNumberFormat="1"/>
    <xf numFmtId="0" fontId="6" fillId="0" borderId="0" xfId="11" applyFont="1" applyFill="1" applyAlignment="1">
      <alignment horizontal="left"/>
    </xf>
    <xf numFmtId="166" fontId="6" fillId="0" borderId="1" xfId="16" applyNumberFormat="1" applyFont="1" applyFill="1" applyBorder="1"/>
    <xf numFmtId="0" fontId="6" fillId="0" borderId="0" xfId="11" applyFont="1" applyAlignment="1">
      <alignment horizontal="left" indent="1"/>
    </xf>
    <xf numFmtId="3" fontId="6" fillId="0" borderId="4" xfId="10" applyNumberFormat="1" applyFont="1" applyBorder="1"/>
    <xf numFmtId="0" fontId="6" fillId="0" borderId="0" xfId="11" applyFont="1" applyAlignment="1">
      <alignment vertical="justify"/>
    </xf>
    <xf numFmtId="0" fontId="6" fillId="0" borderId="0" xfId="11" applyAlignment="1">
      <alignment vertical="justify"/>
    </xf>
    <xf numFmtId="166" fontId="6" fillId="0" borderId="0" xfId="11" applyNumberFormat="1" applyAlignment="1">
      <alignment horizontal="centerContinuous" vertical="justify"/>
    </xf>
    <xf numFmtId="0" fontId="8" fillId="0" borderId="0" xfId="11" applyFont="1" applyAlignment="1">
      <alignment horizontal="left"/>
    </xf>
    <xf numFmtId="0" fontId="6" fillId="0" borderId="0" xfId="11" applyFont="1" applyAlignment="1">
      <alignment horizontal="centerContinuous" vertical="justify"/>
    </xf>
    <xf numFmtId="0" fontId="6" fillId="0" borderId="0" xfId="11" applyAlignment="1">
      <alignment horizontal="centerContinuous" vertical="justify"/>
    </xf>
    <xf numFmtId="0" fontId="6" fillId="0" borderId="0" xfId="17" applyFont="1" applyAlignment="1">
      <alignment horizontal="center"/>
    </xf>
    <xf numFmtId="0" fontId="6" fillId="0" borderId="0" xfId="17" applyFont="1" applyAlignment="1">
      <alignment vertical="justify"/>
    </xf>
    <xf numFmtId="0" fontId="6" fillId="0" borderId="0" xfId="17" applyFont="1" applyAlignment="1">
      <alignment horizontal="left" vertical="justify"/>
    </xf>
    <xf numFmtId="3" fontId="14" fillId="0" borderId="0" xfId="18" applyNumberFormat="1" applyFont="1" applyFill="1" applyAlignment="1">
      <alignment vertical="justify"/>
    </xf>
    <xf numFmtId="3" fontId="6" fillId="0" borderId="0" xfId="11" applyNumberFormat="1" applyAlignment="1">
      <alignment vertical="justify"/>
    </xf>
    <xf numFmtId="0" fontId="6" fillId="0" borderId="0" xfId="17" applyFont="1" applyAlignment="1">
      <alignment horizontal="left"/>
    </xf>
    <xf numFmtId="0" fontId="6" fillId="0" borderId="0" xfId="17" applyFont="1" applyAlignment="1">
      <alignment horizontal="centerContinuous" vertical="justify"/>
    </xf>
    <xf numFmtId="3" fontId="6" fillId="0" borderId="1" xfId="17" applyNumberFormat="1" applyFont="1" applyBorder="1" applyAlignment="1">
      <alignment vertical="justify"/>
    </xf>
    <xf numFmtId="3" fontId="6" fillId="0" borderId="4" xfId="17" applyNumberFormat="1" applyFont="1" applyBorder="1" applyAlignment="1">
      <alignment vertical="justify"/>
    </xf>
    <xf numFmtId="166" fontId="6" fillId="0" borderId="0" xfId="11" applyNumberFormat="1" applyBorder="1" applyAlignment="1">
      <alignment vertical="justify"/>
    </xf>
    <xf numFmtId="169" fontId="6" fillId="0" borderId="0" xfId="11" applyNumberFormat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 applyAlignment="1">
      <alignment horizontal="left"/>
    </xf>
    <xf numFmtId="166" fontId="6" fillId="0" borderId="0" xfId="11" applyNumberFormat="1"/>
    <xf numFmtId="172" fontId="6" fillId="0" borderId="0" xfId="11" applyNumberFormat="1" applyAlignment="1">
      <alignment horizontal="center"/>
    </xf>
    <xf numFmtId="3" fontId="6" fillId="0" borderId="1" xfId="11" applyNumberFormat="1" applyBorder="1"/>
    <xf numFmtId="166" fontId="6" fillId="0" borderId="0" xfId="11" applyNumberFormat="1" applyBorder="1"/>
    <xf numFmtId="3" fontId="6" fillId="0" borderId="0" xfId="10" applyNumberFormat="1" applyFill="1"/>
    <xf numFmtId="3" fontId="6" fillId="0" borderId="1" xfId="10" applyNumberFormat="1" applyBorder="1"/>
    <xf numFmtId="166" fontId="6" fillId="0" borderId="0" xfId="10" applyNumberFormat="1" applyFill="1"/>
    <xf numFmtId="3" fontId="14" fillId="0" borderId="0" xfId="10" applyNumberFormat="1" applyFont="1" applyFill="1"/>
    <xf numFmtId="3" fontId="14" fillId="7" borderId="0" xfId="10" applyNumberFormat="1" applyFont="1" applyFill="1"/>
    <xf numFmtId="0" fontId="6" fillId="0" borderId="0" xfId="17" applyFont="1"/>
    <xf numFmtId="3" fontId="6" fillId="0" borderId="4" xfId="11" applyNumberFormat="1" applyBorder="1"/>
    <xf numFmtId="3" fontId="14" fillId="7" borderId="0" xfId="19" applyNumberFormat="1" applyFont="1" applyFill="1"/>
    <xf numFmtId="3" fontId="6" fillId="0" borderId="0" xfId="10" applyNumberFormat="1" applyFont="1" applyFill="1" applyBorder="1"/>
    <xf numFmtId="4" fontId="6" fillId="0" borderId="0" xfId="11" applyNumberFormat="1" applyFill="1"/>
    <xf numFmtId="4" fontId="6" fillId="0" borderId="0" xfId="11" applyNumberFormat="1" applyFont="1"/>
    <xf numFmtId="5" fontId="6" fillId="0" borderId="0" xfId="10" applyNumberFormat="1" applyFont="1" applyFill="1"/>
    <xf numFmtId="0" fontId="8" fillId="0" borderId="0" xfId="17" applyFont="1" applyAlignment="1">
      <alignment horizontal="left"/>
    </xf>
    <xf numFmtId="3" fontId="14" fillId="0" borderId="0" xfId="20" applyNumberFormat="1" applyFont="1" applyFill="1" applyAlignment="1">
      <alignment vertical="justify"/>
    </xf>
    <xf numFmtId="3" fontId="6" fillId="0" borderId="0" xfId="10" applyNumberFormat="1" applyFont="1" applyFill="1" applyAlignment="1">
      <alignment vertical="justify"/>
    </xf>
    <xf numFmtId="3" fontId="6" fillId="0" borderId="0" xfId="10" applyNumberFormat="1" applyFont="1" applyAlignment="1">
      <alignment vertical="justify"/>
    </xf>
    <xf numFmtId="3" fontId="13" fillId="2" borderId="0" xfId="14" applyNumberFormat="1" applyFont="1" applyFill="1"/>
    <xf numFmtId="3" fontId="6" fillId="2" borderId="0" xfId="10" applyNumberFormat="1" applyFill="1"/>
    <xf numFmtId="0" fontId="6" fillId="2" borderId="0" xfId="11" applyFill="1"/>
    <xf numFmtId="170" fontId="6" fillId="2" borderId="0" xfId="11" applyNumberFormat="1" applyFill="1"/>
    <xf numFmtId="0" fontId="6" fillId="2" borderId="0" xfId="11" applyFill="1" applyAlignment="1">
      <alignment horizontal="center"/>
    </xf>
    <xf numFmtId="0" fontId="6" fillId="2" borderId="0" xfId="11" applyFont="1" applyFill="1"/>
    <xf numFmtId="0" fontId="12" fillId="2" borderId="0" xfId="11" applyFont="1" applyFill="1" applyAlignment="1">
      <alignment horizontal="center"/>
    </xf>
    <xf numFmtId="0" fontId="17" fillId="2" borderId="0" xfId="13" applyFill="1" applyAlignment="1">
      <alignment horizontal="center"/>
    </xf>
    <xf numFmtId="0" fontId="6" fillId="2" borderId="0" xfId="11" applyFont="1" applyFill="1" applyAlignment="1">
      <alignment horizontal="center"/>
    </xf>
    <xf numFmtId="0" fontId="6" fillId="2" borderId="0" xfId="11" applyFont="1" applyFill="1" applyAlignment="1">
      <alignment horizontal="left"/>
    </xf>
    <xf numFmtId="3" fontId="14" fillId="2" borderId="0" xfId="15" applyNumberFormat="1" applyFont="1" applyFill="1"/>
    <xf numFmtId="166" fontId="6" fillId="2" borderId="0" xfId="11" applyNumberFormat="1" applyFill="1"/>
    <xf numFmtId="172" fontId="6" fillId="2" borderId="0" xfId="11" applyNumberFormat="1" applyFill="1" applyAlignment="1">
      <alignment horizontal="center"/>
    </xf>
    <xf numFmtId="0" fontId="18" fillId="0" borderId="0" xfId="0" applyFont="1"/>
    <xf numFmtId="0" fontId="6" fillId="0" borderId="0" xfId="17" applyFont="1" applyFill="1"/>
    <xf numFmtId="166" fontId="5" fillId="0" borderId="0" xfId="1" applyNumberFormat="1" applyFont="1" applyFill="1"/>
    <xf numFmtId="44" fontId="5" fillId="0" borderId="0" xfId="2" applyFont="1" applyFill="1"/>
    <xf numFmtId="44" fontId="0" fillId="0" borderId="0" xfId="0" applyNumberFormat="1" applyFill="1"/>
    <xf numFmtId="0" fontId="0" fillId="8" borderId="0" xfId="0" applyFill="1"/>
    <xf numFmtId="165" fontId="0" fillId="8" borderId="0" xfId="0" applyNumberFormat="1" applyFill="1"/>
    <xf numFmtId="164" fontId="0" fillId="8" borderId="0" xfId="0" applyNumberFormat="1" applyFill="1" applyAlignment="1">
      <alignment horizontal="right"/>
    </xf>
    <xf numFmtId="165" fontId="0" fillId="8" borderId="0" xfId="0" applyNumberFormat="1" applyFill="1" applyAlignment="1">
      <alignment horizontal="right"/>
    </xf>
    <xf numFmtId="173" fontId="2" fillId="0" borderId="0" xfId="2" applyNumberFormat="1" applyFont="1" applyFill="1"/>
    <xf numFmtId="3" fontId="13" fillId="6" borderId="0" xfId="14" applyNumberFormat="1" applyFont="1" applyFill="1"/>
    <xf numFmtId="166" fontId="5" fillId="0" borderId="1" xfId="1" applyNumberFormat="1" applyFont="1" applyBorder="1"/>
    <xf numFmtId="166" fontId="5" fillId="0" borderId="8" xfId="1" applyNumberFormat="1" applyFont="1" applyBorder="1"/>
    <xf numFmtId="3" fontId="6" fillId="0" borderId="0" xfId="10" applyNumberFormat="1" applyFont="1"/>
    <xf numFmtId="166" fontId="13" fillId="0" borderId="0" xfId="16" applyNumberFormat="1" applyFont="1" applyFill="1"/>
    <xf numFmtId="0" fontId="6" fillId="0" borderId="0" xfId="11" applyFont="1" applyFill="1" applyAlignment="1">
      <alignment horizontal="left" indent="1"/>
    </xf>
    <xf numFmtId="166" fontId="6" fillId="0" borderId="0" xfId="4" applyNumberFormat="1" applyFont="1" applyAlignment="1"/>
    <xf numFmtId="3" fontId="14" fillId="6" borderId="0" xfId="15" applyNumberFormat="1" applyFont="1" applyFill="1"/>
    <xf numFmtId="164" fontId="2" fillId="8" borderId="0" xfId="0" applyNumberFormat="1" applyFont="1" applyFill="1"/>
    <xf numFmtId="165" fontId="2" fillId="8" borderId="0" xfId="0" applyNumberFormat="1" applyFont="1" applyFill="1"/>
    <xf numFmtId="165" fontId="2" fillId="8" borderId="0" xfId="0" applyNumberFormat="1" applyFont="1" applyFill="1" applyAlignment="1">
      <alignment horizontal="right"/>
    </xf>
    <xf numFmtId="166" fontId="13" fillId="9" borderId="0" xfId="5" applyNumberFormat="1" applyFont="1" applyFill="1"/>
    <xf numFmtId="166" fontId="14" fillId="0" borderId="0" xfId="5" applyNumberFormat="1" applyFont="1" applyFill="1"/>
    <xf numFmtId="166" fontId="15" fillId="0" borderId="0" xfId="6" applyNumberFormat="1" applyFont="1" applyFill="1" applyBorder="1"/>
    <xf numFmtId="0" fontId="6" fillId="10" borderId="0" xfId="4" applyFont="1" applyFill="1"/>
    <xf numFmtId="166" fontId="6" fillId="10" borderId="0" xfId="6" applyNumberFormat="1" applyFill="1"/>
    <xf numFmtId="166" fontId="6" fillId="10" borderId="0" xfId="6" applyNumberFormat="1" applyFill="1" applyBorder="1"/>
    <xf numFmtId="166" fontId="6" fillId="10" borderId="2" xfId="6" applyNumberFormat="1" applyFill="1" applyBorder="1"/>
    <xf numFmtId="0" fontId="12" fillId="10" borderId="0" xfId="4" applyFont="1" applyFill="1"/>
    <xf numFmtId="0" fontId="12" fillId="10" borderId="0" xfId="4" applyFont="1" applyFill="1" applyAlignment="1">
      <alignment horizontal="center"/>
    </xf>
    <xf numFmtId="0" fontId="12" fillId="10" borderId="0" xfId="4" applyFont="1" applyFill="1" applyAlignment="1">
      <alignment horizontal="left"/>
    </xf>
    <xf numFmtId="166" fontId="6" fillId="10" borderId="0" xfId="4" applyNumberFormat="1" applyFill="1"/>
    <xf numFmtId="172" fontId="6" fillId="10" borderId="0" xfId="4" applyNumberFormat="1" applyFill="1" applyAlignment="1">
      <alignment horizontal="center"/>
    </xf>
    <xf numFmtId="0" fontId="6" fillId="10" borderId="0" xfId="4" applyFill="1" applyAlignment="1">
      <alignment horizontal="center"/>
    </xf>
    <xf numFmtId="44" fontId="0" fillId="0" borderId="0" xfId="2" applyFont="1" applyFill="1"/>
    <xf numFmtId="0" fontId="0" fillId="0" borderId="0" xfId="1" applyNumberFormat="1" applyFont="1" applyFill="1"/>
    <xf numFmtId="166" fontId="6" fillId="0" borderId="0" xfId="5" applyNumberFormat="1" applyFont="1" applyFill="1"/>
    <xf numFmtId="166" fontId="6" fillId="0" borderId="0" xfId="5" applyNumberFormat="1" applyFont="1" applyFill="1" applyBorder="1"/>
    <xf numFmtId="166" fontId="6" fillId="0" borderId="2" xfId="5" applyNumberFormat="1" applyFont="1" applyFill="1" applyBorder="1"/>
    <xf numFmtId="17" fontId="0" fillId="0" borderId="0" xfId="0" applyNumberFormat="1" applyFill="1"/>
    <xf numFmtId="166" fontId="12" fillId="9" borderId="2" xfId="1" applyNumberFormat="1" applyFont="1" applyFill="1" applyBorder="1"/>
    <xf numFmtId="166" fontId="13" fillId="7" borderId="0" xfId="5" applyNumberFormat="1" applyFont="1" applyFill="1"/>
    <xf numFmtId="166" fontId="0" fillId="0" borderId="0" xfId="1" applyNumberFormat="1" applyFont="1" applyAlignment="1">
      <alignment wrapText="1"/>
    </xf>
  </cellXfs>
  <cellStyles count="21">
    <cellStyle name="Comma" xfId="1" builtinId="3"/>
    <cellStyle name="Comma 10 2" xfId="10" xr:uid="{00000000-0005-0000-0000-000001000000}"/>
    <cellStyle name="Comma 2 10 2" xfId="5" xr:uid="{00000000-0005-0000-0000-000002000000}"/>
    <cellStyle name="Comma 2 2" xfId="6" xr:uid="{00000000-0005-0000-0000-000003000000}"/>
    <cellStyle name="Comma 3 10 7" xfId="16" xr:uid="{00000000-0005-0000-0000-000004000000}"/>
    <cellStyle name="Comma 3 31" xfId="14" xr:uid="{00000000-0005-0000-0000-000005000000}"/>
    <cellStyle name="Comma 3 32" xfId="18" xr:uid="{00000000-0005-0000-0000-000006000000}"/>
    <cellStyle name="Comma 3 33" xfId="15" xr:uid="{00000000-0005-0000-0000-000007000000}"/>
    <cellStyle name="Comma 3 36" xfId="20" xr:uid="{00000000-0005-0000-0000-000008000000}"/>
    <cellStyle name="Comma 3 37" xfId="19" xr:uid="{00000000-0005-0000-0000-000009000000}"/>
    <cellStyle name="Currency" xfId="2" builtinId="4"/>
    <cellStyle name="Currency 2 10" xfId="8" xr:uid="{00000000-0005-0000-0000-00000B000000}"/>
    <cellStyle name="Currency 3 3 11" xfId="9" xr:uid="{00000000-0005-0000-0000-00000C000000}"/>
    <cellStyle name="Normal" xfId="0" builtinId="0"/>
    <cellStyle name="Normal 16 7" xfId="13" xr:uid="{00000000-0005-0000-0000-00000E000000}"/>
    <cellStyle name="Normal 2" xfId="4" xr:uid="{00000000-0005-0000-0000-00000F000000}"/>
    <cellStyle name="Normal 3 2 7" xfId="7" xr:uid="{00000000-0005-0000-0000-000010000000}"/>
    <cellStyle name="Normal 3 31" xfId="12" xr:uid="{00000000-0005-0000-0000-000011000000}"/>
    <cellStyle name="Normal 59 2" xfId="11" xr:uid="{00000000-0005-0000-0000-000012000000}"/>
    <cellStyle name="Normal_2006 Sch 25 Data" xfId="17" xr:uid="{00000000-0005-0000-0000-000013000000}"/>
    <cellStyle name="Percent" xfId="3" builtinId="5"/>
  </cellStyles>
  <dxfs count="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2</xdr:row>
      <xdr:rowOff>95250</xdr:rowOff>
    </xdr:from>
    <xdr:to>
      <xdr:col>11</xdr:col>
      <xdr:colOff>619125</xdr:colOff>
      <xdr:row>21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CD768-787F-45D4-8421-FFFB315B3ED8}"/>
            </a:ext>
          </a:extLst>
        </xdr:cNvPr>
        <xdr:cNvSpPr txBox="1"/>
      </xdr:nvSpPr>
      <xdr:spPr>
        <a:xfrm>
          <a:off x="1666875" y="476250"/>
          <a:ext cx="7419975" cy="357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Need to update for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12</xdr:col>
      <xdr:colOff>12887</xdr:colOff>
      <xdr:row>29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1F7CDB-C29E-451D-B720-820223A77E78}"/>
            </a:ext>
          </a:extLst>
        </xdr:cNvPr>
        <xdr:cNvSpPr txBox="1"/>
      </xdr:nvSpPr>
      <xdr:spPr>
        <a:xfrm>
          <a:off x="2902324" y="2095500"/>
          <a:ext cx="7419975" cy="357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Need to update Sch 25 for 2020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N14" sqref="N14"/>
    </sheetView>
  </sheetViews>
  <sheetFormatPr defaultColWidth="8.85546875" defaultRowHeight="12.75" x14ac:dyDescent="0.2"/>
  <cols>
    <col min="1" max="1" width="4.5703125" style="37" customWidth="1"/>
    <col min="2" max="2" width="32.7109375" style="37" customWidth="1"/>
    <col min="3" max="3" width="10.7109375" style="37" customWidth="1"/>
    <col min="4" max="4" width="11.5703125" style="37" customWidth="1"/>
    <col min="5" max="5" width="12.5703125" style="37" hidden="1" customWidth="1"/>
    <col min="6" max="6" width="12.5703125" style="37" customWidth="1"/>
    <col min="7" max="7" width="12.7109375" style="37" customWidth="1"/>
    <col min="8" max="8" width="13.28515625" style="37" bestFit="1" customWidth="1"/>
    <col min="9" max="9" width="13.42578125" style="37" bestFit="1" customWidth="1"/>
    <col min="10" max="10" width="12.7109375" style="37" bestFit="1" customWidth="1"/>
    <col min="11" max="13" width="13.42578125" style="37" bestFit="1" customWidth="1"/>
    <col min="14" max="14" width="13.140625" style="37" bestFit="1" customWidth="1"/>
    <col min="15" max="15" width="12.7109375" style="37" bestFit="1" customWidth="1"/>
    <col min="16" max="16" width="13.140625" style="37" bestFit="1" customWidth="1"/>
    <col min="17" max="17" width="12.7109375" style="37" bestFit="1" customWidth="1"/>
    <col min="18" max="18" width="15.7109375" style="37" customWidth="1"/>
    <col min="19" max="19" width="13" style="37" bestFit="1" customWidth="1"/>
    <col min="20" max="20" width="12.7109375" style="37" bestFit="1" customWidth="1"/>
    <col min="21" max="21" width="13.85546875" style="37" customWidth="1"/>
    <col min="22" max="22" width="9.28515625" style="37" bestFit="1" customWidth="1"/>
    <col min="23" max="16384" width="8.85546875" style="37"/>
  </cols>
  <sheetData>
    <row r="1" spans="1:21" ht="15" x14ac:dyDescent="0.25">
      <c r="A1" s="36" t="s">
        <v>133</v>
      </c>
      <c r="S1" s="38" t="s">
        <v>134</v>
      </c>
      <c r="T1" s="39">
        <f>S2</f>
        <v>500000</v>
      </c>
      <c r="U1" s="39">
        <f>T2</f>
        <v>6000000</v>
      </c>
    </row>
    <row r="2" spans="1:21" x14ac:dyDescent="0.2">
      <c r="A2" s="37" t="s">
        <v>289</v>
      </c>
      <c r="F2" s="37">
        <v>6</v>
      </c>
      <c r="G2" s="37">
        <f>F2+1</f>
        <v>7</v>
      </c>
      <c r="H2" s="37">
        <f t="shared" ref="H2:Q2" si="0">G2+1</f>
        <v>8</v>
      </c>
      <c r="I2" s="37">
        <f t="shared" si="0"/>
        <v>9</v>
      </c>
      <c r="J2" s="37">
        <f t="shared" si="0"/>
        <v>10</v>
      </c>
      <c r="K2" s="37">
        <f t="shared" si="0"/>
        <v>11</v>
      </c>
      <c r="L2" s="37">
        <f t="shared" si="0"/>
        <v>12</v>
      </c>
      <c r="M2" s="37">
        <f t="shared" si="0"/>
        <v>13</v>
      </c>
      <c r="N2" s="37">
        <f t="shared" si="0"/>
        <v>14</v>
      </c>
      <c r="O2" s="37">
        <f t="shared" si="0"/>
        <v>15</v>
      </c>
      <c r="P2" s="37">
        <f t="shared" si="0"/>
        <v>16</v>
      </c>
      <c r="Q2" s="37">
        <f t="shared" si="0"/>
        <v>17</v>
      </c>
      <c r="R2" s="40" t="s">
        <v>135</v>
      </c>
      <c r="S2" s="41">
        <v>500000</v>
      </c>
      <c r="T2" s="41">
        <v>6000000</v>
      </c>
      <c r="U2" s="42">
        <v>99999999</v>
      </c>
    </row>
    <row r="3" spans="1:21" x14ac:dyDescent="0.2">
      <c r="A3" s="43" t="s">
        <v>136</v>
      </c>
      <c r="B3" s="43"/>
      <c r="C3" s="44" t="s">
        <v>137</v>
      </c>
      <c r="D3" s="45" t="s">
        <v>138</v>
      </c>
      <c r="E3" s="45" t="s">
        <v>139</v>
      </c>
      <c r="F3" s="46">
        <v>44227</v>
      </c>
      <c r="G3" s="46">
        <f>EOMONTH(F3,1)</f>
        <v>44255</v>
      </c>
      <c r="H3" s="46">
        <f t="shared" ref="H3:Q3" si="1">EOMONTH(G3,1)</f>
        <v>44286</v>
      </c>
      <c r="I3" s="46">
        <f t="shared" si="1"/>
        <v>44316</v>
      </c>
      <c r="J3" s="46">
        <f t="shared" si="1"/>
        <v>44347</v>
      </c>
      <c r="K3" s="46">
        <f t="shared" si="1"/>
        <v>44377</v>
      </c>
      <c r="L3" s="46">
        <f t="shared" si="1"/>
        <v>44408</v>
      </c>
      <c r="M3" s="46">
        <f t="shared" si="1"/>
        <v>44439</v>
      </c>
      <c r="N3" s="46">
        <f t="shared" si="1"/>
        <v>44469</v>
      </c>
      <c r="O3" s="46">
        <f t="shared" si="1"/>
        <v>44500</v>
      </c>
      <c r="P3" s="46">
        <f t="shared" si="1"/>
        <v>44530</v>
      </c>
      <c r="Q3" s="46">
        <f t="shared" si="1"/>
        <v>44561</v>
      </c>
      <c r="R3" s="40" t="s">
        <v>13</v>
      </c>
      <c r="S3" s="48" t="s">
        <v>140</v>
      </c>
      <c r="T3" s="48" t="s">
        <v>140</v>
      </c>
      <c r="U3" s="48" t="s">
        <v>140</v>
      </c>
    </row>
    <row r="4" spans="1:21" x14ac:dyDescent="0.2">
      <c r="A4" s="37">
        <v>1</v>
      </c>
      <c r="B4" s="49" t="s">
        <v>141</v>
      </c>
      <c r="C4" s="50" t="s">
        <v>142</v>
      </c>
      <c r="D4" s="50" t="s">
        <v>143</v>
      </c>
      <c r="E4" s="51">
        <v>770037736</v>
      </c>
      <c r="F4" s="252">
        <v>1511697.6</v>
      </c>
      <c r="G4" s="252">
        <v>1882095.6</v>
      </c>
      <c r="H4" s="252">
        <v>2261666.4</v>
      </c>
      <c r="I4" s="252">
        <v>1799479.5</v>
      </c>
      <c r="J4" s="252">
        <v>2309876.1</v>
      </c>
      <c r="K4" s="252">
        <v>2695404.6</v>
      </c>
      <c r="L4" s="252">
        <v>2647274.7000000002</v>
      </c>
      <c r="M4" s="252">
        <v>2478096.6</v>
      </c>
      <c r="N4" s="252">
        <v>3166680.3</v>
      </c>
      <c r="O4" s="252">
        <v>2938502.7</v>
      </c>
      <c r="P4" s="252">
        <v>2832165.0019999999</v>
      </c>
      <c r="Q4" s="252">
        <v>3080828.1</v>
      </c>
      <c r="R4" s="53">
        <f t="shared" ref="R4:R24" si="2">SUM(F4:Q4)</f>
        <v>29603767.202000003</v>
      </c>
      <c r="S4" s="54">
        <f>S$2*12-SUMPRODUCT(--($F4:$Q4&lt;=S$2),S$2-$F4:$Q4)</f>
        <v>6000000</v>
      </c>
      <c r="T4" s="54">
        <f>T$2*12-SUM($S4:S4)-SUMPRODUCT(--($F4:$Q4&lt;=T$2),T$2-$F4:$Q4)</f>
        <v>23603767.202</v>
      </c>
      <c r="U4" s="54">
        <f>U$2*12-SUM($S4:T4)-SUMPRODUCT(--($F4:$Q4&lt;=U$2),U$2-$F4:$Q4)</f>
        <v>0</v>
      </c>
    </row>
    <row r="5" spans="1:21" x14ac:dyDescent="0.2">
      <c r="A5" s="37">
        <v>2</v>
      </c>
      <c r="B5" s="49" t="s">
        <v>149</v>
      </c>
      <c r="C5" s="50" t="s">
        <v>150</v>
      </c>
      <c r="D5" s="50" t="s">
        <v>151</v>
      </c>
      <c r="E5" s="51">
        <v>500017</v>
      </c>
      <c r="F5" s="252">
        <v>2885658.3</v>
      </c>
      <c r="G5" s="252">
        <v>2744878.5</v>
      </c>
      <c r="H5" s="252">
        <v>2980838.7</v>
      </c>
      <c r="I5" s="252">
        <v>2910555.9</v>
      </c>
      <c r="J5" s="252">
        <v>2901796.8</v>
      </c>
      <c r="K5" s="252">
        <v>2761634.4</v>
      </c>
      <c r="L5" s="252">
        <v>2818435.2</v>
      </c>
      <c r="M5" s="252">
        <v>2414878.2000000002</v>
      </c>
      <c r="N5" s="252">
        <v>2830543.8</v>
      </c>
      <c r="O5" s="252">
        <v>2985937.5</v>
      </c>
      <c r="P5" s="252">
        <v>2816316.3020000001</v>
      </c>
      <c r="Q5" s="252">
        <v>2465698.2000000002</v>
      </c>
      <c r="R5" s="53">
        <f t="shared" si="2"/>
        <v>33517171.801999997</v>
      </c>
      <c r="S5" s="54">
        <f t="shared" ref="S5:S26" si="3">S$2*12-SUMPRODUCT(--($F5:$Q5&lt;=S$2),S$2-$F5:$Q5)</f>
        <v>6000000</v>
      </c>
      <c r="T5" s="54">
        <f>T$2*12-SUM($S5:S5)-SUMPRODUCT(--($F5:$Q5&lt;=T$2),T$2-$F5:$Q5)</f>
        <v>27517171.802000001</v>
      </c>
      <c r="U5" s="54">
        <f>U$2*12-SUM($S5:T5)-SUMPRODUCT(--($F5:$Q5&lt;=U$2),U$2-$F5:$Q5)</f>
        <v>0</v>
      </c>
    </row>
    <row r="6" spans="1:21" x14ac:dyDescent="0.2">
      <c r="A6" s="37">
        <v>3</v>
      </c>
      <c r="B6" s="49" t="s">
        <v>152</v>
      </c>
      <c r="C6" s="50" t="s">
        <v>153</v>
      </c>
      <c r="D6" s="50" t="s">
        <v>154</v>
      </c>
      <c r="E6" s="51">
        <v>500018</v>
      </c>
      <c r="F6" s="252">
        <v>1378001.1</v>
      </c>
      <c r="G6" s="252">
        <v>1276487.1000000001</v>
      </c>
      <c r="H6" s="252">
        <v>1360394</v>
      </c>
      <c r="I6" s="252">
        <v>1246655.2</v>
      </c>
      <c r="J6" s="252">
        <v>1204011.2</v>
      </c>
      <c r="K6" s="252">
        <v>1244033.7</v>
      </c>
      <c r="L6" s="252">
        <v>1159707.5</v>
      </c>
      <c r="M6" s="252">
        <v>1143046.8</v>
      </c>
      <c r="N6" s="252">
        <v>1107361.5</v>
      </c>
      <c r="O6" s="252">
        <v>1236305.7</v>
      </c>
      <c r="P6" s="252">
        <v>1210532.4010000001</v>
      </c>
      <c r="Q6" s="252">
        <v>1287223</v>
      </c>
      <c r="R6" s="53">
        <f t="shared" si="2"/>
        <v>14853759.201000001</v>
      </c>
      <c r="S6" s="54">
        <f t="shared" si="3"/>
        <v>6000000</v>
      </c>
      <c r="T6" s="54">
        <f>T$2*12-SUM($S6:S6)-SUMPRODUCT(--($F6:$Q6&lt;=T$2),T$2-$F6:$Q6)</f>
        <v>8853759.2009999976</v>
      </c>
      <c r="U6" s="54">
        <f>U$2*12-SUM($S6:T6)-SUMPRODUCT(--($F6:$Q6&lt;=U$2),U$2-$F6:$Q6)</f>
        <v>0</v>
      </c>
    </row>
    <row r="7" spans="1:21" x14ac:dyDescent="0.2">
      <c r="A7" s="37">
        <v>4</v>
      </c>
      <c r="B7" s="49" t="s">
        <v>155</v>
      </c>
      <c r="C7" s="50" t="s">
        <v>156</v>
      </c>
      <c r="D7" s="50" t="s">
        <v>157</v>
      </c>
      <c r="E7" s="51">
        <v>1900002</v>
      </c>
      <c r="F7" s="252">
        <v>1480744.65</v>
      </c>
      <c r="G7" s="252">
        <v>1399653.15</v>
      </c>
      <c r="H7" s="252">
        <v>1642623.15</v>
      </c>
      <c r="I7" s="252">
        <v>1599610.95</v>
      </c>
      <c r="J7" s="252">
        <v>1655249.4</v>
      </c>
      <c r="K7" s="252">
        <v>1732733.1</v>
      </c>
      <c r="L7" s="252">
        <v>1807320.9</v>
      </c>
      <c r="M7" s="252">
        <v>1615553.1</v>
      </c>
      <c r="N7" s="252">
        <v>1391827.5</v>
      </c>
      <c r="O7" s="252">
        <v>1706733.477</v>
      </c>
      <c r="P7" s="252">
        <v>1609241.932</v>
      </c>
      <c r="Q7" s="252">
        <v>1425076.8</v>
      </c>
      <c r="R7" s="53">
        <f t="shared" si="2"/>
        <v>19066368.109000001</v>
      </c>
      <c r="S7" s="54">
        <f t="shared" si="3"/>
        <v>6000000</v>
      </c>
      <c r="T7" s="54">
        <f>T$2*12-SUM($S7:S7)-SUMPRODUCT(--($F7:$Q7&lt;=T$2),T$2-$F7:$Q7)</f>
        <v>13066368.108999997</v>
      </c>
      <c r="U7" s="54">
        <f>U$2*12-SUM($S7:T7)-SUMPRODUCT(--($F7:$Q7&lt;=U$2),U$2-$F7:$Q7)</f>
        <v>0</v>
      </c>
    </row>
    <row r="8" spans="1:21" x14ac:dyDescent="0.2">
      <c r="A8" s="37">
        <v>5</v>
      </c>
      <c r="B8" s="49" t="s">
        <v>158</v>
      </c>
      <c r="C8" s="50" t="s">
        <v>159</v>
      </c>
      <c r="D8" s="50" t="s">
        <v>160</v>
      </c>
      <c r="E8" s="51">
        <v>1900011</v>
      </c>
      <c r="F8" s="252">
        <v>1563613.8</v>
      </c>
      <c r="G8" s="252">
        <v>1462822.2</v>
      </c>
      <c r="H8" s="252">
        <v>1593162.9</v>
      </c>
      <c r="I8" s="252">
        <v>1625069.25</v>
      </c>
      <c r="J8" s="252">
        <v>1785898.8</v>
      </c>
      <c r="K8" s="252">
        <v>1999167.45</v>
      </c>
      <c r="L8" s="252">
        <v>2213329.65</v>
      </c>
      <c r="M8" s="252">
        <v>2118270</v>
      </c>
      <c r="N8" s="252">
        <v>1807545.6</v>
      </c>
      <c r="O8" s="252">
        <v>1584645.3</v>
      </c>
      <c r="P8" s="252">
        <v>1518303.1510000001</v>
      </c>
      <c r="Q8" s="252">
        <v>1635557.7</v>
      </c>
      <c r="R8" s="53">
        <f t="shared" si="2"/>
        <v>20907385.800999999</v>
      </c>
      <c r="S8" s="54">
        <f t="shared" si="3"/>
        <v>6000000</v>
      </c>
      <c r="T8" s="54">
        <f>T$2*12-SUM($S8:S8)-SUMPRODUCT(--($F8:$Q8&lt;=T$2),T$2-$F8:$Q8)</f>
        <v>14907385.800999999</v>
      </c>
      <c r="U8" s="54">
        <f>U$2*12-SUM($S8:T8)-SUMPRODUCT(--($F8:$Q8&lt;=U$2),U$2-$F8:$Q8)</f>
        <v>0</v>
      </c>
    </row>
    <row r="9" spans="1:21" x14ac:dyDescent="0.2">
      <c r="A9" s="37">
        <v>6</v>
      </c>
      <c r="B9" s="49" t="s">
        <v>161</v>
      </c>
      <c r="C9" s="50" t="s">
        <v>162</v>
      </c>
      <c r="D9" s="50" t="s">
        <v>163</v>
      </c>
      <c r="E9" s="51">
        <v>622922</v>
      </c>
      <c r="F9" s="252">
        <v>2129810.2000000002</v>
      </c>
      <c r="G9" s="252">
        <v>2099549.2000000002</v>
      </c>
      <c r="H9" s="252">
        <v>2016858.2</v>
      </c>
      <c r="I9" s="252">
        <v>1782077.5</v>
      </c>
      <c r="J9" s="252">
        <v>1438536.4</v>
      </c>
      <c r="K9" s="252">
        <v>1704057.6</v>
      </c>
      <c r="L9" s="252">
        <v>1870433.6</v>
      </c>
      <c r="M9" s="252">
        <v>1812687.8</v>
      </c>
      <c r="N9" s="252">
        <v>1940272.6</v>
      </c>
      <c r="O9" s="252">
        <v>2000545.4</v>
      </c>
      <c r="P9" s="252">
        <v>2083888.798</v>
      </c>
      <c r="Q9" s="252">
        <v>2275376.6</v>
      </c>
      <c r="R9" s="53">
        <f t="shared" si="2"/>
        <v>23154093.898000002</v>
      </c>
      <c r="S9" s="54">
        <f t="shared" si="3"/>
        <v>6000000</v>
      </c>
      <c r="T9" s="54">
        <f>T$2*12-SUM($S9:S9)-SUMPRODUCT(--($F9:$Q9&lt;=T$2),T$2-$F9:$Q9)</f>
        <v>17154093.898000002</v>
      </c>
      <c r="U9" s="54">
        <f>U$2*12-SUM($S9:T9)-SUMPRODUCT(--($F9:$Q9&lt;=U$2),U$2-$F9:$Q9)</f>
        <v>0</v>
      </c>
    </row>
    <row r="10" spans="1:21" x14ac:dyDescent="0.2">
      <c r="A10" s="37">
        <v>7</v>
      </c>
      <c r="B10" s="49" t="s">
        <v>164</v>
      </c>
      <c r="C10" s="50" t="s">
        <v>165</v>
      </c>
      <c r="D10" s="50" t="s">
        <v>166</v>
      </c>
      <c r="E10" s="51">
        <v>2304636</v>
      </c>
      <c r="F10" s="252">
        <v>1312558.8</v>
      </c>
      <c r="G10" s="252">
        <v>1225321.3</v>
      </c>
      <c r="H10" s="252">
        <v>1312726.1000000001</v>
      </c>
      <c r="I10" s="252">
        <v>1295624.3999999999</v>
      </c>
      <c r="J10" s="252">
        <v>1371136.9</v>
      </c>
      <c r="K10" s="252">
        <v>1504815.9</v>
      </c>
      <c r="L10" s="252">
        <v>1596914.9</v>
      </c>
      <c r="M10" s="252">
        <v>1557619.7</v>
      </c>
      <c r="N10" s="252">
        <v>1419316.5</v>
      </c>
      <c r="O10" s="252">
        <v>1426908</v>
      </c>
      <c r="P10" s="252">
        <v>1337587.2990000001</v>
      </c>
      <c r="Q10" s="252">
        <v>1361876.6</v>
      </c>
      <c r="R10" s="53">
        <f t="shared" si="2"/>
        <v>16722406.399</v>
      </c>
      <c r="S10" s="54">
        <f t="shared" si="3"/>
        <v>6000000</v>
      </c>
      <c r="T10" s="54">
        <f>T$2*12-SUM($S10:S10)-SUMPRODUCT(--($F10:$Q10&lt;=T$2),T$2-$F10:$Q10)</f>
        <v>10722406.399000004</v>
      </c>
      <c r="U10" s="54">
        <f>U$2*12-SUM($S10:T10)-SUMPRODUCT(--($F10:$Q10&lt;=U$2),U$2-$F10:$Q10)</f>
        <v>0</v>
      </c>
    </row>
    <row r="11" spans="1:21" x14ac:dyDescent="0.2">
      <c r="A11" s="37">
        <v>8</v>
      </c>
      <c r="B11" s="49" t="s">
        <v>167</v>
      </c>
      <c r="C11" s="50" t="s">
        <v>168</v>
      </c>
      <c r="D11" s="50" t="s">
        <v>169</v>
      </c>
      <c r="E11" s="51">
        <v>610074869</v>
      </c>
      <c r="F11" s="252">
        <v>955497.9</v>
      </c>
      <c r="G11" s="252">
        <v>914768.4</v>
      </c>
      <c r="H11" s="252">
        <v>1072692.6000000001</v>
      </c>
      <c r="I11" s="252">
        <v>1100330.7</v>
      </c>
      <c r="J11" s="252">
        <v>1063473.6000000001</v>
      </c>
      <c r="K11" s="252">
        <v>1203917.3999999999</v>
      </c>
      <c r="L11" s="252">
        <v>1309969.5</v>
      </c>
      <c r="M11" s="252">
        <v>1190796.6000000001</v>
      </c>
      <c r="N11" s="252">
        <v>1071226.8</v>
      </c>
      <c r="O11" s="252">
        <v>1045871.4</v>
      </c>
      <c r="P11" s="252">
        <v>933206.4</v>
      </c>
      <c r="Q11" s="252">
        <v>988008</v>
      </c>
      <c r="R11" s="53">
        <f t="shared" si="2"/>
        <v>12849759.300000003</v>
      </c>
      <c r="S11" s="54">
        <f t="shared" si="3"/>
        <v>6000000</v>
      </c>
      <c r="T11" s="54">
        <f>T$2*12-SUM($S11:S11)-SUMPRODUCT(--($F11:$Q11&lt;=T$2),T$2-$F11:$Q11)</f>
        <v>6849759.299999997</v>
      </c>
      <c r="U11" s="54">
        <f>U$2*12-SUM($S11:T11)-SUMPRODUCT(--($F11:$Q11&lt;=U$2),U$2-$F11:$Q11)</f>
        <v>0</v>
      </c>
    </row>
    <row r="12" spans="1:21" x14ac:dyDescent="0.2">
      <c r="A12" s="37">
        <v>9</v>
      </c>
      <c r="B12" s="49" t="s">
        <v>170</v>
      </c>
      <c r="C12" s="50" t="s">
        <v>171</v>
      </c>
      <c r="D12" s="50" t="s">
        <v>172</v>
      </c>
      <c r="E12" s="51">
        <v>2500004</v>
      </c>
      <c r="F12" s="252">
        <v>39435656</v>
      </c>
      <c r="G12" s="252">
        <v>35292188</v>
      </c>
      <c r="H12" s="252">
        <v>40784468</v>
      </c>
      <c r="I12" s="252">
        <v>38726952</v>
      </c>
      <c r="J12" s="252">
        <v>34594216</v>
      </c>
      <c r="K12" s="252">
        <v>37627620</v>
      </c>
      <c r="L12" s="252">
        <v>37858230</v>
      </c>
      <c r="M12" s="252">
        <v>40324196</v>
      </c>
      <c r="N12" s="252">
        <v>38224942</v>
      </c>
      <c r="O12" s="252">
        <v>39200562</v>
      </c>
      <c r="P12" s="272">
        <v>38860962</v>
      </c>
      <c r="Q12" s="252">
        <v>34917200</v>
      </c>
      <c r="R12" s="53">
        <f t="shared" si="2"/>
        <v>455847192</v>
      </c>
      <c r="S12" s="54">
        <f t="shared" si="3"/>
        <v>6000000</v>
      </c>
      <c r="T12" s="54">
        <f>T$2*12-SUM($S12:S12)-SUMPRODUCT(--($F12:$Q12&lt;=T$2),T$2-$F12:$Q12)</f>
        <v>66000000</v>
      </c>
      <c r="U12" s="54">
        <f>U$2*12-SUM($S12:T12)-SUMPRODUCT(--($F12:$Q12&lt;=U$2),U$2-$F12:$Q12)</f>
        <v>383847192</v>
      </c>
    </row>
    <row r="13" spans="1:21" x14ac:dyDescent="0.2">
      <c r="A13" s="37">
        <v>10</v>
      </c>
      <c r="B13" s="49" t="s">
        <v>173</v>
      </c>
      <c r="C13" s="50" t="s">
        <v>174</v>
      </c>
      <c r="D13" s="50" t="s">
        <v>175</v>
      </c>
      <c r="E13" s="51">
        <v>290048778</v>
      </c>
      <c r="F13" s="252">
        <v>5149987.5</v>
      </c>
      <c r="G13" s="252">
        <v>4659759.3</v>
      </c>
      <c r="H13" s="252">
        <v>5590407.9000000004</v>
      </c>
      <c r="I13" s="252">
        <v>5534106.9000000004</v>
      </c>
      <c r="J13" s="252">
        <v>5645045.7000000002</v>
      </c>
      <c r="K13" s="252">
        <v>5697176.0999999996</v>
      </c>
      <c r="L13" s="252">
        <v>5806479</v>
      </c>
      <c r="M13" s="252">
        <v>5842979.0999999996</v>
      </c>
      <c r="N13" s="252">
        <v>5400992.0999999996</v>
      </c>
      <c r="O13" s="252">
        <v>5620948.2000000002</v>
      </c>
      <c r="P13" s="252">
        <v>5029875.8969999999</v>
      </c>
      <c r="Q13" s="252">
        <v>4752682.2</v>
      </c>
      <c r="R13" s="53">
        <f t="shared" si="2"/>
        <v>64730439.897000007</v>
      </c>
      <c r="S13" s="54">
        <f t="shared" si="3"/>
        <v>6000000</v>
      </c>
      <c r="T13" s="54">
        <f>T$2*12-SUM($S13:S13)-SUMPRODUCT(--($F13:$Q13&lt;=T$2),T$2-$F13:$Q13)</f>
        <v>58730439.897</v>
      </c>
      <c r="U13" s="54">
        <f>U$2*12-SUM($S13:T13)-SUMPRODUCT(--($F13:$Q13&lt;=U$2),U$2-$F13:$Q13)</f>
        <v>0</v>
      </c>
    </row>
    <row r="14" spans="1:21" x14ac:dyDescent="0.2">
      <c r="A14" s="37">
        <v>11</v>
      </c>
      <c r="B14" s="49" t="s">
        <v>176</v>
      </c>
      <c r="C14" s="50" t="s">
        <v>177</v>
      </c>
      <c r="D14" s="50" t="s">
        <v>178</v>
      </c>
      <c r="E14" s="51">
        <v>2500003</v>
      </c>
      <c r="F14" s="252">
        <v>3850310.8</v>
      </c>
      <c r="G14" s="252">
        <v>4488337.7</v>
      </c>
      <c r="H14" s="252">
        <v>5030074.7</v>
      </c>
      <c r="I14" s="252">
        <v>4611767.3</v>
      </c>
      <c r="J14" s="252">
        <v>5244211.7</v>
      </c>
      <c r="K14" s="252">
        <v>4995937.8</v>
      </c>
      <c r="L14" s="252">
        <v>3964338.7</v>
      </c>
      <c r="M14" s="252">
        <v>5541515</v>
      </c>
      <c r="N14" s="252">
        <v>5633071.5</v>
      </c>
      <c r="O14" s="252">
        <v>6128846.5</v>
      </c>
      <c r="P14" s="252">
        <v>5564591.2000000002</v>
      </c>
      <c r="Q14" s="252">
        <v>5899294.0999999996</v>
      </c>
      <c r="R14" s="53">
        <f t="shared" si="2"/>
        <v>60952297.000000007</v>
      </c>
      <c r="S14" s="54">
        <f t="shared" si="3"/>
        <v>6000000</v>
      </c>
      <c r="T14" s="54">
        <f>T$2*12-SUM($S14:S14)-SUMPRODUCT(--($F14:$Q14&lt;=T$2),T$2-$F14:$Q14)</f>
        <v>54823450.5</v>
      </c>
      <c r="U14" s="54">
        <f>U$2*12-SUM($S14:T14)-SUMPRODUCT(--($F14:$Q14&lt;=U$2),U$2-$F14:$Q14)</f>
        <v>128846.5</v>
      </c>
    </row>
    <row r="15" spans="1:21" x14ac:dyDescent="0.2">
      <c r="A15" s="37">
        <v>12</v>
      </c>
      <c r="B15" s="49" t="s">
        <v>179</v>
      </c>
      <c r="C15" s="50" t="s">
        <v>180</v>
      </c>
      <c r="D15" s="50" t="s">
        <v>181</v>
      </c>
      <c r="E15" s="51">
        <v>500020</v>
      </c>
      <c r="F15" s="252">
        <v>2999695.65</v>
      </c>
      <c r="G15" s="252">
        <v>2730817.95</v>
      </c>
      <c r="H15" s="252">
        <v>3012507.75</v>
      </c>
      <c r="I15" s="252">
        <v>3024783.3</v>
      </c>
      <c r="J15" s="252">
        <v>3270666</v>
      </c>
      <c r="K15" s="252">
        <v>3789981.3</v>
      </c>
      <c r="L15" s="252">
        <v>4103871.45</v>
      </c>
      <c r="M15" s="252">
        <v>3847194.75</v>
      </c>
      <c r="N15" s="252">
        <v>3259788</v>
      </c>
      <c r="O15" s="252">
        <v>3020000.55</v>
      </c>
      <c r="P15" s="252">
        <v>2887176.6039999998</v>
      </c>
      <c r="Q15" s="252">
        <v>3019063.95</v>
      </c>
      <c r="R15" s="53">
        <f t="shared" si="2"/>
        <v>38965547.254000001</v>
      </c>
      <c r="S15" s="54">
        <f t="shared" si="3"/>
        <v>6000000</v>
      </c>
      <c r="T15" s="54">
        <f>T$2*12-SUM($S15:S15)-SUMPRODUCT(--($F15:$Q15&lt;=T$2),T$2-$F15:$Q15)</f>
        <v>32965547.253999997</v>
      </c>
      <c r="U15" s="54">
        <f>U$2*12-SUM($S15:T15)-SUMPRODUCT(--($F15:$Q15&lt;=U$2),U$2-$F15:$Q15)</f>
        <v>0</v>
      </c>
    </row>
    <row r="16" spans="1:21" x14ac:dyDescent="0.2">
      <c r="A16" s="37">
        <v>13</v>
      </c>
      <c r="B16" s="49" t="s">
        <v>182</v>
      </c>
      <c r="C16" s="50" t="s">
        <v>183</v>
      </c>
      <c r="D16" s="50" t="s">
        <v>184</v>
      </c>
      <c r="E16" s="51">
        <v>1900012</v>
      </c>
      <c r="F16" s="252">
        <v>878007.9</v>
      </c>
      <c r="G16" s="252">
        <v>807562.35</v>
      </c>
      <c r="H16" s="252">
        <v>883466.85</v>
      </c>
      <c r="I16" s="252">
        <v>909089.47499999998</v>
      </c>
      <c r="J16" s="252">
        <v>984245.85</v>
      </c>
      <c r="K16" s="252">
        <v>1146591.6000000001</v>
      </c>
      <c r="L16" s="252">
        <v>1307596.5</v>
      </c>
      <c r="M16" s="252">
        <v>1222100.25</v>
      </c>
      <c r="N16" s="252">
        <v>1011286.5</v>
      </c>
      <c r="O16" s="252">
        <v>915070.8</v>
      </c>
      <c r="P16" s="252">
        <v>819822.15</v>
      </c>
      <c r="Q16" s="252">
        <v>872653.95</v>
      </c>
      <c r="R16" s="53">
        <f t="shared" si="2"/>
        <v>11757494.175000001</v>
      </c>
      <c r="S16" s="54">
        <f t="shared" si="3"/>
        <v>6000000</v>
      </c>
      <c r="T16" s="54">
        <f>T$2*12-SUM($S16:S16)-SUMPRODUCT(--($F16:$Q16&lt;=T$2),T$2-$F16:$Q16)</f>
        <v>5757494.174999997</v>
      </c>
      <c r="U16" s="54">
        <f>U$2*12-SUM($S16:T16)-SUMPRODUCT(--($F16:$Q16&lt;=U$2),U$2-$F16:$Q16)</f>
        <v>0</v>
      </c>
    </row>
    <row r="17" spans="1:21" s="56" customFormat="1" x14ac:dyDescent="0.2">
      <c r="A17" s="56">
        <v>14</v>
      </c>
      <c r="B17" s="57" t="s">
        <v>185</v>
      </c>
      <c r="C17" s="58" t="s">
        <v>186</v>
      </c>
      <c r="D17" s="58" t="s">
        <v>187</v>
      </c>
      <c r="E17" s="59">
        <v>2400169</v>
      </c>
      <c r="F17" s="252">
        <v>774896.4</v>
      </c>
      <c r="G17" s="252">
        <v>863699.1</v>
      </c>
      <c r="H17" s="252">
        <v>941076</v>
      </c>
      <c r="I17" s="252">
        <v>872875.8</v>
      </c>
      <c r="J17" s="252">
        <v>859198.8</v>
      </c>
      <c r="K17" s="252">
        <v>875872.8</v>
      </c>
      <c r="L17" s="252">
        <v>863790</v>
      </c>
      <c r="M17" s="272">
        <v>800176.73</v>
      </c>
      <c r="N17" s="252">
        <v>896113.2</v>
      </c>
      <c r="O17" s="252">
        <v>842771.69799999997</v>
      </c>
      <c r="P17" s="252">
        <v>659128.79799999995</v>
      </c>
      <c r="Q17" s="252">
        <v>735362.272</v>
      </c>
      <c r="R17" s="60">
        <f t="shared" si="2"/>
        <v>9984961.5979999993</v>
      </c>
      <c r="S17" s="61">
        <f t="shared" si="3"/>
        <v>6000000</v>
      </c>
      <c r="T17" s="61">
        <f>T$2*12-SUM($S17:S17)-SUMPRODUCT(--($F17:$Q17&lt;=T$2),T$2-$F17:$Q17)</f>
        <v>3984961.5980000123</v>
      </c>
      <c r="U17" s="54">
        <f>U$2*12-SUM($S17:T17)-SUMPRODUCT(--($F17:$Q17&lt;=U$2),U$2-$F17:$Q17)</f>
        <v>0</v>
      </c>
    </row>
    <row r="18" spans="1:21" x14ac:dyDescent="0.2">
      <c r="A18" s="37">
        <v>15</v>
      </c>
      <c r="B18" s="49" t="s">
        <v>188</v>
      </c>
      <c r="C18" s="50" t="s">
        <v>189</v>
      </c>
      <c r="D18" s="50" t="s">
        <v>190</v>
      </c>
      <c r="E18" s="51">
        <v>690067830</v>
      </c>
      <c r="F18" s="252">
        <v>838521.6</v>
      </c>
      <c r="G18" s="252">
        <v>806805.3</v>
      </c>
      <c r="H18" s="252">
        <v>845913.59999999998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2">
        <v>0</v>
      </c>
      <c r="O18" s="252">
        <v>0</v>
      </c>
      <c r="P18" s="252">
        <v>0</v>
      </c>
      <c r="Q18" s="252">
        <v>0</v>
      </c>
      <c r="R18" s="53">
        <f t="shared" si="2"/>
        <v>2491240.5</v>
      </c>
      <c r="S18" s="54">
        <f t="shared" si="3"/>
        <v>1500000</v>
      </c>
      <c r="T18" s="54">
        <f>T$2*12-SUM($S18:S18)-SUMPRODUCT(--($F18:$Q18&lt;=T$2),T$2-$F18:$Q18)</f>
        <v>991240.5</v>
      </c>
      <c r="U18" s="54">
        <f>U$2*12-SUM($S18:T18)-SUMPRODUCT(--($F18:$Q18&lt;=U$2),U$2-$F18:$Q18)</f>
        <v>0</v>
      </c>
    </row>
    <row r="19" spans="1:21" x14ac:dyDescent="0.2">
      <c r="A19" s="37">
        <v>16</v>
      </c>
      <c r="B19" s="49" t="s">
        <v>191</v>
      </c>
      <c r="C19" s="50" t="s">
        <v>192</v>
      </c>
      <c r="D19" s="50" t="s">
        <v>193</v>
      </c>
      <c r="E19" s="51">
        <v>1300001</v>
      </c>
      <c r="F19" s="252">
        <v>2265866.4</v>
      </c>
      <c r="G19" s="252">
        <v>2154124</v>
      </c>
      <c r="H19" s="252">
        <v>2215161.2000000002</v>
      </c>
      <c r="I19" s="252">
        <v>2035479.6</v>
      </c>
      <c r="J19" s="252">
        <v>1818572</v>
      </c>
      <c r="K19" s="252">
        <v>1707647.2</v>
      </c>
      <c r="L19" s="252">
        <v>1593020.8</v>
      </c>
      <c r="M19" s="252">
        <v>1721078.8</v>
      </c>
      <c r="N19" s="252">
        <v>1662900.4</v>
      </c>
      <c r="O19" s="252">
        <v>1580667.2</v>
      </c>
      <c r="P19" s="252">
        <v>1785221.2009999999</v>
      </c>
      <c r="Q19" s="252">
        <v>2110225.6</v>
      </c>
      <c r="R19" s="53">
        <f t="shared" si="2"/>
        <v>22649964.401000004</v>
      </c>
      <c r="S19" s="54">
        <f t="shared" si="3"/>
        <v>6000000</v>
      </c>
      <c r="T19" s="54">
        <f>T$2*12-SUM($S19:S19)-SUMPRODUCT(--($F19:$Q19&lt;=T$2),T$2-$F19:$Q19)</f>
        <v>16649964.401000008</v>
      </c>
      <c r="U19" s="54">
        <f>U$2*12-SUM($S19:T19)-SUMPRODUCT(--($F19:$Q19&lt;=U$2),U$2-$F19:$Q19)</f>
        <v>0</v>
      </c>
    </row>
    <row r="20" spans="1:21" x14ac:dyDescent="0.2">
      <c r="A20" s="37">
        <v>17</v>
      </c>
      <c r="B20" s="49" t="s">
        <v>194</v>
      </c>
      <c r="C20" s="50" t="s">
        <v>195</v>
      </c>
      <c r="D20" s="50" t="s">
        <v>196</v>
      </c>
      <c r="E20" s="51">
        <v>290081951</v>
      </c>
      <c r="F20" s="252">
        <v>2565732</v>
      </c>
      <c r="G20" s="252">
        <v>2548396</v>
      </c>
      <c r="H20" s="252">
        <v>2578436</v>
      </c>
      <c r="I20" s="252">
        <v>2568960</v>
      </c>
      <c r="J20" s="252">
        <v>2396772</v>
      </c>
      <c r="K20" s="252">
        <v>2242924</v>
      </c>
      <c r="L20" s="252">
        <v>2364692</v>
      </c>
      <c r="M20" s="252">
        <v>2552876</v>
      </c>
      <c r="N20" s="252">
        <v>2135364</v>
      </c>
      <c r="O20" s="252">
        <v>2269312</v>
      </c>
      <c r="P20" s="252">
        <v>2315148.0049999999</v>
      </c>
      <c r="Q20" s="252">
        <v>2582968</v>
      </c>
      <c r="R20" s="53">
        <f t="shared" si="2"/>
        <v>29121580.004999999</v>
      </c>
      <c r="S20" s="54">
        <f t="shared" si="3"/>
        <v>6000000</v>
      </c>
      <c r="T20" s="54">
        <f>T$2*12-SUM($S20:S20)-SUMPRODUCT(--($F20:$Q20&lt;=T$2),T$2-$F20:$Q20)</f>
        <v>23121580.005000003</v>
      </c>
      <c r="U20" s="54">
        <f>U$2*12-SUM($S20:T20)-SUMPRODUCT(--($F20:$Q20&lt;=U$2),U$2-$F20:$Q20)</f>
        <v>0</v>
      </c>
    </row>
    <row r="21" spans="1:21" x14ac:dyDescent="0.2">
      <c r="A21" s="37">
        <v>18</v>
      </c>
      <c r="B21" s="49" t="s">
        <v>197</v>
      </c>
      <c r="C21" s="50" t="s">
        <v>198</v>
      </c>
      <c r="D21" s="50" t="s">
        <v>199</v>
      </c>
      <c r="E21" s="51">
        <v>500033</v>
      </c>
      <c r="F21" s="252">
        <v>3705349.37</v>
      </c>
      <c r="G21" s="252">
        <v>3432820.27</v>
      </c>
      <c r="H21" s="252">
        <v>3553735.59</v>
      </c>
      <c r="I21" s="252">
        <v>3322993.19</v>
      </c>
      <c r="J21" s="252">
        <v>3643222.21</v>
      </c>
      <c r="K21" s="252">
        <v>4681372.18</v>
      </c>
      <c r="L21" s="252">
        <v>5246385.99</v>
      </c>
      <c r="M21" s="252">
        <v>5272778.24</v>
      </c>
      <c r="N21" s="252">
        <v>4403257.2799999993</v>
      </c>
      <c r="O21" s="252">
        <v>3850056.18</v>
      </c>
      <c r="P21" s="252">
        <v>3821734.56</v>
      </c>
      <c r="Q21" s="252">
        <v>4057838.66</v>
      </c>
      <c r="R21" s="53">
        <f t="shared" si="2"/>
        <v>48991543.719999999</v>
      </c>
      <c r="S21" s="54">
        <f t="shared" si="3"/>
        <v>6000000</v>
      </c>
      <c r="T21" s="54">
        <f>T$2*12-SUM($S21:S21)-SUMPRODUCT(--($F21:$Q21&lt;=T$2),T$2-$F21:$Q21)</f>
        <v>42991543.719999999</v>
      </c>
      <c r="U21" s="54">
        <f>U$2*12-SUM($S21:T21)-SUMPRODUCT(--($F21:$Q21&lt;=U$2),U$2-$F21:$Q21)</f>
        <v>0</v>
      </c>
    </row>
    <row r="22" spans="1:21" x14ac:dyDescent="0.2">
      <c r="A22" s="37">
        <v>19</v>
      </c>
      <c r="B22" s="49" t="s">
        <v>200</v>
      </c>
      <c r="C22" s="50" t="s">
        <v>201</v>
      </c>
      <c r="D22" s="50" t="s">
        <v>202</v>
      </c>
      <c r="E22" s="51">
        <v>410031282</v>
      </c>
      <c r="F22" s="252">
        <v>3099198.9</v>
      </c>
      <c r="G22" s="252">
        <v>2927685.6</v>
      </c>
      <c r="H22" s="252">
        <v>3034063.2</v>
      </c>
      <c r="I22" s="252">
        <v>2611944.2999999998</v>
      </c>
      <c r="J22" s="252">
        <v>2740319.4</v>
      </c>
      <c r="K22" s="252">
        <v>2751098.7</v>
      </c>
      <c r="L22" s="252">
        <v>2812162.5</v>
      </c>
      <c r="M22" s="252">
        <v>2843326.5</v>
      </c>
      <c r="N22" s="252">
        <v>2835726.6</v>
      </c>
      <c r="O22" s="252">
        <v>3117895.2</v>
      </c>
      <c r="P22" s="252">
        <v>3028023.602</v>
      </c>
      <c r="Q22" s="252">
        <v>3113470.5</v>
      </c>
      <c r="R22" s="53">
        <f t="shared" si="2"/>
        <v>34914915.002000004</v>
      </c>
      <c r="S22" s="54">
        <f t="shared" si="3"/>
        <v>6000000</v>
      </c>
      <c r="T22" s="54">
        <f>T$2*12-SUM($S22:S22)-SUMPRODUCT(--($F22:$Q22&lt;=T$2),T$2-$F22:$Q22)</f>
        <v>28914915.002000004</v>
      </c>
      <c r="U22" s="54">
        <f>U$2*12-SUM($S22:T22)-SUMPRODUCT(--($F22:$Q22&lt;=U$2),U$2-$F22:$Q22)</f>
        <v>0</v>
      </c>
    </row>
    <row r="23" spans="1:21" x14ac:dyDescent="0.2">
      <c r="A23" s="37">
        <v>20</v>
      </c>
      <c r="B23" s="49" t="s">
        <v>203</v>
      </c>
      <c r="C23" s="50" t="s">
        <v>204</v>
      </c>
      <c r="D23" s="50" t="s">
        <v>205</v>
      </c>
      <c r="E23" s="51">
        <v>500032</v>
      </c>
      <c r="F23" s="252">
        <v>2177000</v>
      </c>
      <c r="G23" s="252">
        <v>2071521.2</v>
      </c>
      <c r="H23" s="252">
        <v>2213257.2000000002</v>
      </c>
      <c r="I23" s="252">
        <v>2102864.4</v>
      </c>
      <c r="J23" s="252">
        <v>2137346.4</v>
      </c>
      <c r="K23" s="252">
        <v>2145421.6</v>
      </c>
      <c r="L23" s="252">
        <v>2178472.7999999998</v>
      </c>
      <c r="M23" s="252">
        <v>2250592.4</v>
      </c>
      <c r="N23" s="252">
        <v>2226266</v>
      </c>
      <c r="O23" s="252">
        <v>2270878.4</v>
      </c>
      <c r="P23" s="252">
        <v>2236794</v>
      </c>
      <c r="Q23" s="252">
        <v>2473825.2000000002</v>
      </c>
      <c r="R23" s="53">
        <f t="shared" si="2"/>
        <v>26484239.599999998</v>
      </c>
      <c r="S23" s="54">
        <f t="shared" si="3"/>
        <v>6000000</v>
      </c>
      <c r="T23" s="54">
        <f>T$2*12-SUM($S23:S23)-SUMPRODUCT(--($F23:$Q23&lt;=T$2),T$2-$F23:$Q23)</f>
        <v>20484239.600000001</v>
      </c>
      <c r="U23" s="54">
        <f>U$2*12-SUM($S23:T23)-SUMPRODUCT(--($F23:$Q23&lt;=U$2),U$2-$F23:$Q23)</f>
        <v>0</v>
      </c>
    </row>
    <row r="24" spans="1:21" x14ac:dyDescent="0.2">
      <c r="A24" s="37">
        <v>21</v>
      </c>
      <c r="B24" s="49" t="s">
        <v>206</v>
      </c>
      <c r="C24" s="50" t="s">
        <v>207</v>
      </c>
      <c r="D24" s="50" t="s">
        <v>208</v>
      </c>
      <c r="E24" s="51">
        <v>500034</v>
      </c>
      <c r="F24" s="252">
        <v>1632859.2</v>
      </c>
      <c r="G24" s="252">
        <v>1615776.4</v>
      </c>
      <c r="H24" s="252">
        <v>1618803.2</v>
      </c>
      <c r="I24" s="252">
        <v>1825381.6</v>
      </c>
      <c r="J24" s="252">
        <v>1894648</v>
      </c>
      <c r="K24" s="252">
        <v>2566603.2000000002</v>
      </c>
      <c r="L24" s="252">
        <v>3180343.6</v>
      </c>
      <c r="M24" s="252">
        <v>2686943</v>
      </c>
      <c r="N24" s="252">
        <v>2714675.6</v>
      </c>
      <c r="O24" s="252">
        <v>2361780.4</v>
      </c>
      <c r="P24" s="252">
        <v>1888429.196</v>
      </c>
      <c r="Q24" s="252">
        <v>1921275.9990000001</v>
      </c>
      <c r="R24" s="53">
        <f t="shared" si="2"/>
        <v>25907519.395000003</v>
      </c>
      <c r="S24" s="54">
        <f t="shared" si="3"/>
        <v>6000000</v>
      </c>
      <c r="T24" s="54">
        <f>T$2*12-SUM($S24:S24)-SUMPRODUCT(--($F24:$Q24&lt;=T$2),T$2-$F24:$Q24)</f>
        <v>19907519.395000003</v>
      </c>
      <c r="U24" s="54">
        <f>U$2*12-SUM($S24:T24)-SUMPRODUCT(--($F24:$Q24&lt;=U$2),U$2-$F24:$Q24)</f>
        <v>0</v>
      </c>
    </row>
    <row r="25" spans="1:21" x14ac:dyDescent="0.2">
      <c r="A25" s="37">
        <v>22</v>
      </c>
      <c r="B25" s="49" t="s">
        <v>144</v>
      </c>
      <c r="C25" s="50" t="s">
        <v>142</v>
      </c>
      <c r="D25" s="50">
        <v>2311155858</v>
      </c>
      <c r="E25" s="37" t="s">
        <v>145</v>
      </c>
      <c r="F25" s="252">
        <v>1068314.8</v>
      </c>
      <c r="G25" s="252">
        <v>1275747.2</v>
      </c>
      <c r="H25" s="252">
        <v>1496706.4</v>
      </c>
      <c r="I25" s="252">
        <v>1457517.6</v>
      </c>
      <c r="J25" s="252">
        <v>1753113.6000000001</v>
      </c>
      <c r="K25" s="252">
        <v>1824138.4</v>
      </c>
      <c r="L25" s="252">
        <v>1883439.6</v>
      </c>
      <c r="M25" s="252">
        <v>2028602.8</v>
      </c>
      <c r="N25" s="252">
        <v>2428722.7999999998</v>
      </c>
      <c r="O25" s="252">
        <v>2101173.2000000002</v>
      </c>
      <c r="P25" s="252">
        <v>1894337.2039999999</v>
      </c>
      <c r="Q25" s="252">
        <v>2573032</v>
      </c>
      <c r="R25" s="53">
        <f t="shared" ref="R25:R26" si="4">SUM(F25:Q25)</f>
        <v>21784845.603999998</v>
      </c>
      <c r="S25" s="54">
        <f t="shared" si="3"/>
        <v>6000000</v>
      </c>
      <c r="T25" s="54">
        <f>T$2*12-SUM($S25:S25)-SUMPRODUCT(--($F25:$Q25&lt;=T$2),T$2-$F25:$Q25)</f>
        <v>15784845.604000002</v>
      </c>
      <c r="U25" s="54">
        <f>U$2*12-SUM($S25:T25)-SUMPRODUCT(--($F25:$Q25&lt;=U$2),U$2-$F25:$Q25)</f>
        <v>0</v>
      </c>
    </row>
    <row r="26" spans="1:21" x14ac:dyDescent="0.2">
      <c r="A26" s="37">
        <v>23</v>
      </c>
      <c r="B26" s="49" t="s">
        <v>146</v>
      </c>
      <c r="C26" s="50" t="s">
        <v>147</v>
      </c>
      <c r="D26" s="50">
        <v>7600951015</v>
      </c>
      <c r="E26" s="37" t="s">
        <v>148</v>
      </c>
      <c r="F26" s="252">
        <v>891842.7</v>
      </c>
      <c r="G26" s="252">
        <v>853939.8</v>
      </c>
      <c r="H26" s="252">
        <v>874538.70200000005</v>
      </c>
      <c r="I26" s="252">
        <v>773734.5</v>
      </c>
      <c r="J26" s="252">
        <v>686616</v>
      </c>
      <c r="K26" s="252">
        <v>747684</v>
      </c>
      <c r="L26" s="252">
        <v>708966.3</v>
      </c>
      <c r="M26" s="252">
        <v>713080.2</v>
      </c>
      <c r="N26" s="252">
        <v>734229.3</v>
      </c>
      <c r="O26" s="252">
        <v>749189.7</v>
      </c>
      <c r="P26" s="252">
        <v>751272.89599999995</v>
      </c>
      <c r="Q26" s="252">
        <v>842228.1</v>
      </c>
      <c r="R26" s="53">
        <f t="shared" si="4"/>
        <v>9327322.1979999989</v>
      </c>
      <c r="S26" s="54">
        <f t="shared" si="3"/>
        <v>6000000</v>
      </c>
      <c r="T26" s="54">
        <f>T$2*12-SUM($S26:S26)-SUMPRODUCT(--($F26:$Q26&lt;=T$2),T$2-$F26:$Q26)</f>
        <v>3327322.1979999989</v>
      </c>
      <c r="U26" s="54">
        <f>U$2*12-SUM($S26:T26)-SUMPRODUCT(--($F26:$Q26&lt;=U$2),U$2-$F26:$Q26)</f>
        <v>0</v>
      </c>
    </row>
    <row r="27" spans="1:21" ht="13.9" customHeight="1" thickBot="1" x14ac:dyDescent="0.25">
      <c r="A27" s="37" t="s">
        <v>209</v>
      </c>
      <c r="C27" s="58"/>
      <c r="E27" s="37" t="s">
        <v>210</v>
      </c>
      <c r="F27" s="62">
        <f t="shared" ref="F27:Q27" si="5">SUM(F4:F26)</f>
        <v>84550821.570000008</v>
      </c>
      <c r="G27" s="62">
        <f t="shared" si="5"/>
        <v>79534755.620000005</v>
      </c>
      <c r="H27" s="62">
        <f t="shared" si="5"/>
        <v>88913578.342000023</v>
      </c>
      <c r="I27" s="62">
        <f t="shared" si="5"/>
        <v>83737853.36499998</v>
      </c>
      <c r="J27" s="62">
        <f t="shared" si="5"/>
        <v>81398172.859999999</v>
      </c>
      <c r="K27" s="62">
        <f t="shared" si="5"/>
        <v>87645833.030000001</v>
      </c>
      <c r="L27" s="62">
        <f t="shared" si="5"/>
        <v>89295175.189999983</v>
      </c>
      <c r="M27" s="62">
        <f t="shared" si="5"/>
        <v>91978388.570000008</v>
      </c>
      <c r="N27" s="62">
        <f t="shared" si="5"/>
        <v>88302109.879999995</v>
      </c>
      <c r="O27" s="62">
        <f t="shared" si="5"/>
        <v>88954601.505000025</v>
      </c>
      <c r="P27" s="62">
        <f t="shared" si="5"/>
        <v>85883758.59799999</v>
      </c>
      <c r="Q27" s="62">
        <f t="shared" si="5"/>
        <v>84390765.531000003</v>
      </c>
      <c r="R27" s="64">
        <f>IF(ROUND(SUM(R4:R26),0)&lt;&gt;ROUND(SUM(F27:Q27),0),#VALUE!,SUM(R4:R26))</f>
        <v>1034585814.0609999</v>
      </c>
      <c r="S27" s="65">
        <f>SUM(S4:S26)</f>
        <v>133500000</v>
      </c>
      <c r="T27" s="65">
        <f>SUM(T4:T26)</f>
        <v>517109775.56100005</v>
      </c>
      <c r="U27" s="65">
        <f>SUM(U4:U26)</f>
        <v>383976038.5</v>
      </c>
    </row>
    <row r="28" spans="1:21" ht="13.9" customHeight="1" thickTop="1" x14ac:dyDescent="0.2">
      <c r="F28" s="56"/>
      <c r="G28" s="56"/>
      <c r="H28" s="56"/>
      <c r="I28" s="56"/>
      <c r="J28" s="56"/>
      <c r="K28" s="56"/>
      <c r="L28" s="56"/>
      <c r="M28" s="56"/>
      <c r="N28" s="56"/>
      <c r="O28" s="66"/>
      <c r="P28" s="66"/>
      <c r="Q28" s="67"/>
      <c r="S28" s="68"/>
      <c r="T28" s="68"/>
      <c r="U28" s="69">
        <f>SUM(S27:U27)</f>
        <v>1034585814.0610001</v>
      </c>
    </row>
    <row r="29" spans="1:21" ht="12.75" customHeight="1" x14ac:dyDescent="0.2">
      <c r="A29" s="37" t="s">
        <v>211</v>
      </c>
      <c r="F29" s="252">
        <v>83424071.430000007</v>
      </c>
      <c r="G29" s="252">
        <v>84550821.569999993</v>
      </c>
      <c r="H29" s="252">
        <v>79534755.620000005</v>
      </c>
      <c r="I29" s="252">
        <v>88913578.342000008</v>
      </c>
      <c r="J29" s="252">
        <v>83737853.36500001</v>
      </c>
      <c r="K29" s="252">
        <v>81398172.859999999</v>
      </c>
      <c r="L29" s="252">
        <v>87645833.030000001</v>
      </c>
      <c r="M29" s="252">
        <v>89295175.189999998</v>
      </c>
      <c r="N29" s="252">
        <v>91978388.568000004</v>
      </c>
      <c r="O29" s="252">
        <v>88302109.879999995</v>
      </c>
      <c r="P29" s="252">
        <v>88615001.504999995</v>
      </c>
      <c r="Q29" s="271">
        <v>81939996.59799999</v>
      </c>
      <c r="R29" s="53">
        <f>SUM(F29:Q29)</f>
        <v>1029335757.9579999</v>
      </c>
    </row>
    <row r="30" spans="1:21" ht="12.75" customHeight="1" x14ac:dyDescent="0.2">
      <c r="A30" s="45" t="s">
        <v>212</v>
      </c>
      <c r="B30" s="45"/>
      <c r="C30" s="45"/>
      <c r="D30" s="45"/>
      <c r="F30" s="252">
        <v>83625209</v>
      </c>
      <c r="G30" s="252">
        <v>79439138</v>
      </c>
      <c r="H30" s="252">
        <v>88665576</v>
      </c>
      <c r="I30" s="252">
        <v>84356951</v>
      </c>
      <c r="J30" s="252">
        <v>80807475</v>
      </c>
      <c r="K30" s="252">
        <v>87774134</v>
      </c>
      <c r="L30" s="252">
        <v>89259226</v>
      </c>
      <c r="M30" s="252">
        <v>92631840</v>
      </c>
      <c r="N30" s="252">
        <v>88547307</v>
      </c>
      <c r="O30" s="252">
        <v>88710140</v>
      </c>
      <c r="P30" s="252">
        <v>85625963</v>
      </c>
      <c r="Q30" s="271">
        <v>87122791</v>
      </c>
      <c r="R30" s="53">
        <f>SUM(F30:Q30)</f>
        <v>1036565750</v>
      </c>
    </row>
    <row r="31" spans="1:21" ht="12.75" customHeight="1" x14ac:dyDescent="0.2">
      <c r="A31" s="45" t="s">
        <v>213</v>
      </c>
      <c r="B31" s="45"/>
      <c r="C31" s="45"/>
      <c r="D31" s="45"/>
      <c r="F31" s="252">
        <v>-83626479</v>
      </c>
      <c r="G31" s="252">
        <v>-83625209</v>
      </c>
      <c r="H31" s="252">
        <v>-79439138</v>
      </c>
      <c r="I31" s="252">
        <v>-88665576</v>
      </c>
      <c r="J31" s="252">
        <v>-84356951</v>
      </c>
      <c r="K31" s="252">
        <v>-80807475</v>
      </c>
      <c r="L31" s="252">
        <v>-87774134</v>
      </c>
      <c r="M31" s="252">
        <v>-89259226</v>
      </c>
      <c r="N31" s="252">
        <v>-92631840</v>
      </c>
      <c r="O31" s="252">
        <v>-88547307</v>
      </c>
      <c r="P31" s="252">
        <v>-88710140</v>
      </c>
      <c r="Q31" s="271">
        <v>-85238540</v>
      </c>
      <c r="R31" s="53">
        <f t="shared" ref="R31:R34" si="6">SUM(F31:Q31)</f>
        <v>-1032682015</v>
      </c>
      <c r="S31" s="89"/>
    </row>
    <row r="32" spans="1:21" ht="12.75" customHeight="1" x14ac:dyDescent="0.25">
      <c r="A32" s="45" t="s">
        <v>283</v>
      </c>
      <c r="B32" s="45"/>
      <c r="C32" s="45"/>
      <c r="D32" s="45"/>
      <c r="F32" s="242">
        <f>SUM(F29:F31)</f>
        <v>83422801.430000007</v>
      </c>
      <c r="G32" s="242">
        <f t="shared" ref="G32:R32" si="7">SUM(G29:G31)</f>
        <v>80364750.569999993</v>
      </c>
      <c r="H32" s="242">
        <f t="shared" si="7"/>
        <v>88761193.620000005</v>
      </c>
      <c r="I32" s="242">
        <f t="shared" si="7"/>
        <v>84604953.342000008</v>
      </c>
      <c r="J32" s="242">
        <f t="shared" si="7"/>
        <v>80188377.36500001</v>
      </c>
      <c r="K32" s="242">
        <f t="shared" si="7"/>
        <v>88364831.860000014</v>
      </c>
      <c r="L32" s="242">
        <f t="shared" si="7"/>
        <v>89130925.030000001</v>
      </c>
      <c r="M32" s="242">
        <f t="shared" si="7"/>
        <v>92667789.189999998</v>
      </c>
      <c r="N32" s="242">
        <f t="shared" si="7"/>
        <v>87893855.568000019</v>
      </c>
      <c r="O32" s="242">
        <f t="shared" si="7"/>
        <v>88464942.879999995</v>
      </c>
      <c r="P32" s="242">
        <f t="shared" si="7"/>
        <v>85530824.504999995</v>
      </c>
      <c r="Q32" s="242">
        <f t="shared" si="7"/>
        <v>83824247.59799999</v>
      </c>
      <c r="R32" s="243">
        <f t="shared" si="7"/>
        <v>1033219492.9579999</v>
      </c>
    </row>
    <row r="33" spans="1:21" ht="12.75" customHeight="1" x14ac:dyDescent="0.2">
      <c r="A33" s="72" t="s">
        <v>214</v>
      </c>
      <c r="B33" s="72"/>
      <c r="C33" s="72"/>
      <c r="D33" s="247"/>
      <c r="F33" s="267">
        <f>F27-F32-F34</f>
        <v>925612.57000000775</v>
      </c>
      <c r="G33" s="267">
        <f>G27-G32-G34</f>
        <v>95617.62000001967</v>
      </c>
      <c r="H33" s="267">
        <f>H27-H32-H34</f>
        <v>248002.34200003743</v>
      </c>
      <c r="I33" s="267">
        <f>I27-I32-I34</f>
        <v>-619097.63499999046</v>
      </c>
      <c r="J33" s="267">
        <f t="shared" ref="J33:Q33" si="8">J27-J32-J34</f>
        <v>590697.8599999994</v>
      </c>
      <c r="K33" s="267">
        <f t="shared" si="8"/>
        <v>-128300.97000001371</v>
      </c>
      <c r="L33" s="267">
        <f t="shared" si="8"/>
        <v>35949.189999967813</v>
      </c>
      <c r="M33" s="267">
        <f t="shared" si="8"/>
        <v>-653451.43000002205</v>
      </c>
      <c r="N33" s="267">
        <f t="shared" si="8"/>
        <v>-245197.11800004542</v>
      </c>
      <c r="O33" s="268">
        <f t="shared" si="8"/>
        <v>244461.50699998438</v>
      </c>
      <c r="P33" s="268">
        <f t="shared" si="8"/>
        <v>597395.59999997914</v>
      </c>
      <c r="Q33" s="269">
        <f t="shared" si="8"/>
        <v>1163913.5329999924</v>
      </c>
      <c r="R33" s="53">
        <f t="shared" si="6"/>
        <v>2255603.0689999163</v>
      </c>
    </row>
    <row r="34" spans="1:21" ht="12.75" customHeight="1" x14ac:dyDescent="0.2">
      <c r="A34" s="72" t="s">
        <v>215</v>
      </c>
      <c r="B34" s="72"/>
      <c r="C34" s="72"/>
      <c r="D34" s="72"/>
      <c r="F34" s="267">
        <f>-(F29+F31)</f>
        <v>202407.56999999285</v>
      </c>
      <c r="G34" s="267">
        <f>-F33</f>
        <v>-925612.57000000775</v>
      </c>
      <c r="H34" s="267">
        <f>-G33</f>
        <v>-95617.62000001967</v>
      </c>
      <c r="I34" s="267">
        <f>-H33</f>
        <v>-248002.34200003743</v>
      </c>
      <c r="J34" s="267">
        <f t="shared" ref="J34:Q34" si="9">-I33</f>
        <v>619097.63499999046</v>
      </c>
      <c r="K34" s="267">
        <f t="shared" si="9"/>
        <v>-590697.8599999994</v>
      </c>
      <c r="L34" s="267">
        <f t="shared" si="9"/>
        <v>128300.97000001371</v>
      </c>
      <c r="M34" s="267">
        <f t="shared" si="9"/>
        <v>-35949.189999967813</v>
      </c>
      <c r="N34" s="267">
        <f t="shared" si="9"/>
        <v>653451.43000002205</v>
      </c>
      <c r="O34" s="268">
        <f t="shared" si="9"/>
        <v>245197.11800004542</v>
      </c>
      <c r="P34" s="268">
        <f t="shared" si="9"/>
        <v>-244461.50699998438</v>
      </c>
      <c r="Q34" s="269">
        <f t="shared" si="9"/>
        <v>-597395.59999997914</v>
      </c>
      <c r="R34" s="53">
        <f t="shared" si="6"/>
        <v>-889281.9659999311</v>
      </c>
    </row>
    <row r="35" spans="1:21" ht="12.75" customHeight="1" x14ac:dyDescent="0.2">
      <c r="A35" s="45"/>
      <c r="B35" s="72"/>
      <c r="C35" s="72"/>
      <c r="D35" s="72"/>
      <c r="F35" s="52"/>
      <c r="G35" s="52"/>
      <c r="H35" s="52"/>
      <c r="I35" s="52"/>
      <c r="J35" s="52"/>
      <c r="K35" s="52"/>
      <c r="L35" s="52"/>
      <c r="M35" s="52"/>
      <c r="N35" s="52"/>
      <c r="O35" s="70"/>
      <c r="P35" s="70"/>
      <c r="Q35" s="71"/>
      <c r="R35" s="53"/>
    </row>
    <row r="36" spans="1:21" ht="12.75" customHeight="1" x14ac:dyDescent="0.2">
      <c r="A36" s="73"/>
      <c r="B36" s="73"/>
      <c r="C36" s="73"/>
      <c r="D36" s="73"/>
      <c r="F36" s="52"/>
      <c r="G36" s="52"/>
      <c r="H36" s="52"/>
      <c r="I36" s="52"/>
      <c r="J36" s="52"/>
      <c r="K36" s="52"/>
      <c r="L36" s="52"/>
      <c r="M36" s="52"/>
      <c r="N36" s="52"/>
      <c r="O36" s="70"/>
      <c r="P36" s="70"/>
      <c r="Q36" s="71"/>
      <c r="R36" s="53"/>
    </row>
    <row r="37" spans="1:21" ht="12.75" customHeight="1" thickBot="1" x14ac:dyDescent="0.25">
      <c r="A37" s="74" t="s">
        <v>216</v>
      </c>
      <c r="B37" s="74"/>
      <c r="C37" s="74"/>
      <c r="D37" s="74"/>
      <c r="F37" s="62">
        <f>SUM(F32:F36)</f>
        <v>84550821.570000008</v>
      </c>
      <c r="G37" s="62">
        <f t="shared" ref="G37:Q37" si="10">SUM(G32:G36)</f>
        <v>79534755.620000005</v>
      </c>
      <c r="H37" s="62">
        <f t="shared" si="10"/>
        <v>88913578.342000023</v>
      </c>
      <c r="I37" s="62">
        <f t="shared" si="10"/>
        <v>83737853.36499998</v>
      </c>
      <c r="J37" s="62">
        <f t="shared" si="10"/>
        <v>81398172.859999999</v>
      </c>
      <c r="K37" s="62">
        <f t="shared" si="10"/>
        <v>87645833.030000001</v>
      </c>
      <c r="L37" s="62">
        <f t="shared" si="10"/>
        <v>89295175.189999983</v>
      </c>
      <c r="M37" s="62">
        <f t="shared" si="10"/>
        <v>91978388.570000008</v>
      </c>
      <c r="N37" s="62">
        <f t="shared" si="10"/>
        <v>88302109.879999995</v>
      </c>
      <c r="O37" s="62">
        <f t="shared" si="10"/>
        <v>88954601.505000025</v>
      </c>
      <c r="P37" s="62">
        <f t="shared" si="10"/>
        <v>85883758.59799999</v>
      </c>
      <c r="Q37" s="62">
        <f t="shared" si="10"/>
        <v>84390765.531000003</v>
      </c>
      <c r="R37" s="75">
        <f>IF(ROUND(SUM(R32:R36),0)&lt;&gt;ROUND(SUM(F37:Q37),0),#VALUE!,SUM(R32:R36))</f>
        <v>1034585814.0609999</v>
      </c>
    </row>
    <row r="38" spans="1:21" ht="12.75" customHeight="1" thickTop="1" x14ac:dyDescent="0.2">
      <c r="B38" s="74"/>
      <c r="C38" s="74"/>
      <c r="D38" s="74"/>
      <c r="F38" s="76">
        <f>F37-F27</f>
        <v>0</v>
      </c>
      <c r="G38" s="76">
        <f t="shared" ref="G38:I38" si="11">G37-G27</f>
        <v>0</v>
      </c>
      <c r="H38" s="76">
        <f t="shared" si="11"/>
        <v>0</v>
      </c>
      <c r="I38" s="76">
        <f t="shared" si="11"/>
        <v>0</v>
      </c>
      <c r="J38" s="76">
        <f>J37-J27</f>
        <v>0</v>
      </c>
      <c r="K38" s="76">
        <f t="shared" ref="K38:Q38" si="12">K37-K27</f>
        <v>0</v>
      </c>
      <c r="L38" s="76">
        <f t="shared" si="12"/>
        <v>0</v>
      </c>
      <c r="M38" s="76">
        <f t="shared" si="12"/>
        <v>0</v>
      </c>
      <c r="N38" s="76">
        <f t="shared" si="12"/>
        <v>0</v>
      </c>
      <c r="O38" s="77">
        <f t="shared" si="12"/>
        <v>0</v>
      </c>
      <c r="P38" s="77">
        <f t="shared" si="12"/>
        <v>0</v>
      </c>
      <c r="Q38" s="78">
        <f t="shared" si="12"/>
        <v>0</v>
      </c>
      <c r="R38" s="79">
        <f>R37-R27</f>
        <v>0</v>
      </c>
    </row>
    <row r="39" spans="1:21" ht="13.15" customHeight="1" x14ac:dyDescent="0.2">
      <c r="B39" s="80"/>
      <c r="C39" s="80"/>
      <c r="D39" s="80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82"/>
      <c r="Q39" s="83"/>
      <c r="R39" s="84"/>
    </row>
    <row r="40" spans="1:21" ht="13.15" customHeight="1" x14ac:dyDescent="0.2">
      <c r="B40" s="80"/>
      <c r="C40" s="80"/>
      <c r="D40" s="80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82"/>
      <c r="Q40" s="83"/>
    </row>
    <row r="41" spans="1:21" ht="13.15" customHeight="1" x14ac:dyDescent="0.2">
      <c r="A41" s="43" t="s">
        <v>217</v>
      </c>
      <c r="B41" s="43"/>
      <c r="C41" s="43"/>
      <c r="D41" s="43"/>
      <c r="F41" s="85">
        <f>F$3</f>
        <v>44227</v>
      </c>
      <c r="G41" s="85">
        <f t="shared" ref="G41:Q41" si="13">G$3</f>
        <v>44255</v>
      </c>
      <c r="H41" s="85">
        <f t="shared" si="13"/>
        <v>44286</v>
      </c>
      <c r="I41" s="85">
        <f t="shared" si="13"/>
        <v>44316</v>
      </c>
      <c r="J41" s="85">
        <f t="shared" si="13"/>
        <v>44347</v>
      </c>
      <c r="K41" s="85">
        <f t="shared" si="13"/>
        <v>44377</v>
      </c>
      <c r="L41" s="85">
        <f t="shared" si="13"/>
        <v>44408</v>
      </c>
      <c r="M41" s="85">
        <f t="shared" si="13"/>
        <v>44439</v>
      </c>
      <c r="N41" s="85">
        <f t="shared" si="13"/>
        <v>44469</v>
      </c>
      <c r="O41" s="47">
        <f t="shared" si="13"/>
        <v>44500</v>
      </c>
      <c r="P41" s="47">
        <f t="shared" si="13"/>
        <v>44530</v>
      </c>
      <c r="Q41" s="86">
        <f t="shared" si="13"/>
        <v>44561</v>
      </c>
      <c r="R41" s="40" t="s">
        <v>13</v>
      </c>
      <c r="S41" s="38" t="s">
        <v>218</v>
      </c>
      <c r="T41" s="38" t="s">
        <v>219</v>
      </c>
      <c r="U41" s="38"/>
    </row>
    <row r="42" spans="1:21" ht="13.15" customHeight="1" x14ac:dyDescent="0.2">
      <c r="A42" s="37">
        <v>1</v>
      </c>
      <c r="B42" s="87" t="str">
        <f t="shared" ref="B42:D62" si="14">B4</f>
        <v>Goodrich - North 2311008572</v>
      </c>
      <c r="C42" s="88" t="str">
        <f t="shared" si="14"/>
        <v>2317650000</v>
      </c>
      <c r="D42" s="88" t="str">
        <f t="shared" si="14"/>
        <v>2311008572</v>
      </c>
      <c r="E42" s="49">
        <v>770037736</v>
      </c>
      <c r="F42" s="252">
        <v>3380.2170000000001</v>
      </c>
      <c r="G42" s="252">
        <v>4143.0740000000005</v>
      </c>
      <c r="H42" s="252">
        <v>4652.8510000000006</v>
      </c>
      <c r="I42" s="252">
        <v>4035.625</v>
      </c>
      <c r="J42" s="252">
        <v>4345.8959999999997</v>
      </c>
      <c r="K42" s="252">
        <v>5453.5770000000002</v>
      </c>
      <c r="L42" s="252">
        <v>5576.2489999999998</v>
      </c>
      <c r="M42" s="252">
        <v>5202.8559999999998</v>
      </c>
      <c r="N42" s="252">
        <v>6112.1819999999998</v>
      </c>
      <c r="O42" s="252">
        <v>6384.05</v>
      </c>
      <c r="P42" s="252">
        <v>5707.4679999999998</v>
      </c>
      <c r="Q42" s="252">
        <v>5371.076</v>
      </c>
      <c r="R42" s="53">
        <f t="shared" ref="R42:R64" si="15">SUM(F42:Q42)</f>
        <v>60365.121000000006</v>
      </c>
      <c r="S42" s="89">
        <f>MAX(F42:Q42)</f>
        <v>6384.05</v>
      </c>
      <c r="T42" s="90">
        <f>INDEX($F$41:$Q$41,MATCH(S42,$F42:$Q42,0))</f>
        <v>44500</v>
      </c>
      <c r="U42" s="40"/>
    </row>
    <row r="43" spans="1:21" ht="13.15" customHeight="1" x14ac:dyDescent="0.2">
      <c r="A43" s="37">
        <v>2</v>
      </c>
      <c r="B43" s="87" t="str">
        <f t="shared" si="14"/>
        <v>Boise Cascade Plywood</v>
      </c>
      <c r="C43" s="88" t="str">
        <f t="shared" si="14"/>
        <v>8927100000</v>
      </c>
      <c r="D43" s="88" t="str">
        <f t="shared" si="14"/>
        <v>8920023327</v>
      </c>
      <c r="E43" s="49">
        <v>500017</v>
      </c>
      <c r="F43" s="252">
        <v>5293.4079999999994</v>
      </c>
      <c r="G43" s="252">
        <v>5236.9960000000001</v>
      </c>
      <c r="H43" s="252">
        <v>5209.2260000000006</v>
      </c>
      <c r="I43" s="252">
        <v>5240.2890000000007</v>
      </c>
      <c r="J43" s="252">
        <v>5236.9670000000006</v>
      </c>
      <c r="K43" s="252">
        <v>5179.634</v>
      </c>
      <c r="L43" s="252">
        <v>5125.0339999999997</v>
      </c>
      <c r="M43" s="252">
        <v>5329.0249999999996</v>
      </c>
      <c r="N43" s="252">
        <v>5453.5609999999997</v>
      </c>
      <c r="O43" s="252">
        <v>5331.7919999999995</v>
      </c>
      <c r="P43" s="252">
        <v>5250.6059999999998</v>
      </c>
      <c r="Q43" s="252">
        <v>5412.7309999999998</v>
      </c>
      <c r="R43" s="53">
        <f>SUM(F43:Q43)</f>
        <v>63299.269000000008</v>
      </c>
      <c r="S43" s="89">
        <f t="shared" ref="S43:S62" si="16">MAX(F43:Q43)</f>
        <v>5453.5609999999997</v>
      </c>
      <c r="T43" s="90">
        <f t="shared" ref="T43:T62" si="17">INDEX($F$41:$Q$41,MATCH(S43,$F43:$Q43,0))</f>
        <v>44469</v>
      </c>
      <c r="U43" s="40"/>
    </row>
    <row r="44" spans="1:21" ht="13.15" customHeight="1" x14ac:dyDescent="0.2">
      <c r="A44" s="37">
        <v>3</v>
      </c>
      <c r="B44" s="87" t="str">
        <f t="shared" si="14"/>
        <v>Boise Cascade Sawmill</v>
      </c>
      <c r="C44" s="88" t="str">
        <f t="shared" si="14"/>
        <v>9927100000</v>
      </c>
      <c r="D44" s="88" t="str">
        <f t="shared" si="14"/>
        <v>9920023116</v>
      </c>
      <c r="E44" s="49">
        <v>500018</v>
      </c>
      <c r="F44" s="252">
        <v>2978.114</v>
      </c>
      <c r="G44" s="252">
        <v>2898.47</v>
      </c>
      <c r="H44" s="252">
        <v>2861.596</v>
      </c>
      <c r="I44" s="252">
        <v>2750.0309999999999</v>
      </c>
      <c r="J44" s="252">
        <v>2696.4690000000001</v>
      </c>
      <c r="K44" s="252">
        <v>2667.03</v>
      </c>
      <c r="L44" s="252">
        <v>2554.2420000000002</v>
      </c>
      <c r="M44" s="252">
        <v>2481.9119999999998</v>
      </c>
      <c r="N44" s="252">
        <v>2602.556</v>
      </c>
      <c r="O44" s="252">
        <v>2740.3739999999998</v>
      </c>
      <c r="P44" s="252">
        <v>2728.799</v>
      </c>
      <c r="Q44" s="252">
        <v>2991.3989999999999</v>
      </c>
      <c r="R44" s="53">
        <f t="shared" si="15"/>
        <v>32950.991999999998</v>
      </c>
      <c r="S44" s="89">
        <f t="shared" si="16"/>
        <v>2991.3989999999999</v>
      </c>
      <c r="T44" s="90">
        <f t="shared" si="17"/>
        <v>44561</v>
      </c>
      <c r="U44" s="40"/>
    </row>
    <row r="45" spans="1:21" ht="13.15" customHeight="1" x14ac:dyDescent="0.2">
      <c r="A45" s="37">
        <v>4</v>
      </c>
      <c r="B45" s="87" t="str">
        <f t="shared" si="14"/>
        <v>City of Spokane</v>
      </c>
      <c r="C45" s="88" t="str">
        <f t="shared" si="14"/>
        <v>8972300000</v>
      </c>
      <c r="D45" s="88" t="str">
        <f t="shared" si="14"/>
        <v>8970099313</v>
      </c>
      <c r="E45" s="49">
        <v>1900002</v>
      </c>
      <c r="F45" s="252">
        <v>2681.3679999999999</v>
      </c>
      <c r="G45" s="252">
        <v>2838.569</v>
      </c>
      <c r="H45" s="252">
        <v>3476.18</v>
      </c>
      <c r="I45" s="252">
        <v>3425.1329999999998</v>
      </c>
      <c r="J45" s="252">
        <v>3513.3609999999999</v>
      </c>
      <c r="K45" s="252">
        <v>3796.1040000000003</v>
      </c>
      <c r="L45" s="252">
        <v>3482.692</v>
      </c>
      <c r="M45" s="252">
        <v>3366.4119999999998</v>
      </c>
      <c r="N45" s="252">
        <v>3646.8890000000001</v>
      </c>
      <c r="O45" s="252">
        <v>3816.4839999999999</v>
      </c>
      <c r="P45" s="252">
        <v>3629.9490000000001</v>
      </c>
      <c r="Q45" s="252">
        <v>2725.596</v>
      </c>
      <c r="R45" s="53">
        <f t="shared" si="15"/>
        <v>40398.736999999994</v>
      </c>
      <c r="S45" s="89">
        <f t="shared" si="16"/>
        <v>3816.4839999999999</v>
      </c>
      <c r="T45" s="90">
        <f t="shared" si="17"/>
        <v>44500</v>
      </c>
      <c r="U45" s="40"/>
    </row>
    <row r="46" spans="1:21" ht="13.15" customHeight="1" x14ac:dyDescent="0.2">
      <c r="A46" s="37">
        <v>5</v>
      </c>
      <c r="B46" s="87" t="str">
        <f t="shared" si="14"/>
        <v>Empire Health Services</v>
      </c>
      <c r="C46" s="88" t="str">
        <f t="shared" si="14"/>
        <v>0082300000</v>
      </c>
      <c r="D46" s="88" t="str">
        <f t="shared" si="14"/>
        <v>0080095044</v>
      </c>
      <c r="E46" s="49">
        <v>1900011</v>
      </c>
      <c r="F46" s="252">
        <v>2699.529</v>
      </c>
      <c r="G46" s="252">
        <v>2745.877</v>
      </c>
      <c r="H46" s="252">
        <v>2631.96</v>
      </c>
      <c r="I46" s="252">
        <v>3270.2710000000002</v>
      </c>
      <c r="J46" s="252">
        <v>3582.7780000000002</v>
      </c>
      <c r="K46" s="252">
        <v>4008.44</v>
      </c>
      <c r="L46" s="252">
        <v>3845.4780000000001</v>
      </c>
      <c r="M46" s="252">
        <v>3862.64</v>
      </c>
      <c r="N46" s="252">
        <v>3436.373</v>
      </c>
      <c r="O46" s="252">
        <v>3313.6179999999999</v>
      </c>
      <c r="P46" s="252">
        <v>2585.5819999999999</v>
      </c>
      <c r="Q46" s="252">
        <v>2746.9360000000001</v>
      </c>
      <c r="R46" s="53">
        <f t="shared" si="15"/>
        <v>38729.482000000004</v>
      </c>
      <c r="S46" s="89">
        <f t="shared" si="16"/>
        <v>4008.44</v>
      </c>
      <c r="T46" s="90">
        <f t="shared" si="17"/>
        <v>44377</v>
      </c>
      <c r="U46" s="40"/>
    </row>
    <row r="47" spans="1:21" ht="13.15" customHeight="1" x14ac:dyDescent="0.2">
      <c r="A47" s="37">
        <v>6</v>
      </c>
      <c r="B47" s="87" t="str">
        <f t="shared" si="14"/>
        <v>Gonzaga University</v>
      </c>
      <c r="C47" s="88" t="str">
        <f t="shared" si="14"/>
        <v>1423850000</v>
      </c>
      <c r="D47" s="88" t="str">
        <f t="shared" si="14"/>
        <v>1420028876</v>
      </c>
      <c r="E47" s="49">
        <v>622922</v>
      </c>
      <c r="F47" s="252">
        <v>4276.12</v>
      </c>
      <c r="G47" s="252">
        <v>4344.3230000000003</v>
      </c>
      <c r="H47" s="252">
        <v>3915.3540000000003</v>
      </c>
      <c r="I47" s="252">
        <v>4170.6000000000004</v>
      </c>
      <c r="J47" s="252">
        <v>4208.982</v>
      </c>
      <c r="K47" s="252">
        <v>5115.6399999999994</v>
      </c>
      <c r="L47" s="252">
        <v>4863.8060000000005</v>
      </c>
      <c r="M47" s="252">
        <v>4732.2629999999999</v>
      </c>
      <c r="N47" s="252">
        <v>5091.6540000000005</v>
      </c>
      <c r="O47" s="252">
        <v>4717.6109999999999</v>
      </c>
      <c r="P47" s="252">
        <v>4474.6289999999999</v>
      </c>
      <c r="Q47" s="252">
        <v>4348.7539999999999</v>
      </c>
      <c r="R47" s="53">
        <f t="shared" si="15"/>
        <v>54259.735999999997</v>
      </c>
      <c r="S47" s="89">
        <f t="shared" si="16"/>
        <v>5115.6399999999994</v>
      </c>
      <c r="T47" s="90">
        <f t="shared" si="17"/>
        <v>44377</v>
      </c>
      <c r="U47" s="40"/>
    </row>
    <row r="48" spans="1:21" ht="13.15" customHeight="1" x14ac:dyDescent="0.2">
      <c r="A48" s="37">
        <v>7</v>
      </c>
      <c r="B48" s="87" t="str">
        <f t="shared" si="14"/>
        <v>Honeywell Electronics</v>
      </c>
      <c r="C48" s="88" t="str">
        <f t="shared" si="14"/>
        <v>0177400000</v>
      </c>
      <c r="D48" s="88" t="str">
        <f t="shared" si="14"/>
        <v>0170122152</v>
      </c>
      <c r="E48" s="49">
        <v>2304636</v>
      </c>
      <c r="F48" s="252">
        <v>3048.9209999999998</v>
      </c>
      <c r="G48" s="252">
        <v>3097.51</v>
      </c>
      <c r="H48" s="252">
        <v>3008.3209999999999</v>
      </c>
      <c r="I48" s="252">
        <v>3030.3490000000002</v>
      </c>
      <c r="J48" s="252">
        <v>3044.38</v>
      </c>
      <c r="K48" s="252">
        <v>3866.43</v>
      </c>
      <c r="L48" s="252">
        <v>3713.7919999999999</v>
      </c>
      <c r="M48" s="252">
        <v>3633.1080000000002</v>
      </c>
      <c r="N48" s="252">
        <v>3443.0720000000001</v>
      </c>
      <c r="O48" s="252">
        <v>3273.2150000000001</v>
      </c>
      <c r="P48" s="252">
        <v>3313.84</v>
      </c>
      <c r="Q48" s="252">
        <v>3075.5889999999999</v>
      </c>
      <c r="R48" s="53">
        <f t="shared" si="15"/>
        <v>39548.526999999995</v>
      </c>
      <c r="S48" s="89">
        <f t="shared" si="16"/>
        <v>3866.43</v>
      </c>
      <c r="T48" s="90">
        <f t="shared" si="17"/>
        <v>44377</v>
      </c>
      <c r="U48" s="40"/>
    </row>
    <row r="49" spans="1:21" ht="13.15" customHeight="1" x14ac:dyDescent="0.2">
      <c r="A49" s="37">
        <v>8</v>
      </c>
      <c r="B49" s="87" t="str">
        <f t="shared" si="14"/>
        <v>Huntwood Industries</v>
      </c>
      <c r="C49" s="88" t="str">
        <f t="shared" si="14"/>
        <v>8649170000</v>
      </c>
      <c r="D49" s="88" t="str">
        <f t="shared" si="14"/>
        <v>8640841982</v>
      </c>
      <c r="E49" s="49">
        <v>610074869</v>
      </c>
      <c r="F49" s="252">
        <v>4212.0470000000005</v>
      </c>
      <c r="G49" s="252">
        <v>4246.95</v>
      </c>
      <c r="H49" s="252">
        <v>4260.0689999999995</v>
      </c>
      <c r="I49" s="252">
        <v>4246.7209999999995</v>
      </c>
      <c r="J49" s="252">
        <v>4176.8969999999999</v>
      </c>
      <c r="K49" s="252">
        <v>4739.3940000000002</v>
      </c>
      <c r="L49" s="252">
        <v>4743.5479999999998</v>
      </c>
      <c r="M49" s="252">
        <v>4479.652</v>
      </c>
      <c r="N49" s="252">
        <v>4338.5410000000002</v>
      </c>
      <c r="O49" s="252">
        <v>4188.16</v>
      </c>
      <c r="P49" s="252">
        <v>4201.4049999999997</v>
      </c>
      <c r="Q49" s="252">
        <v>4205.7290000000003</v>
      </c>
      <c r="R49" s="53">
        <f t="shared" si="15"/>
        <v>52039.11299999999</v>
      </c>
      <c r="S49" s="89">
        <f t="shared" si="16"/>
        <v>4743.5479999999998</v>
      </c>
      <c r="T49" s="90">
        <f t="shared" si="17"/>
        <v>44408</v>
      </c>
      <c r="U49" s="40"/>
    </row>
    <row r="50" spans="1:21" ht="13.15" customHeight="1" x14ac:dyDescent="0.2">
      <c r="A50" s="37">
        <v>9</v>
      </c>
      <c r="B50" s="87" t="str">
        <f t="shared" si="14"/>
        <v>Inland Empire Paper</v>
      </c>
      <c r="C50" s="88" t="str">
        <f t="shared" si="14"/>
        <v>0166400000</v>
      </c>
      <c r="D50" s="88" t="str">
        <f t="shared" si="14"/>
        <v>0160126924</v>
      </c>
      <c r="E50" s="49">
        <v>2500004</v>
      </c>
      <c r="F50" s="252">
        <v>64327.03</v>
      </c>
      <c r="G50" s="252">
        <v>59202.77</v>
      </c>
      <c r="H50" s="252">
        <v>60056.83</v>
      </c>
      <c r="I50" s="252">
        <v>62541.79</v>
      </c>
      <c r="J50" s="252">
        <v>60383.79</v>
      </c>
      <c r="K50" s="252">
        <v>62411.86</v>
      </c>
      <c r="L50" s="252">
        <v>62805.35</v>
      </c>
      <c r="M50" s="252">
        <v>62232.46</v>
      </c>
      <c r="N50" s="252">
        <v>62015.22</v>
      </c>
      <c r="O50" s="252">
        <v>62061.83</v>
      </c>
      <c r="P50" s="272">
        <v>60514.53</v>
      </c>
      <c r="Q50" s="252">
        <v>62056.92</v>
      </c>
      <c r="R50" s="53">
        <f t="shared" si="15"/>
        <v>740610.38</v>
      </c>
      <c r="S50" s="89">
        <f t="shared" si="16"/>
        <v>64327.03</v>
      </c>
      <c r="T50" s="90">
        <f t="shared" si="17"/>
        <v>44227</v>
      </c>
      <c r="U50" s="40"/>
    </row>
    <row r="51" spans="1:21" ht="13.15" customHeight="1" x14ac:dyDescent="0.2">
      <c r="A51" s="37">
        <v>10</v>
      </c>
      <c r="B51" s="87" t="str">
        <f t="shared" si="14"/>
        <v>Simplot - Othello</v>
      </c>
      <c r="C51" s="88" t="str">
        <f t="shared" si="14"/>
        <v>4258610000</v>
      </c>
      <c r="D51" s="88" t="str">
        <f t="shared" si="14"/>
        <v>4250473907</v>
      </c>
      <c r="E51" s="49">
        <v>290048778</v>
      </c>
      <c r="F51" s="252">
        <v>8548.5429999999997</v>
      </c>
      <c r="G51" s="252">
        <v>8751.5519999999997</v>
      </c>
      <c r="H51" s="252">
        <v>8758.1280000000006</v>
      </c>
      <c r="I51" s="252">
        <v>8617.2560000000012</v>
      </c>
      <c r="J51" s="252">
        <v>8602.57</v>
      </c>
      <c r="K51" s="252">
        <v>8715.5460000000003</v>
      </c>
      <c r="L51" s="252">
        <v>8855.8169999999991</v>
      </c>
      <c r="M51" s="252">
        <v>8849.3109999999997</v>
      </c>
      <c r="N51" s="252">
        <v>8603.9629999999997</v>
      </c>
      <c r="O51" s="252">
        <v>8598.5659999999989</v>
      </c>
      <c r="P51" s="252">
        <v>8477.3490000000002</v>
      </c>
      <c r="Q51" s="252">
        <v>8217.630000000001</v>
      </c>
      <c r="R51" s="53">
        <f t="shared" si="15"/>
        <v>103596.23100000001</v>
      </c>
      <c r="S51" s="89">
        <f t="shared" si="16"/>
        <v>8855.8169999999991</v>
      </c>
      <c r="T51" s="90">
        <f t="shared" si="17"/>
        <v>44408</v>
      </c>
      <c r="U51" s="40"/>
    </row>
    <row r="52" spans="1:21" ht="13.15" customHeight="1" x14ac:dyDescent="0.2">
      <c r="A52" s="37">
        <v>11</v>
      </c>
      <c r="B52" s="87" t="str">
        <f t="shared" si="14"/>
        <v>McCaine Foods Inc</v>
      </c>
      <c r="C52" s="88" t="str">
        <f t="shared" si="14"/>
        <v>9066400000</v>
      </c>
      <c r="D52" s="88" t="str">
        <f t="shared" si="14"/>
        <v>9060132009</v>
      </c>
      <c r="E52" s="49">
        <v>2500003</v>
      </c>
      <c r="F52" s="252">
        <v>8364.0849999999991</v>
      </c>
      <c r="G52" s="252">
        <v>8288.2749999999996</v>
      </c>
      <c r="H52" s="252">
        <v>8087.875</v>
      </c>
      <c r="I52" s="252">
        <v>8680.1810000000005</v>
      </c>
      <c r="J52" s="252">
        <v>8421.2330000000002</v>
      </c>
      <c r="K52" s="252">
        <v>8627</v>
      </c>
      <c r="L52" s="252">
        <v>9036.3090000000011</v>
      </c>
      <c r="M52" s="252">
        <v>9743.6350000000002</v>
      </c>
      <c r="N52" s="252">
        <v>11806.96</v>
      </c>
      <c r="O52" s="252">
        <v>12572.414000000001</v>
      </c>
      <c r="P52" s="252">
        <v>12643.707</v>
      </c>
      <c r="Q52" s="252">
        <v>12728.365</v>
      </c>
      <c r="R52" s="53">
        <f t="shared" si="15"/>
        <v>119000.03899999999</v>
      </c>
      <c r="S52" s="89">
        <f t="shared" si="16"/>
        <v>12728.365</v>
      </c>
      <c r="T52" s="90">
        <f t="shared" si="17"/>
        <v>44561</v>
      </c>
      <c r="U52" s="40"/>
    </row>
    <row r="53" spans="1:21" ht="13.15" customHeight="1" x14ac:dyDescent="0.2">
      <c r="A53" s="37">
        <v>12</v>
      </c>
      <c r="B53" s="87" t="str">
        <f t="shared" si="14"/>
        <v>Sacred Heart Medical Center</v>
      </c>
      <c r="C53" s="88" t="str">
        <f t="shared" si="14"/>
        <v>0037100000</v>
      </c>
      <c r="D53" s="88" t="str">
        <f t="shared" si="14"/>
        <v>0030019644</v>
      </c>
      <c r="E53" s="49">
        <v>500020</v>
      </c>
      <c r="F53" s="252">
        <v>4746.5839999999998</v>
      </c>
      <c r="G53" s="252">
        <v>4720.1890000000003</v>
      </c>
      <c r="H53" s="252">
        <v>5199.5640000000003</v>
      </c>
      <c r="I53" s="252">
        <v>6127.9400000000005</v>
      </c>
      <c r="J53" s="252">
        <v>6347.4670000000006</v>
      </c>
      <c r="K53" s="252">
        <v>8158.8959999999997</v>
      </c>
      <c r="L53" s="252">
        <v>7256.43</v>
      </c>
      <c r="M53" s="252">
        <v>7214.4279999999999</v>
      </c>
      <c r="N53" s="252">
        <v>6230.4430000000002</v>
      </c>
      <c r="O53" s="252">
        <v>5750.8119999999999</v>
      </c>
      <c r="P53" s="252">
        <v>4746.6279999999997</v>
      </c>
      <c r="Q53" s="252">
        <v>4749.4889999999996</v>
      </c>
      <c r="R53" s="53">
        <f t="shared" si="15"/>
        <v>71248.87</v>
      </c>
      <c r="S53" s="89">
        <f t="shared" si="16"/>
        <v>8158.8959999999997</v>
      </c>
      <c r="T53" s="90">
        <f t="shared" si="17"/>
        <v>44377</v>
      </c>
      <c r="U53" s="40"/>
    </row>
    <row r="54" spans="1:21" ht="13.15" customHeight="1" x14ac:dyDescent="0.2">
      <c r="A54" s="37">
        <v>13</v>
      </c>
      <c r="B54" s="87" t="str">
        <f t="shared" si="14"/>
        <v>Spokane County Combined Master</v>
      </c>
      <c r="C54" s="88" t="str">
        <f t="shared" si="14"/>
        <v>1082300000</v>
      </c>
      <c r="D54" s="88" t="str">
        <f t="shared" si="14"/>
        <v>1080099801</v>
      </c>
      <c r="E54" s="49">
        <v>1900012</v>
      </c>
      <c r="F54" s="252">
        <v>1712.644</v>
      </c>
      <c r="G54" s="252">
        <v>1687.595</v>
      </c>
      <c r="H54" s="252">
        <v>1955.6310000000001</v>
      </c>
      <c r="I54" s="252">
        <v>2101.7570000000001</v>
      </c>
      <c r="J54" s="252">
        <v>2296.9090000000001</v>
      </c>
      <c r="K54" s="252">
        <v>2801.7689999999998</v>
      </c>
      <c r="L54" s="252">
        <v>2649.069</v>
      </c>
      <c r="M54" s="252">
        <v>2660.2330000000002</v>
      </c>
      <c r="N54" s="252">
        <v>2406.3209999999999</v>
      </c>
      <c r="O54" s="252">
        <v>2156.5320000000002</v>
      </c>
      <c r="P54" s="252">
        <v>1642.17</v>
      </c>
      <c r="Q54" s="252">
        <v>1632.6980000000001</v>
      </c>
      <c r="R54" s="53">
        <f t="shared" si="15"/>
        <v>25703.327999999998</v>
      </c>
      <c r="S54" s="89">
        <f t="shared" si="16"/>
        <v>2801.7689999999998</v>
      </c>
      <c r="T54" s="90">
        <f t="shared" si="17"/>
        <v>44377</v>
      </c>
      <c r="U54" s="40"/>
    </row>
    <row r="55" spans="1:21" ht="13.15" customHeight="1" x14ac:dyDescent="0.2">
      <c r="A55" s="37">
        <v>14</v>
      </c>
      <c r="B55" s="87" t="str">
        <f t="shared" si="14"/>
        <v>Spokane Industries</v>
      </c>
      <c r="C55" s="88" t="str">
        <f t="shared" si="14"/>
        <v>0078160000</v>
      </c>
      <c r="D55" s="88" t="str">
        <f t="shared" si="14"/>
        <v>0070121063</v>
      </c>
      <c r="E55" s="49">
        <v>2400169</v>
      </c>
      <c r="F55" s="252">
        <v>5994.7269999999999</v>
      </c>
      <c r="G55" s="252">
        <v>5891.4780000000001</v>
      </c>
      <c r="H55" s="252">
        <v>6147.6</v>
      </c>
      <c r="I55" s="252">
        <v>5688.1399999999994</v>
      </c>
      <c r="J55" s="252">
        <v>6045.3760000000002</v>
      </c>
      <c r="K55" s="252">
        <v>5808.8130000000001</v>
      </c>
      <c r="L55" s="252">
        <v>5867.0689999999995</v>
      </c>
      <c r="M55" s="272">
        <v>6243.786000000001</v>
      </c>
      <c r="N55" s="252">
        <v>5716.5820000000003</v>
      </c>
      <c r="O55" s="252">
        <v>6212.5110000000004</v>
      </c>
      <c r="P55" s="252">
        <v>5696.7250000000004</v>
      </c>
      <c r="Q55" s="252">
        <v>6496.5730000000003</v>
      </c>
      <c r="R55" s="53">
        <f t="shared" si="15"/>
        <v>71809.37999999999</v>
      </c>
      <c r="S55" s="89">
        <f t="shared" si="16"/>
        <v>6496.5730000000003</v>
      </c>
      <c r="T55" s="90">
        <f t="shared" si="17"/>
        <v>44561</v>
      </c>
      <c r="U55" s="40"/>
    </row>
    <row r="56" spans="1:21" ht="13.15" customHeight="1" x14ac:dyDescent="0.2">
      <c r="A56" s="37">
        <v>15</v>
      </c>
      <c r="B56" s="87" t="str">
        <f t="shared" si="14"/>
        <v>Triumph Composite</v>
      </c>
      <c r="C56" s="88" t="str">
        <f t="shared" si="14"/>
        <v>2261550000</v>
      </c>
      <c r="D56" s="88" t="str">
        <f t="shared" si="14"/>
        <v>2260946595</v>
      </c>
      <c r="E56" s="49">
        <v>690067830</v>
      </c>
      <c r="F56" s="252">
        <v>2432.558</v>
      </c>
      <c r="G56" s="252">
        <v>2448.114</v>
      </c>
      <c r="H56" s="252">
        <v>2386.62</v>
      </c>
      <c r="I56" s="252">
        <v>0</v>
      </c>
      <c r="J56" s="252">
        <v>0</v>
      </c>
      <c r="K56" s="252">
        <v>0</v>
      </c>
      <c r="L56" s="252">
        <v>0</v>
      </c>
      <c r="M56" s="252">
        <v>0</v>
      </c>
      <c r="N56" s="252">
        <v>0</v>
      </c>
      <c r="O56" s="252">
        <v>0</v>
      </c>
      <c r="P56" s="252">
        <v>0</v>
      </c>
      <c r="Q56" s="252">
        <v>0</v>
      </c>
      <c r="R56" s="53">
        <f t="shared" si="15"/>
        <v>7267.2920000000004</v>
      </c>
      <c r="S56" s="89">
        <f t="shared" si="16"/>
        <v>2448.114</v>
      </c>
      <c r="T56" s="90">
        <f t="shared" si="17"/>
        <v>44255</v>
      </c>
      <c r="U56" s="40"/>
    </row>
    <row r="57" spans="1:21" ht="13.15" customHeight="1" x14ac:dyDescent="0.2">
      <c r="A57" s="37">
        <v>16</v>
      </c>
      <c r="B57" s="87" t="str">
        <f t="shared" si="14"/>
        <v>Vaagen Brothers Lumber</v>
      </c>
      <c r="C57" s="88" t="str">
        <f t="shared" si="14"/>
        <v>2478200000</v>
      </c>
      <c r="D57" s="88" t="str">
        <f t="shared" si="14"/>
        <v>2470070232</v>
      </c>
      <c r="E57" s="49">
        <v>1300001</v>
      </c>
      <c r="F57" s="252">
        <v>4799.1220000000003</v>
      </c>
      <c r="G57" s="252">
        <v>4953.3450000000003</v>
      </c>
      <c r="H57" s="252">
        <v>4711.3310000000001</v>
      </c>
      <c r="I57" s="252">
        <v>4352.598</v>
      </c>
      <c r="J57" s="252">
        <v>4040.5969999999998</v>
      </c>
      <c r="K57" s="252">
        <v>4140.6270000000004</v>
      </c>
      <c r="L57" s="252">
        <v>3937.6759999999999</v>
      </c>
      <c r="M57" s="252">
        <v>3948.3969999999999</v>
      </c>
      <c r="N57" s="252">
        <v>4225.2730000000001</v>
      </c>
      <c r="O57" s="252">
        <v>3932.5239999999999</v>
      </c>
      <c r="P57" s="252">
        <v>4270.2449999999999</v>
      </c>
      <c r="Q57" s="252">
        <v>4484.5479999999998</v>
      </c>
      <c r="R57" s="53">
        <f t="shared" si="15"/>
        <v>51796.283000000003</v>
      </c>
      <c r="S57" s="89">
        <f t="shared" si="16"/>
        <v>4953.3450000000003</v>
      </c>
      <c r="T57" s="90">
        <f t="shared" si="17"/>
        <v>44255</v>
      </c>
      <c r="U57" s="40"/>
    </row>
    <row r="58" spans="1:21" ht="13.15" customHeight="1" x14ac:dyDescent="0.2">
      <c r="A58" s="37">
        <v>17</v>
      </c>
      <c r="B58" s="87" t="str">
        <f t="shared" si="14"/>
        <v xml:space="preserve">WSU - MP-A South Campus Feeder </v>
      </c>
      <c r="C58" s="88" t="str">
        <f t="shared" si="14"/>
        <v>3731710000</v>
      </c>
      <c r="D58" s="88" t="str">
        <f t="shared" si="14"/>
        <v>3730460787</v>
      </c>
      <c r="E58" s="49">
        <v>290081951</v>
      </c>
      <c r="F58" s="252">
        <v>4651.3310000000001</v>
      </c>
      <c r="G58" s="252">
        <v>4844.857</v>
      </c>
      <c r="H58" s="252">
        <v>4697.5529999999999</v>
      </c>
      <c r="I58" s="252">
        <v>4683.308</v>
      </c>
      <c r="J58" s="252">
        <v>4565.5619999999999</v>
      </c>
      <c r="K58" s="252">
        <v>4275.991</v>
      </c>
      <c r="L58" s="252">
        <v>4322.6139999999996</v>
      </c>
      <c r="M58" s="252">
        <v>8442.491</v>
      </c>
      <c r="N58" s="252">
        <v>3952.6480000000001</v>
      </c>
      <c r="O58" s="252">
        <v>4097.8819999999996</v>
      </c>
      <c r="P58" s="252">
        <v>4395.1390000000001</v>
      </c>
      <c r="Q58" s="252">
        <v>4774.3109999999997</v>
      </c>
      <c r="R58" s="53">
        <f t="shared" si="15"/>
        <v>57703.687000000005</v>
      </c>
      <c r="S58" s="89">
        <f t="shared" si="16"/>
        <v>8442.491</v>
      </c>
      <c r="T58" s="90">
        <f t="shared" si="17"/>
        <v>44439</v>
      </c>
      <c r="U58" s="40"/>
    </row>
    <row r="59" spans="1:21" ht="13.15" customHeight="1" x14ac:dyDescent="0.2">
      <c r="A59" s="37">
        <v>18</v>
      </c>
      <c r="B59" s="87" t="str">
        <f t="shared" si="14"/>
        <v xml:space="preserve">WSU - MP-B East Campus EA </v>
      </c>
      <c r="C59" s="88" t="str">
        <f t="shared" si="14"/>
        <v>6037100000</v>
      </c>
      <c r="D59" s="88" t="str">
        <f t="shared" si="14"/>
        <v>6030021572</v>
      </c>
      <c r="E59" s="49">
        <v>500033</v>
      </c>
      <c r="F59" s="252">
        <v>6587.5300000000007</v>
      </c>
      <c r="G59" s="252">
        <v>6657.21</v>
      </c>
      <c r="H59" s="252">
        <v>6082.3</v>
      </c>
      <c r="I59" s="252">
        <v>6718.87</v>
      </c>
      <c r="J59" s="252">
        <v>8354.08</v>
      </c>
      <c r="K59" s="252">
        <v>10613.439999999999</v>
      </c>
      <c r="L59" s="252">
        <v>10208.209999999999</v>
      </c>
      <c r="M59" s="252">
        <v>10897.51</v>
      </c>
      <c r="N59" s="252">
        <v>9374.42</v>
      </c>
      <c r="O59" s="252">
        <v>8493.07</v>
      </c>
      <c r="P59" s="252">
        <v>6930.77</v>
      </c>
      <c r="Q59" s="252">
        <v>7152.43</v>
      </c>
      <c r="R59" s="53">
        <f t="shared" si="15"/>
        <v>98069.84</v>
      </c>
      <c r="S59" s="89">
        <f t="shared" si="16"/>
        <v>10897.51</v>
      </c>
      <c r="T59" s="90">
        <f t="shared" si="17"/>
        <v>44439</v>
      </c>
      <c r="U59" s="40"/>
    </row>
    <row r="60" spans="1:21" ht="13.15" customHeight="1" x14ac:dyDescent="0.2">
      <c r="A60" s="37">
        <v>19</v>
      </c>
      <c r="B60" s="87" t="str">
        <f t="shared" si="14"/>
        <v xml:space="preserve">WSU - MP-C East Campus EB </v>
      </c>
      <c r="C60" s="88" t="str">
        <f t="shared" si="14"/>
        <v>6100220000</v>
      </c>
      <c r="D60" s="88" t="str">
        <f t="shared" si="14"/>
        <v>6100609210</v>
      </c>
      <c r="E60" s="49">
        <v>410031282</v>
      </c>
      <c r="F60" s="252">
        <v>5019.0439999999999</v>
      </c>
      <c r="G60" s="252">
        <v>5648.68</v>
      </c>
      <c r="H60" s="252">
        <v>5222.7759999999998</v>
      </c>
      <c r="I60" s="252">
        <v>4847.5810000000001</v>
      </c>
      <c r="J60" s="252">
        <v>4558.1360000000004</v>
      </c>
      <c r="K60" s="252">
        <v>4561.2870000000003</v>
      </c>
      <c r="L60" s="252">
        <v>4468.5810000000001</v>
      </c>
      <c r="M60" s="252">
        <v>4669.0119999999997</v>
      </c>
      <c r="N60" s="252">
        <v>5106.5320000000002</v>
      </c>
      <c r="O60" s="252">
        <v>5350.2209999999995</v>
      </c>
      <c r="P60" s="252">
        <v>5618.4400000000005</v>
      </c>
      <c r="Q60" s="252">
        <v>5367.2379999999994</v>
      </c>
      <c r="R60" s="53">
        <f t="shared" si="15"/>
        <v>60437.527999999998</v>
      </c>
      <c r="S60" s="89">
        <f t="shared" si="16"/>
        <v>5648.68</v>
      </c>
      <c r="T60" s="90">
        <f t="shared" si="17"/>
        <v>44255</v>
      </c>
      <c r="U60" s="40"/>
    </row>
    <row r="61" spans="1:21" ht="13.15" customHeight="1" x14ac:dyDescent="0.2">
      <c r="A61" s="37">
        <v>20</v>
      </c>
      <c r="B61" s="259" t="str">
        <f t="shared" si="14"/>
        <v>WSU - MP -D Casp East (no PVD)</v>
      </c>
      <c r="C61" s="260" t="str">
        <f t="shared" si="14"/>
        <v>5037100000</v>
      </c>
      <c r="D61" s="260" t="str">
        <f t="shared" si="14"/>
        <v>5030019646</v>
      </c>
      <c r="E61" s="261">
        <v>500032</v>
      </c>
      <c r="F61" s="252">
        <v>3504.41</v>
      </c>
      <c r="G61" s="252">
        <v>3547.4880000000003</v>
      </c>
      <c r="H61" s="252">
        <v>3591.2939999999999</v>
      </c>
      <c r="I61" s="252">
        <v>3536.1680000000001</v>
      </c>
      <c r="J61" s="252">
        <v>3506.4589999999998</v>
      </c>
      <c r="K61" s="252">
        <v>3790.509</v>
      </c>
      <c r="L61" s="252">
        <v>3772.8959999999997</v>
      </c>
      <c r="M61" s="252">
        <v>3840.4769999999999</v>
      </c>
      <c r="N61" s="252">
        <v>4052.5320000000002</v>
      </c>
      <c r="O61" s="252">
        <v>3795.9120000000003</v>
      </c>
      <c r="P61" s="252">
        <v>3897.8130000000001</v>
      </c>
      <c r="Q61" s="252">
        <v>3983.6280000000002</v>
      </c>
      <c r="R61" s="256">
        <f t="shared" si="15"/>
        <v>44819.586000000003</v>
      </c>
      <c r="S61" s="262">
        <f t="shared" si="16"/>
        <v>4052.5320000000002</v>
      </c>
      <c r="T61" s="263">
        <f t="shared" si="17"/>
        <v>44469</v>
      </c>
      <c r="U61" s="264"/>
    </row>
    <row r="62" spans="1:21" ht="13.15" customHeight="1" x14ac:dyDescent="0.2">
      <c r="A62" s="37">
        <v>21</v>
      </c>
      <c r="B62" s="259" t="str">
        <f t="shared" si="14"/>
        <v>WSU - MP-E Casp West (no PVD)</v>
      </c>
      <c r="C62" s="260" t="str">
        <f t="shared" si="14"/>
        <v>6365350762</v>
      </c>
      <c r="D62" s="260" t="str">
        <f t="shared" si="14"/>
        <v>7030024549</v>
      </c>
      <c r="E62" s="261">
        <v>500034</v>
      </c>
      <c r="F62" s="252">
        <v>3107.011</v>
      </c>
      <c r="G62" s="252">
        <v>3080.7640000000001</v>
      </c>
      <c r="H62" s="252">
        <v>2825.6480000000001</v>
      </c>
      <c r="I62" s="252">
        <v>4208.4960000000001</v>
      </c>
      <c r="J62" s="252">
        <v>4049.3580000000002</v>
      </c>
      <c r="K62" s="252">
        <v>5421</v>
      </c>
      <c r="L62" s="252">
        <v>5303.3890000000001</v>
      </c>
      <c r="M62" s="252">
        <v>5836.9520000000002</v>
      </c>
      <c r="N62" s="252">
        <v>6618.6620000000003</v>
      </c>
      <c r="O62" s="252">
        <v>5113.4009999999998</v>
      </c>
      <c r="P62" s="252">
        <v>4066.4870000000001</v>
      </c>
      <c r="Q62" s="252">
        <v>4089.9560000000001</v>
      </c>
      <c r="R62" s="256">
        <f t="shared" si="15"/>
        <v>53721.123999999996</v>
      </c>
      <c r="S62" s="262">
        <f t="shared" si="16"/>
        <v>6618.6620000000003</v>
      </c>
      <c r="T62" s="263">
        <f t="shared" si="17"/>
        <v>44469</v>
      </c>
      <c r="U62" s="264"/>
    </row>
    <row r="63" spans="1:21" ht="13.15" customHeight="1" x14ac:dyDescent="0.2">
      <c r="A63" s="37">
        <v>22</v>
      </c>
      <c r="B63" s="259" t="str">
        <f t="shared" ref="B63:D63" si="18">B25</f>
        <v>Goodrich - South 2311155858 (No PVD)</v>
      </c>
      <c r="C63" s="260" t="str">
        <f t="shared" si="18"/>
        <v>2317650000</v>
      </c>
      <c r="D63" s="260">
        <f t="shared" si="18"/>
        <v>2311155858</v>
      </c>
      <c r="E63" s="261"/>
      <c r="F63" s="252">
        <v>3374.25</v>
      </c>
      <c r="G63" s="252">
        <v>4130.7359999999999</v>
      </c>
      <c r="H63" s="252">
        <v>4188.8789999999999</v>
      </c>
      <c r="I63" s="252">
        <v>3688.7039999999997</v>
      </c>
      <c r="J63" s="252">
        <v>4110.9490000000005</v>
      </c>
      <c r="K63" s="252">
        <v>8565.2479999999996</v>
      </c>
      <c r="L63" s="252">
        <v>4370.0169999999998</v>
      </c>
      <c r="M63" s="252">
        <v>5719.1790000000001</v>
      </c>
      <c r="N63" s="252">
        <v>5962.2359999999999</v>
      </c>
      <c r="O63" s="252">
        <v>5545.88</v>
      </c>
      <c r="P63" s="252">
        <v>5153.8009999999995</v>
      </c>
      <c r="Q63" s="252">
        <v>5966.0689999999995</v>
      </c>
      <c r="R63" s="256">
        <f t="shared" si="15"/>
        <v>60775.947999999989</v>
      </c>
      <c r="S63" s="262">
        <f t="shared" ref="S63:S64" si="19">MAX(F63:Q63)</f>
        <v>8565.2479999999996</v>
      </c>
      <c r="T63" s="263">
        <f t="shared" ref="T63:T64" si="20">INDEX($F$41:$Q$41,MATCH(S63,$F63:$Q63,0))</f>
        <v>44377</v>
      </c>
      <c r="U63" s="264"/>
    </row>
    <row r="64" spans="1:21" ht="13.15" customHeight="1" x14ac:dyDescent="0.2">
      <c r="A64" s="37">
        <v>23</v>
      </c>
      <c r="B64" s="87" t="str">
        <f t="shared" ref="B64:D64" si="21">B26</f>
        <v>Boise Cascade LLC Inland Region</v>
      </c>
      <c r="C64" s="88" t="str">
        <f t="shared" si="21"/>
        <v>7600430000</v>
      </c>
      <c r="D64" s="88">
        <f t="shared" si="21"/>
        <v>7600951015</v>
      </c>
      <c r="E64" s="49"/>
      <c r="F64" s="252">
        <v>4033.002</v>
      </c>
      <c r="G64" s="252">
        <v>4033.8130000000001</v>
      </c>
      <c r="H64" s="252">
        <v>3769.1040000000003</v>
      </c>
      <c r="I64" s="252">
        <v>3776.136</v>
      </c>
      <c r="J64" s="252">
        <v>3671.8670000000002</v>
      </c>
      <c r="K64" s="252">
        <v>3653.614</v>
      </c>
      <c r="L64" s="252">
        <v>3484.6869999999999</v>
      </c>
      <c r="M64" s="252">
        <v>3639.2290000000003</v>
      </c>
      <c r="N64" s="252">
        <v>3619.6350000000002</v>
      </c>
      <c r="O64" s="252">
        <v>3394.7460000000001</v>
      </c>
      <c r="P64" s="252">
        <v>3405.0419999999999</v>
      </c>
      <c r="Q64" s="252">
        <v>3633</v>
      </c>
      <c r="R64" s="60">
        <f t="shared" si="15"/>
        <v>44113.875000000007</v>
      </c>
      <c r="S64" s="89">
        <f t="shared" si="19"/>
        <v>4033.8130000000001</v>
      </c>
      <c r="T64" s="90">
        <f t="shared" si="20"/>
        <v>44255</v>
      </c>
      <c r="U64" s="40"/>
    </row>
    <row r="65" spans="1:18" ht="13.15" customHeight="1" x14ac:dyDescent="0.2">
      <c r="A65" s="37" t="s">
        <v>209</v>
      </c>
      <c r="F65" s="91">
        <f>SUM(F42:F64)</f>
        <v>159771.595</v>
      </c>
      <c r="G65" s="91">
        <f t="shared" ref="G65:Q65" si="22">SUM(G42:G64)</f>
        <v>157438.63499999998</v>
      </c>
      <c r="H65" s="91">
        <f t="shared" si="22"/>
        <v>157696.68999999997</v>
      </c>
      <c r="I65" s="91">
        <f t="shared" si="22"/>
        <v>159737.94400000002</v>
      </c>
      <c r="J65" s="91">
        <f t="shared" si="22"/>
        <v>159760.08299999998</v>
      </c>
      <c r="K65" s="91">
        <f t="shared" si="22"/>
        <v>176371.84900000002</v>
      </c>
      <c r="L65" s="91">
        <f t="shared" si="22"/>
        <v>170242.95499999999</v>
      </c>
      <c r="M65" s="91">
        <f t="shared" si="22"/>
        <v>177024.96800000002</v>
      </c>
      <c r="N65" s="91">
        <f t="shared" si="22"/>
        <v>173816.255</v>
      </c>
      <c r="O65" s="91">
        <f t="shared" si="22"/>
        <v>170841.6050000001</v>
      </c>
      <c r="P65" s="91">
        <f t="shared" si="22"/>
        <v>163351.12399999995</v>
      </c>
      <c r="Q65" s="91">
        <f t="shared" si="22"/>
        <v>166210.66500000001</v>
      </c>
      <c r="R65" s="92">
        <f>IF(ROUND(SUM(R42:R64),0)&lt;&gt;ROUND(SUM(F65:Q65),0),#VALUE!,SUM(R42:R64))</f>
        <v>1992264.3679999998</v>
      </c>
    </row>
    <row r="66" spans="1:18" ht="13.15" customHeight="1" x14ac:dyDescent="0.2">
      <c r="F66" s="94"/>
      <c r="G66" s="94"/>
      <c r="H66" s="94"/>
      <c r="I66" s="94"/>
      <c r="J66" s="94"/>
      <c r="K66" s="94"/>
      <c r="L66" s="94"/>
      <c r="M66" s="94"/>
      <c r="N66" s="94"/>
      <c r="O66" s="95"/>
      <c r="P66" s="95"/>
      <c r="Q66" s="96"/>
      <c r="R66" s="95"/>
    </row>
    <row r="67" spans="1:18" ht="13.15" customHeight="1" x14ac:dyDescent="0.2">
      <c r="F67" s="56"/>
      <c r="G67" s="56"/>
      <c r="H67" s="56"/>
      <c r="I67" s="56"/>
      <c r="J67" s="56"/>
      <c r="K67" s="56"/>
      <c r="L67" s="56"/>
      <c r="M67" s="56"/>
      <c r="N67" s="56"/>
      <c r="O67" s="66"/>
      <c r="P67" s="66"/>
      <c r="Q67" s="67"/>
      <c r="R67" s="40" t="str">
        <f>R$2</f>
        <v>12-mo Ended</v>
      </c>
    </row>
    <row r="68" spans="1:18" ht="13.15" customHeight="1" x14ac:dyDescent="0.2">
      <c r="A68" s="43" t="s">
        <v>220</v>
      </c>
      <c r="B68" s="43"/>
      <c r="C68" s="43"/>
      <c r="D68" s="43"/>
      <c r="F68" s="85">
        <f>F$3</f>
        <v>44227</v>
      </c>
      <c r="G68" s="85">
        <f t="shared" ref="G68:Q68" si="23">G$3</f>
        <v>44255</v>
      </c>
      <c r="H68" s="85">
        <f t="shared" si="23"/>
        <v>44286</v>
      </c>
      <c r="I68" s="85">
        <f t="shared" si="23"/>
        <v>44316</v>
      </c>
      <c r="J68" s="85">
        <f t="shared" si="23"/>
        <v>44347</v>
      </c>
      <c r="K68" s="85">
        <f t="shared" si="23"/>
        <v>44377</v>
      </c>
      <c r="L68" s="85">
        <f t="shared" si="23"/>
        <v>44408</v>
      </c>
      <c r="M68" s="85">
        <f t="shared" si="23"/>
        <v>44439</v>
      </c>
      <c r="N68" s="85">
        <f t="shared" si="23"/>
        <v>44469</v>
      </c>
      <c r="O68" s="47">
        <f t="shared" si="23"/>
        <v>44500</v>
      </c>
      <c r="P68" s="47">
        <f t="shared" si="23"/>
        <v>44530</v>
      </c>
      <c r="Q68" s="86">
        <f t="shared" si="23"/>
        <v>44561</v>
      </c>
      <c r="R68" s="40" t="s">
        <v>13</v>
      </c>
    </row>
    <row r="69" spans="1:18" ht="13.15" customHeight="1" x14ac:dyDescent="0.2">
      <c r="A69" s="37">
        <v>1</v>
      </c>
      <c r="B69" s="45" t="str">
        <f t="shared" ref="B69:E89" si="24">B4</f>
        <v>Goodrich - North 2311008572</v>
      </c>
      <c r="C69" s="45" t="str">
        <f t="shared" si="24"/>
        <v>2317650000</v>
      </c>
      <c r="D69" s="45" t="str">
        <f t="shared" si="24"/>
        <v>2311008572</v>
      </c>
      <c r="E69" s="45">
        <f t="shared" si="24"/>
        <v>770037736</v>
      </c>
      <c r="F69" s="60">
        <f t="shared" ref="F69:H76" si="25">IF(F42&gt;3000,F42-3000,0)</f>
        <v>380.2170000000001</v>
      </c>
      <c r="G69" s="60">
        <f t="shared" si="25"/>
        <v>1143.0740000000005</v>
      </c>
      <c r="H69" s="60">
        <f t="shared" si="25"/>
        <v>1652.8510000000006</v>
      </c>
      <c r="I69" s="60">
        <f t="shared" ref="I69:Q69" si="26">MAX(0,I42-3000)</f>
        <v>1035.625</v>
      </c>
      <c r="J69" s="60">
        <f t="shared" si="26"/>
        <v>1345.8959999999997</v>
      </c>
      <c r="K69" s="60">
        <f t="shared" si="26"/>
        <v>2453.5770000000002</v>
      </c>
      <c r="L69" s="60">
        <f t="shared" si="26"/>
        <v>2576.2489999999998</v>
      </c>
      <c r="M69" s="60">
        <f t="shared" si="26"/>
        <v>2202.8559999999998</v>
      </c>
      <c r="N69" s="60">
        <f t="shared" si="26"/>
        <v>3112.1819999999998</v>
      </c>
      <c r="O69" s="97">
        <f t="shared" si="26"/>
        <v>3384.05</v>
      </c>
      <c r="P69" s="97">
        <f t="shared" si="26"/>
        <v>2707.4679999999998</v>
      </c>
      <c r="Q69" s="98">
        <f t="shared" si="26"/>
        <v>2371.076</v>
      </c>
      <c r="R69" s="53">
        <f t="shared" ref="R69:R89" si="27">SUM(F69:Q69)</f>
        <v>24365.121000000003</v>
      </c>
    </row>
    <row r="70" spans="1:18" ht="13.15" customHeight="1" x14ac:dyDescent="0.2">
      <c r="A70" s="37">
        <v>2</v>
      </c>
      <c r="B70" s="45" t="str">
        <f t="shared" si="24"/>
        <v>Boise Cascade Plywood</v>
      </c>
      <c r="C70" s="45" t="str">
        <f t="shared" si="24"/>
        <v>8927100000</v>
      </c>
      <c r="D70" s="45" t="str">
        <f t="shared" si="24"/>
        <v>8920023327</v>
      </c>
      <c r="E70" s="45">
        <f t="shared" si="24"/>
        <v>500017</v>
      </c>
      <c r="F70" s="60">
        <f t="shared" si="25"/>
        <v>2293.4079999999994</v>
      </c>
      <c r="G70" s="60">
        <f t="shared" si="25"/>
        <v>2236.9960000000001</v>
      </c>
      <c r="H70" s="60">
        <f t="shared" si="25"/>
        <v>2209.2260000000006</v>
      </c>
      <c r="I70" s="60">
        <f t="shared" ref="I70:Q70" si="28">MAX(0,I43-3000)</f>
        <v>2240.2890000000007</v>
      </c>
      <c r="J70" s="60">
        <f t="shared" si="28"/>
        <v>2236.9670000000006</v>
      </c>
      <c r="K70" s="60">
        <f t="shared" si="28"/>
        <v>2179.634</v>
      </c>
      <c r="L70" s="60">
        <f t="shared" si="28"/>
        <v>2125.0339999999997</v>
      </c>
      <c r="M70" s="60">
        <f t="shared" si="28"/>
        <v>2329.0249999999996</v>
      </c>
      <c r="N70" s="60">
        <f t="shared" si="28"/>
        <v>2453.5609999999997</v>
      </c>
      <c r="O70" s="97">
        <f t="shared" si="28"/>
        <v>2331.7919999999995</v>
      </c>
      <c r="P70" s="97">
        <f t="shared" si="28"/>
        <v>2250.6059999999998</v>
      </c>
      <c r="Q70" s="98">
        <f t="shared" si="28"/>
        <v>2412.7309999999998</v>
      </c>
      <c r="R70" s="53">
        <f t="shared" si="27"/>
        <v>27299.269</v>
      </c>
    </row>
    <row r="71" spans="1:18" ht="13.15" customHeight="1" x14ac:dyDescent="0.2">
      <c r="A71" s="37">
        <v>3</v>
      </c>
      <c r="B71" s="45" t="str">
        <f t="shared" si="24"/>
        <v>Boise Cascade Sawmill</v>
      </c>
      <c r="C71" s="45" t="str">
        <f t="shared" si="24"/>
        <v>9927100000</v>
      </c>
      <c r="D71" s="45" t="str">
        <f t="shared" si="24"/>
        <v>9920023116</v>
      </c>
      <c r="E71" s="45">
        <f t="shared" si="24"/>
        <v>500018</v>
      </c>
      <c r="F71" s="60">
        <f t="shared" si="25"/>
        <v>0</v>
      </c>
      <c r="G71" s="60">
        <f t="shared" si="25"/>
        <v>0</v>
      </c>
      <c r="H71" s="60">
        <f t="shared" si="25"/>
        <v>0</v>
      </c>
      <c r="I71" s="60">
        <f t="shared" ref="I71:Q71" si="29">MAX(0,I44-3000)</f>
        <v>0</v>
      </c>
      <c r="J71" s="60">
        <f t="shared" si="29"/>
        <v>0</v>
      </c>
      <c r="K71" s="60">
        <f t="shared" si="29"/>
        <v>0</v>
      </c>
      <c r="L71" s="60">
        <f t="shared" si="29"/>
        <v>0</v>
      </c>
      <c r="M71" s="60">
        <f t="shared" si="29"/>
        <v>0</v>
      </c>
      <c r="N71" s="60">
        <f t="shared" si="29"/>
        <v>0</v>
      </c>
      <c r="O71" s="97">
        <f t="shared" si="29"/>
        <v>0</v>
      </c>
      <c r="P71" s="97">
        <f t="shared" si="29"/>
        <v>0</v>
      </c>
      <c r="Q71" s="98">
        <f t="shared" si="29"/>
        <v>0</v>
      </c>
      <c r="R71" s="53">
        <f t="shared" si="27"/>
        <v>0</v>
      </c>
    </row>
    <row r="72" spans="1:18" ht="13.15" customHeight="1" x14ac:dyDescent="0.2">
      <c r="A72" s="37">
        <v>4</v>
      </c>
      <c r="B72" s="45" t="str">
        <f t="shared" si="24"/>
        <v>City of Spokane</v>
      </c>
      <c r="C72" s="45" t="str">
        <f t="shared" si="24"/>
        <v>8972300000</v>
      </c>
      <c r="D72" s="45" t="str">
        <f t="shared" si="24"/>
        <v>8970099313</v>
      </c>
      <c r="E72" s="45">
        <f t="shared" si="24"/>
        <v>1900002</v>
      </c>
      <c r="F72" s="60">
        <f t="shared" si="25"/>
        <v>0</v>
      </c>
      <c r="G72" s="60">
        <f t="shared" si="25"/>
        <v>0</v>
      </c>
      <c r="H72" s="60">
        <f t="shared" si="25"/>
        <v>476.17999999999984</v>
      </c>
      <c r="I72" s="60">
        <f t="shared" ref="I72:Q72" si="30">MAX(0,I45-3000)</f>
        <v>425.13299999999981</v>
      </c>
      <c r="J72" s="60">
        <f t="shared" si="30"/>
        <v>513.36099999999988</v>
      </c>
      <c r="K72" s="60">
        <f t="shared" si="30"/>
        <v>796.10400000000027</v>
      </c>
      <c r="L72" s="60">
        <f t="shared" si="30"/>
        <v>482.69200000000001</v>
      </c>
      <c r="M72" s="60">
        <f t="shared" si="30"/>
        <v>366.41199999999981</v>
      </c>
      <c r="N72" s="60">
        <f t="shared" si="30"/>
        <v>646.88900000000012</v>
      </c>
      <c r="O72" s="97">
        <f t="shared" si="30"/>
        <v>816.48399999999992</v>
      </c>
      <c r="P72" s="97">
        <f t="shared" si="30"/>
        <v>629.94900000000007</v>
      </c>
      <c r="Q72" s="98">
        <f t="shared" si="30"/>
        <v>0</v>
      </c>
      <c r="R72" s="53">
        <f t="shared" si="27"/>
        <v>5153.2039999999997</v>
      </c>
    </row>
    <row r="73" spans="1:18" ht="13.15" customHeight="1" x14ac:dyDescent="0.2">
      <c r="A73" s="37">
        <v>5</v>
      </c>
      <c r="B73" s="45" t="str">
        <f t="shared" si="24"/>
        <v>Empire Health Services</v>
      </c>
      <c r="C73" s="45" t="str">
        <f t="shared" si="24"/>
        <v>0082300000</v>
      </c>
      <c r="D73" s="45" t="str">
        <f t="shared" si="24"/>
        <v>0080095044</v>
      </c>
      <c r="E73" s="45">
        <f t="shared" si="24"/>
        <v>1900011</v>
      </c>
      <c r="F73" s="60">
        <f t="shared" si="25"/>
        <v>0</v>
      </c>
      <c r="G73" s="60">
        <f t="shared" si="25"/>
        <v>0</v>
      </c>
      <c r="H73" s="60">
        <f t="shared" si="25"/>
        <v>0</v>
      </c>
      <c r="I73" s="60">
        <f t="shared" ref="I73:Q73" si="31">MAX(0,I46-3000)</f>
        <v>270.27100000000019</v>
      </c>
      <c r="J73" s="60">
        <f t="shared" si="31"/>
        <v>582.77800000000025</v>
      </c>
      <c r="K73" s="60">
        <f t="shared" si="31"/>
        <v>1008.44</v>
      </c>
      <c r="L73" s="60">
        <f t="shared" si="31"/>
        <v>845.47800000000007</v>
      </c>
      <c r="M73" s="60">
        <f t="shared" si="31"/>
        <v>862.63999999999987</v>
      </c>
      <c r="N73" s="60">
        <f t="shared" si="31"/>
        <v>436.37300000000005</v>
      </c>
      <c r="O73" s="97">
        <f t="shared" si="31"/>
        <v>313.61799999999994</v>
      </c>
      <c r="P73" s="97">
        <f t="shared" si="31"/>
        <v>0</v>
      </c>
      <c r="Q73" s="98">
        <f t="shared" si="31"/>
        <v>0</v>
      </c>
      <c r="R73" s="53">
        <f t="shared" si="27"/>
        <v>4319.598</v>
      </c>
    </row>
    <row r="74" spans="1:18" ht="13.15" customHeight="1" x14ac:dyDescent="0.2">
      <c r="A74" s="37">
        <v>6</v>
      </c>
      <c r="B74" s="45" t="str">
        <f t="shared" si="24"/>
        <v>Gonzaga University</v>
      </c>
      <c r="C74" s="45" t="str">
        <f t="shared" si="24"/>
        <v>1423850000</v>
      </c>
      <c r="D74" s="45" t="str">
        <f t="shared" si="24"/>
        <v>1420028876</v>
      </c>
      <c r="E74" s="45">
        <f t="shared" si="24"/>
        <v>622922</v>
      </c>
      <c r="F74" s="60">
        <f t="shared" si="25"/>
        <v>1276.1199999999999</v>
      </c>
      <c r="G74" s="60">
        <f t="shared" si="25"/>
        <v>1344.3230000000003</v>
      </c>
      <c r="H74" s="60">
        <f t="shared" si="25"/>
        <v>915.35400000000027</v>
      </c>
      <c r="I74" s="60">
        <f t="shared" ref="I74:Q74" si="32">MAX(0,I47-3000)</f>
        <v>1170.6000000000004</v>
      </c>
      <c r="J74" s="60">
        <f t="shared" si="32"/>
        <v>1208.982</v>
      </c>
      <c r="K74" s="60">
        <f t="shared" si="32"/>
        <v>2115.6399999999994</v>
      </c>
      <c r="L74" s="60">
        <f t="shared" si="32"/>
        <v>1863.8060000000005</v>
      </c>
      <c r="M74" s="60">
        <f t="shared" si="32"/>
        <v>1732.2629999999999</v>
      </c>
      <c r="N74" s="60">
        <f t="shared" si="32"/>
        <v>2091.6540000000005</v>
      </c>
      <c r="O74" s="97">
        <f t="shared" si="32"/>
        <v>1717.6109999999999</v>
      </c>
      <c r="P74" s="97">
        <f t="shared" si="32"/>
        <v>1474.6289999999999</v>
      </c>
      <c r="Q74" s="98">
        <f t="shared" si="32"/>
        <v>1348.7539999999999</v>
      </c>
      <c r="R74" s="53">
        <f t="shared" si="27"/>
        <v>18259.736000000001</v>
      </c>
    </row>
    <row r="75" spans="1:18" ht="13.15" customHeight="1" x14ac:dyDescent="0.2">
      <c r="A75" s="37">
        <v>7</v>
      </c>
      <c r="B75" s="45" t="str">
        <f t="shared" si="24"/>
        <v>Honeywell Electronics</v>
      </c>
      <c r="C75" s="45" t="str">
        <f t="shared" si="24"/>
        <v>0177400000</v>
      </c>
      <c r="D75" s="45" t="str">
        <f t="shared" si="24"/>
        <v>0170122152</v>
      </c>
      <c r="E75" s="45">
        <f t="shared" si="24"/>
        <v>2304636</v>
      </c>
      <c r="F75" s="60">
        <f t="shared" si="25"/>
        <v>48.920999999999822</v>
      </c>
      <c r="G75" s="60">
        <f t="shared" si="25"/>
        <v>97.510000000000218</v>
      </c>
      <c r="H75" s="60">
        <f t="shared" si="25"/>
        <v>8.3209999999999127</v>
      </c>
      <c r="I75" s="60">
        <f t="shared" ref="I75:Q75" si="33">MAX(0,I48-3000)</f>
        <v>30.34900000000016</v>
      </c>
      <c r="J75" s="60">
        <f t="shared" si="33"/>
        <v>44.380000000000109</v>
      </c>
      <c r="K75" s="60">
        <f t="shared" si="33"/>
        <v>866.42999999999984</v>
      </c>
      <c r="L75" s="60">
        <f t="shared" si="33"/>
        <v>713.79199999999992</v>
      </c>
      <c r="M75" s="60">
        <f t="shared" si="33"/>
        <v>633.10800000000017</v>
      </c>
      <c r="N75" s="60">
        <f t="shared" si="33"/>
        <v>443.07200000000012</v>
      </c>
      <c r="O75" s="97">
        <f t="shared" si="33"/>
        <v>273.21500000000015</v>
      </c>
      <c r="P75" s="97">
        <f t="shared" si="33"/>
        <v>313.84000000000015</v>
      </c>
      <c r="Q75" s="98">
        <f t="shared" si="33"/>
        <v>75.588999999999942</v>
      </c>
      <c r="R75" s="53">
        <f t="shared" si="27"/>
        <v>3548.5270000000005</v>
      </c>
    </row>
    <row r="76" spans="1:18" ht="13.15" customHeight="1" x14ac:dyDescent="0.2">
      <c r="A76" s="37">
        <v>8</v>
      </c>
      <c r="B76" s="45" t="str">
        <f t="shared" si="24"/>
        <v>Huntwood Industries</v>
      </c>
      <c r="C76" s="45" t="str">
        <f t="shared" si="24"/>
        <v>8649170000</v>
      </c>
      <c r="D76" s="45" t="str">
        <f t="shared" si="24"/>
        <v>8640841982</v>
      </c>
      <c r="E76" s="45">
        <f t="shared" si="24"/>
        <v>610074869</v>
      </c>
      <c r="F76" s="60">
        <f t="shared" si="25"/>
        <v>1212.0470000000005</v>
      </c>
      <c r="G76" s="60">
        <f t="shared" si="25"/>
        <v>1246.9499999999998</v>
      </c>
      <c r="H76" s="60">
        <f t="shared" si="25"/>
        <v>1260.0689999999995</v>
      </c>
      <c r="I76" s="60">
        <f t="shared" ref="I76:Q76" si="34">MAX(0,I49-3000)</f>
        <v>1246.7209999999995</v>
      </c>
      <c r="J76" s="60">
        <f t="shared" si="34"/>
        <v>1176.8969999999999</v>
      </c>
      <c r="K76" s="60">
        <f t="shared" si="34"/>
        <v>1739.3940000000002</v>
      </c>
      <c r="L76" s="60">
        <f t="shared" si="34"/>
        <v>1743.5479999999998</v>
      </c>
      <c r="M76" s="60">
        <f t="shared" si="34"/>
        <v>1479.652</v>
      </c>
      <c r="N76" s="60">
        <f t="shared" si="34"/>
        <v>1338.5410000000002</v>
      </c>
      <c r="O76" s="97">
        <f t="shared" si="34"/>
        <v>1188.1599999999999</v>
      </c>
      <c r="P76" s="97">
        <f t="shared" si="34"/>
        <v>1201.4049999999997</v>
      </c>
      <c r="Q76" s="98">
        <f t="shared" si="34"/>
        <v>1205.7290000000003</v>
      </c>
      <c r="R76" s="53">
        <f t="shared" si="27"/>
        <v>16039.112999999998</v>
      </c>
    </row>
    <row r="77" spans="1:18" ht="13.15" customHeight="1" x14ac:dyDescent="0.2">
      <c r="A77" s="37">
        <v>9</v>
      </c>
      <c r="B77" s="45" t="str">
        <f t="shared" si="24"/>
        <v>Inland Empire Paper</v>
      </c>
      <c r="C77" s="45" t="str">
        <f t="shared" si="24"/>
        <v>0166400000</v>
      </c>
      <c r="D77" s="45" t="str">
        <f t="shared" si="24"/>
        <v>0160126924</v>
      </c>
      <c r="E77" s="45">
        <f t="shared" si="24"/>
        <v>2500004</v>
      </c>
      <c r="F77" s="60">
        <f>MAX(0,F50-3000)</f>
        <v>61327.03</v>
      </c>
      <c r="G77" s="60">
        <f>MAX(0,G50-3000)</f>
        <v>56202.77</v>
      </c>
      <c r="H77" s="60">
        <f>MAX(0,H50-3000)</f>
        <v>57056.83</v>
      </c>
      <c r="I77" s="60">
        <f t="shared" ref="I77:Q77" si="35">MAX(0,I50-3000)</f>
        <v>59541.79</v>
      </c>
      <c r="J77" s="60">
        <f t="shared" si="35"/>
        <v>57383.79</v>
      </c>
      <c r="K77" s="60">
        <f t="shared" si="35"/>
        <v>59411.86</v>
      </c>
      <c r="L77" s="60">
        <f t="shared" si="35"/>
        <v>59805.35</v>
      </c>
      <c r="M77" s="60">
        <f t="shared" si="35"/>
        <v>59232.46</v>
      </c>
      <c r="N77" s="60">
        <f t="shared" si="35"/>
        <v>59015.22</v>
      </c>
      <c r="O77" s="97">
        <f t="shared" si="35"/>
        <v>59061.83</v>
      </c>
      <c r="P77" s="97">
        <f t="shared" si="35"/>
        <v>57514.53</v>
      </c>
      <c r="Q77" s="98">
        <f t="shared" si="35"/>
        <v>59056.92</v>
      </c>
      <c r="R77" s="53">
        <f t="shared" si="27"/>
        <v>704610.38</v>
      </c>
    </row>
    <row r="78" spans="1:18" ht="13.15" customHeight="1" x14ac:dyDescent="0.2">
      <c r="A78" s="37">
        <v>10</v>
      </c>
      <c r="B78" s="45" t="str">
        <f t="shared" si="24"/>
        <v>Simplot - Othello</v>
      </c>
      <c r="C78" s="45" t="str">
        <f t="shared" si="24"/>
        <v>4258610000</v>
      </c>
      <c r="D78" s="45" t="str">
        <f t="shared" si="24"/>
        <v>4250473907</v>
      </c>
      <c r="E78" s="45">
        <f t="shared" si="24"/>
        <v>290048778</v>
      </c>
      <c r="F78" s="60">
        <f t="shared" ref="F78:H89" si="36">IF(F51&gt;3000,F51-3000,0)</f>
        <v>5548.5429999999997</v>
      </c>
      <c r="G78" s="60">
        <f t="shared" si="36"/>
        <v>5751.5519999999997</v>
      </c>
      <c r="H78" s="60">
        <f t="shared" si="36"/>
        <v>5758.1280000000006</v>
      </c>
      <c r="I78" s="60">
        <f t="shared" ref="I78:Q78" si="37">MAX(0,I51-3000)</f>
        <v>5617.2560000000012</v>
      </c>
      <c r="J78" s="60">
        <f t="shared" si="37"/>
        <v>5602.57</v>
      </c>
      <c r="K78" s="60">
        <f t="shared" si="37"/>
        <v>5715.5460000000003</v>
      </c>
      <c r="L78" s="60">
        <f t="shared" si="37"/>
        <v>5855.8169999999991</v>
      </c>
      <c r="M78" s="60">
        <f t="shared" si="37"/>
        <v>5849.3109999999997</v>
      </c>
      <c r="N78" s="60">
        <f t="shared" si="37"/>
        <v>5603.9629999999997</v>
      </c>
      <c r="O78" s="97">
        <f t="shared" si="37"/>
        <v>5598.5659999999989</v>
      </c>
      <c r="P78" s="97">
        <f t="shared" si="37"/>
        <v>5477.3490000000002</v>
      </c>
      <c r="Q78" s="98">
        <f t="shared" si="37"/>
        <v>5217.630000000001</v>
      </c>
      <c r="R78" s="53">
        <f t="shared" si="27"/>
        <v>67596.231</v>
      </c>
    </row>
    <row r="79" spans="1:18" ht="13.15" customHeight="1" x14ac:dyDescent="0.2">
      <c r="A79" s="37">
        <v>11</v>
      </c>
      <c r="B79" s="45" t="str">
        <f t="shared" si="24"/>
        <v>McCaine Foods Inc</v>
      </c>
      <c r="C79" s="45" t="str">
        <f t="shared" si="24"/>
        <v>9066400000</v>
      </c>
      <c r="D79" s="45" t="str">
        <f t="shared" si="24"/>
        <v>9060132009</v>
      </c>
      <c r="E79" s="45">
        <f t="shared" si="24"/>
        <v>2500003</v>
      </c>
      <c r="F79" s="60">
        <f t="shared" si="36"/>
        <v>5364.0849999999991</v>
      </c>
      <c r="G79" s="60">
        <f t="shared" si="36"/>
        <v>5288.2749999999996</v>
      </c>
      <c r="H79" s="60">
        <f t="shared" si="36"/>
        <v>5087.875</v>
      </c>
      <c r="I79" s="60">
        <f t="shared" ref="I79:Q79" si="38">MAX(0,I52-3000)</f>
        <v>5680.1810000000005</v>
      </c>
      <c r="J79" s="60">
        <f t="shared" si="38"/>
        <v>5421.2330000000002</v>
      </c>
      <c r="K79" s="60">
        <f t="shared" si="38"/>
        <v>5627</v>
      </c>
      <c r="L79" s="60">
        <f t="shared" si="38"/>
        <v>6036.3090000000011</v>
      </c>
      <c r="M79" s="60">
        <f t="shared" si="38"/>
        <v>6743.6350000000002</v>
      </c>
      <c r="N79" s="60">
        <f t="shared" si="38"/>
        <v>8806.9599999999991</v>
      </c>
      <c r="O79" s="97">
        <f t="shared" si="38"/>
        <v>9572.4140000000007</v>
      </c>
      <c r="P79" s="97">
        <f t="shared" si="38"/>
        <v>9643.7070000000003</v>
      </c>
      <c r="Q79" s="98">
        <f t="shared" si="38"/>
        <v>9728.3649999999998</v>
      </c>
      <c r="R79" s="53">
        <f t="shared" si="27"/>
        <v>83000.039000000004</v>
      </c>
    </row>
    <row r="80" spans="1:18" ht="13.15" customHeight="1" x14ac:dyDescent="0.2">
      <c r="A80" s="37">
        <v>12</v>
      </c>
      <c r="B80" s="45" t="str">
        <f t="shared" si="24"/>
        <v>Sacred Heart Medical Center</v>
      </c>
      <c r="C80" s="45" t="str">
        <f t="shared" si="24"/>
        <v>0037100000</v>
      </c>
      <c r="D80" s="45" t="str">
        <f t="shared" si="24"/>
        <v>0030019644</v>
      </c>
      <c r="E80" s="45">
        <f t="shared" si="24"/>
        <v>500020</v>
      </c>
      <c r="F80" s="60">
        <f t="shared" si="36"/>
        <v>1746.5839999999998</v>
      </c>
      <c r="G80" s="60">
        <f t="shared" si="36"/>
        <v>1720.1890000000003</v>
      </c>
      <c r="H80" s="60">
        <f t="shared" si="36"/>
        <v>2199.5640000000003</v>
      </c>
      <c r="I80" s="60">
        <f t="shared" ref="I80:Q80" si="39">MAX(0,I53-3000)</f>
        <v>3127.9400000000005</v>
      </c>
      <c r="J80" s="60">
        <f t="shared" si="39"/>
        <v>3347.4670000000006</v>
      </c>
      <c r="K80" s="60">
        <f t="shared" si="39"/>
        <v>5158.8959999999997</v>
      </c>
      <c r="L80" s="60">
        <f t="shared" si="39"/>
        <v>4256.43</v>
      </c>
      <c r="M80" s="60">
        <f t="shared" si="39"/>
        <v>4214.4279999999999</v>
      </c>
      <c r="N80" s="60">
        <f t="shared" si="39"/>
        <v>3230.4430000000002</v>
      </c>
      <c r="O80" s="97">
        <f t="shared" si="39"/>
        <v>2750.8119999999999</v>
      </c>
      <c r="P80" s="97">
        <f t="shared" si="39"/>
        <v>1746.6279999999997</v>
      </c>
      <c r="Q80" s="98">
        <f t="shared" si="39"/>
        <v>1749.4889999999996</v>
      </c>
      <c r="R80" s="53">
        <f t="shared" si="27"/>
        <v>35248.870000000003</v>
      </c>
    </row>
    <row r="81" spans="1:18" ht="13.15" customHeight="1" x14ac:dyDescent="0.2">
      <c r="A81" s="37">
        <v>13</v>
      </c>
      <c r="B81" s="45" t="str">
        <f t="shared" si="24"/>
        <v>Spokane County Combined Master</v>
      </c>
      <c r="C81" s="45" t="str">
        <f t="shared" si="24"/>
        <v>1082300000</v>
      </c>
      <c r="D81" s="45" t="str">
        <f t="shared" si="24"/>
        <v>1080099801</v>
      </c>
      <c r="E81" s="45">
        <f t="shared" si="24"/>
        <v>1900012</v>
      </c>
      <c r="F81" s="60">
        <f t="shared" si="36"/>
        <v>0</v>
      </c>
      <c r="G81" s="60">
        <f t="shared" si="36"/>
        <v>0</v>
      </c>
      <c r="H81" s="60">
        <f t="shared" si="36"/>
        <v>0</v>
      </c>
      <c r="I81" s="60">
        <f t="shared" ref="I81:Q81" si="40">MAX(0,I54-3000)</f>
        <v>0</v>
      </c>
      <c r="J81" s="60">
        <f t="shared" si="40"/>
        <v>0</v>
      </c>
      <c r="K81" s="60">
        <f t="shared" si="40"/>
        <v>0</v>
      </c>
      <c r="L81" s="60">
        <f t="shared" si="40"/>
        <v>0</v>
      </c>
      <c r="M81" s="60">
        <f t="shared" si="40"/>
        <v>0</v>
      </c>
      <c r="N81" s="60">
        <f t="shared" si="40"/>
        <v>0</v>
      </c>
      <c r="O81" s="97">
        <f t="shared" si="40"/>
        <v>0</v>
      </c>
      <c r="P81" s="97">
        <f t="shared" si="40"/>
        <v>0</v>
      </c>
      <c r="Q81" s="98">
        <f t="shared" si="40"/>
        <v>0</v>
      </c>
      <c r="R81" s="53">
        <f t="shared" si="27"/>
        <v>0</v>
      </c>
    </row>
    <row r="82" spans="1:18" ht="13.15" customHeight="1" x14ac:dyDescent="0.2">
      <c r="A82" s="37">
        <v>14</v>
      </c>
      <c r="B82" s="45" t="str">
        <f t="shared" si="24"/>
        <v>Spokane Industries</v>
      </c>
      <c r="C82" s="45" t="str">
        <f t="shared" si="24"/>
        <v>0078160000</v>
      </c>
      <c r="D82" s="45" t="str">
        <f t="shared" si="24"/>
        <v>0070121063</v>
      </c>
      <c r="E82" s="45">
        <f t="shared" si="24"/>
        <v>2400169</v>
      </c>
      <c r="F82" s="60">
        <f t="shared" si="36"/>
        <v>2994.7269999999999</v>
      </c>
      <c r="G82" s="60">
        <f t="shared" si="36"/>
        <v>2891.4780000000001</v>
      </c>
      <c r="H82" s="60">
        <f t="shared" si="36"/>
        <v>3147.6000000000004</v>
      </c>
      <c r="I82" s="60">
        <f t="shared" ref="I82:Q82" si="41">MAX(0,I55-3000)</f>
        <v>2688.1399999999994</v>
      </c>
      <c r="J82" s="60">
        <f t="shared" si="41"/>
        <v>3045.3760000000002</v>
      </c>
      <c r="K82" s="60">
        <f t="shared" si="41"/>
        <v>2808.8130000000001</v>
      </c>
      <c r="L82" s="60">
        <f t="shared" si="41"/>
        <v>2867.0689999999995</v>
      </c>
      <c r="M82" s="60">
        <f t="shared" si="41"/>
        <v>3243.786000000001</v>
      </c>
      <c r="N82" s="60">
        <f t="shared" si="41"/>
        <v>2716.5820000000003</v>
      </c>
      <c r="O82" s="97">
        <f t="shared" si="41"/>
        <v>3212.5110000000004</v>
      </c>
      <c r="P82" s="97">
        <f t="shared" si="41"/>
        <v>2696.7250000000004</v>
      </c>
      <c r="Q82" s="98">
        <f t="shared" si="41"/>
        <v>3496.5730000000003</v>
      </c>
      <c r="R82" s="53">
        <f t="shared" si="27"/>
        <v>35809.37999999999</v>
      </c>
    </row>
    <row r="83" spans="1:18" ht="13.15" customHeight="1" x14ac:dyDescent="0.2">
      <c r="A83" s="37">
        <v>15</v>
      </c>
      <c r="B83" s="45" t="str">
        <f t="shared" si="24"/>
        <v>Triumph Composite</v>
      </c>
      <c r="C83" s="45" t="str">
        <f t="shared" si="24"/>
        <v>2261550000</v>
      </c>
      <c r="D83" s="45" t="str">
        <f t="shared" si="24"/>
        <v>2260946595</v>
      </c>
      <c r="E83" s="45">
        <f t="shared" si="24"/>
        <v>690067830</v>
      </c>
      <c r="F83" s="60">
        <f t="shared" si="36"/>
        <v>0</v>
      </c>
      <c r="G83" s="60">
        <f t="shared" si="36"/>
        <v>0</v>
      </c>
      <c r="H83" s="60">
        <f t="shared" si="36"/>
        <v>0</v>
      </c>
      <c r="I83" s="60">
        <f t="shared" ref="I83:Q83" si="42">MAX(0,I56-3000)</f>
        <v>0</v>
      </c>
      <c r="J83" s="60">
        <f t="shared" si="42"/>
        <v>0</v>
      </c>
      <c r="K83" s="60">
        <f t="shared" si="42"/>
        <v>0</v>
      </c>
      <c r="L83" s="60">
        <f t="shared" si="42"/>
        <v>0</v>
      </c>
      <c r="M83" s="60">
        <f t="shared" si="42"/>
        <v>0</v>
      </c>
      <c r="N83" s="60">
        <f t="shared" si="42"/>
        <v>0</v>
      </c>
      <c r="O83" s="97">
        <f t="shared" si="42"/>
        <v>0</v>
      </c>
      <c r="P83" s="97">
        <f t="shared" si="42"/>
        <v>0</v>
      </c>
      <c r="Q83" s="98">
        <f t="shared" si="42"/>
        <v>0</v>
      </c>
      <c r="R83" s="53">
        <f t="shared" si="27"/>
        <v>0</v>
      </c>
    </row>
    <row r="84" spans="1:18" ht="13.15" customHeight="1" x14ac:dyDescent="0.2">
      <c r="A84" s="37">
        <v>16</v>
      </c>
      <c r="B84" s="45" t="str">
        <f t="shared" si="24"/>
        <v>Vaagen Brothers Lumber</v>
      </c>
      <c r="C84" s="45" t="str">
        <f t="shared" si="24"/>
        <v>2478200000</v>
      </c>
      <c r="D84" s="45" t="str">
        <f t="shared" si="24"/>
        <v>2470070232</v>
      </c>
      <c r="E84" s="45">
        <f t="shared" si="24"/>
        <v>1300001</v>
      </c>
      <c r="F84" s="60">
        <f t="shared" si="36"/>
        <v>1799.1220000000003</v>
      </c>
      <c r="G84" s="60">
        <f t="shared" si="36"/>
        <v>1953.3450000000003</v>
      </c>
      <c r="H84" s="60">
        <f t="shared" si="36"/>
        <v>1711.3310000000001</v>
      </c>
      <c r="I84" s="60">
        <f t="shared" ref="I84:Q84" si="43">MAX(0,I57-3000)</f>
        <v>1352.598</v>
      </c>
      <c r="J84" s="60">
        <f t="shared" si="43"/>
        <v>1040.5969999999998</v>
      </c>
      <c r="K84" s="60">
        <f t="shared" si="43"/>
        <v>1140.6270000000004</v>
      </c>
      <c r="L84" s="60">
        <f t="shared" si="43"/>
        <v>937.67599999999993</v>
      </c>
      <c r="M84" s="60">
        <f t="shared" si="43"/>
        <v>948.39699999999993</v>
      </c>
      <c r="N84" s="60">
        <f t="shared" si="43"/>
        <v>1225.2730000000001</v>
      </c>
      <c r="O84" s="97">
        <f t="shared" si="43"/>
        <v>932.52399999999989</v>
      </c>
      <c r="P84" s="97">
        <f t="shared" si="43"/>
        <v>1270.2449999999999</v>
      </c>
      <c r="Q84" s="98">
        <f t="shared" si="43"/>
        <v>1484.5479999999998</v>
      </c>
      <c r="R84" s="53">
        <f t="shared" si="27"/>
        <v>15796.282999999999</v>
      </c>
    </row>
    <row r="85" spans="1:18" ht="13.15" customHeight="1" x14ac:dyDescent="0.2">
      <c r="A85" s="37">
        <v>17</v>
      </c>
      <c r="B85" s="45" t="str">
        <f t="shared" si="24"/>
        <v xml:space="preserve">WSU - MP-A South Campus Feeder </v>
      </c>
      <c r="C85" s="45" t="str">
        <f t="shared" si="24"/>
        <v>3731710000</v>
      </c>
      <c r="D85" s="45" t="str">
        <f t="shared" si="24"/>
        <v>3730460787</v>
      </c>
      <c r="E85" s="45">
        <f t="shared" si="24"/>
        <v>290081951</v>
      </c>
      <c r="F85" s="60">
        <f t="shared" si="36"/>
        <v>1651.3310000000001</v>
      </c>
      <c r="G85" s="60">
        <f t="shared" si="36"/>
        <v>1844.857</v>
      </c>
      <c r="H85" s="60">
        <f t="shared" si="36"/>
        <v>1697.5529999999999</v>
      </c>
      <c r="I85" s="60">
        <f t="shared" ref="I85:Q85" si="44">MAX(0,I58-3000)</f>
        <v>1683.308</v>
      </c>
      <c r="J85" s="60">
        <f t="shared" si="44"/>
        <v>1565.5619999999999</v>
      </c>
      <c r="K85" s="60">
        <f t="shared" si="44"/>
        <v>1275.991</v>
      </c>
      <c r="L85" s="60">
        <f t="shared" si="44"/>
        <v>1322.6139999999996</v>
      </c>
      <c r="M85" s="60">
        <f t="shared" si="44"/>
        <v>5442.491</v>
      </c>
      <c r="N85" s="60">
        <f t="shared" si="44"/>
        <v>952.64800000000014</v>
      </c>
      <c r="O85" s="97">
        <f t="shared" si="44"/>
        <v>1097.8819999999996</v>
      </c>
      <c r="P85" s="97">
        <f t="shared" si="44"/>
        <v>1395.1390000000001</v>
      </c>
      <c r="Q85" s="98">
        <f t="shared" si="44"/>
        <v>1774.3109999999997</v>
      </c>
      <c r="R85" s="53">
        <f t="shared" si="27"/>
        <v>21703.686999999998</v>
      </c>
    </row>
    <row r="86" spans="1:18" ht="13.15" customHeight="1" x14ac:dyDescent="0.2">
      <c r="A86" s="37">
        <v>18</v>
      </c>
      <c r="B86" s="45" t="str">
        <f t="shared" si="24"/>
        <v xml:space="preserve">WSU - MP-B East Campus EA </v>
      </c>
      <c r="C86" s="45" t="str">
        <f t="shared" si="24"/>
        <v>6037100000</v>
      </c>
      <c r="D86" s="45" t="str">
        <f t="shared" si="24"/>
        <v>6030021572</v>
      </c>
      <c r="E86" s="45">
        <f t="shared" si="24"/>
        <v>500033</v>
      </c>
      <c r="F86" s="60">
        <f t="shared" si="36"/>
        <v>3587.5300000000007</v>
      </c>
      <c r="G86" s="60">
        <f t="shared" si="36"/>
        <v>3657.21</v>
      </c>
      <c r="H86" s="60">
        <f t="shared" si="36"/>
        <v>3082.3</v>
      </c>
      <c r="I86" s="60">
        <f t="shared" ref="I86:Q86" si="45">MAX(0,I59-3000)</f>
        <v>3718.87</v>
      </c>
      <c r="J86" s="60">
        <f t="shared" si="45"/>
        <v>5354.08</v>
      </c>
      <c r="K86" s="60">
        <f t="shared" si="45"/>
        <v>7613.4399999999987</v>
      </c>
      <c r="L86" s="60">
        <f t="shared" si="45"/>
        <v>7208.2099999999991</v>
      </c>
      <c r="M86" s="60">
        <f t="shared" si="45"/>
        <v>7897.51</v>
      </c>
      <c r="N86" s="60">
        <f t="shared" si="45"/>
        <v>6374.42</v>
      </c>
      <c r="O86" s="97">
        <f t="shared" si="45"/>
        <v>5493.07</v>
      </c>
      <c r="P86" s="97">
        <f t="shared" si="45"/>
        <v>3930.7700000000004</v>
      </c>
      <c r="Q86" s="98">
        <f t="shared" si="45"/>
        <v>4152.43</v>
      </c>
      <c r="R86" s="53">
        <f t="shared" si="27"/>
        <v>62069.840000000004</v>
      </c>
    </row>
    <row r="87" spans="1:18" ht="13.15" customHeight="1" x14ac:dyDescent="0.2">
      <c r="A87" s="37">
        <v>19</v>
      </c>
      <c r="B87" s="45" t="str">
        <f t="shared" si="24"/>
        <v xml:space="preserve">WSU - MP-C East Campus EB </v>
      </c>
      <c r="C87" s="45" t="str">
        <f t="shared" si="24"/>
        <v>6100220000</v>
      </c>
      <c r="D87" s="45" t="str">
        <f t="shared" si="24"/>
        <v>6100609210</v>
      </c>
      <c r="E87" s="45">
        <f t="shared" si="24"/>
        <v>410031282</v>
      </c>
      <c r="F87" s="60">
        <f t="shared" si="36"/>
        <v>2019.0439999999999</v>
      </c>
      <c r="G87" s="60">
        <f t="shared" si="36"/>
        <v>2648.6800000000003</v>
      </c>
      <c r="H87" s="60">
        <f t="shared" si="36"/>
        <v>2222.7759999999998</v>
      </c>
      <c r="I87" s="60">
        <f t="shared" ref="I87:Q87" si="46">MAX(0,I60-3000)</f>
        <v>1847.5810000000001</v>
      </c>
      <c r="J87" s="60">
        <f t="shared" si="46"/>
        <v>1558.1360000000004</v>
      </c>
      <c r="K87" s="60">
        <f t="shared" si="46"/>
        <v>1561.2870000000003</v>
      </c>
      <c r="L87" s="60">
        <f t="shared" si="46"/>
        <v>1468.5810000000001</v>
      </c>
      <c r="M87" s="60">
        <f t="shared" si="46"/>
        <v>1669.0119999999997</v>
      </c>
      <c r="N87" s="60">
        <f t="shared" si="46"/>
        <v>2106.5320000000002</v>
      </c>
      <c r="O87" s="97">
        <f t="shared" si="46"/>
        <v>2350.2209999999995</v>
      </c>
      <c r="P87" s="97">
        <f t="shared" si="46"/>
        <v>2618.4400000000005</v>
      </c>
      <c r="Q87" s="98">
        <f t="shared" si="46"/>
        <v>2367.2379999999994</v>
      </c>
      <c r="R87" s="53">
        <f t="shared" si="27"/>
        <v>24437.527999999998</v>
      </c>
    </row>
    <row r="88" spans="1:18" ht="13.15" customHeight="1" x14ac:dyDescent="0.2">
      <c r="A88" s="37">
        <v>20</v>
      </c>
      <c r="B88" s="255" t="str">
        <f t="shared" si="24"/>
        <v>WSU - MP -D Casp East (no PVD)</v>
      </c>
      <c r="C88" s="255" t="str">
        <f t="shared" si="24"/>
        <v>5037100000</v>
      </c>
      <c r="D88" s="255" t="str">
        <f t="shared" si="24"/>
        <v>5030019646</v>
      </c>
      <c r="E88" s="255">
        <f t="shared" si="24"/>
        <v>500032</v>
      </c>
      <c r="F88" s="256">
        <f t="shared" si="36"/>
        <v>504.40999999999985</v>
      </c>
      <c r="G88" s="256">
        <f t="shared" si="36"/>
        <v>547.48800000000028</v>
      </c>
      <c r="H88" s="256">
        <f t="shared" si="36"/>
        <v>591.29399999999987</v>
      </c>
      <c r="I88" s="256">
        <f t="shared" ref="I88:Q88" si="47">MAX(0,I61-3000)</f>
        <v>536.16800000000012</v>
      </c>
      <c r="J88" s="256">
        <f t="shared" si="47"/>
        <v>506.45899999999983</v>
      </c>
      <c r="K88" s="256">
        <f t="shared" si="47"/>
        <v>790.50900000000001</v>
      </c>
      <c r="L88" s="256">
        <f t="shared" si="47"/>
        <v>772.89599999999973</v>
      </c>
      <c r="M88" s="256">
        <f t="shared" si="47"/>
        <v>840.47699999999986</v>
      </c>
      <c r="N88" s="256">
        <f t="shared" si="47"/>
        <v>1052.5320000000002</v>
      </c>
      <c r="O88" s="257">
        <f t="shared" si="47"/>
        <v>795.91200000000026</v>
      </c>
      <c r="P88" s="257">
        <f t="shared" si="47"/>
        <v>897.8130000000001</v>
      </c>
      <c r="Q88" s="258">
        <f t="shared" si="47"/>
        <v>983.62800000000016</v>
      </c>
      <c r="R88" s="256">
        <f t="shared" si="27"/>
        <v>8819.5860000000011</v>
      </c>
    </row>
    <row r="89" spans="1:18" ht="13.15" customHeight="1" x14ac:dyDescent="0.2">
      <c r="A89" s="37">
        <v>21</v>
      </c>
      <c r="B89" s="255" t="str">
        <f t="shared" si="24"/>
        <v>WSU - MP-E Casp West (no PVD)</v>
      </c>
      <c r="C89" s="255" t="str">
        <f t="shared" si="24"/>
        <v>6365350762</v>
      </c>
      <c r="D89" s="255" t="str">
        <f t="shared" si="24"/>
        <v>7030024549</v>
      </c>
      <c r="E89" s="255">
        <f t="shared" si="24"/>
        <v>500034</v>
      </c>
      <c r="F89" s="256">
        <f t="shared" si="36"/>
        <v>107.01099999999997</v>
      </c>
      <c r="G89" s="256">
        <f t="shared" si="36"/>
        <v>80.764000000000124</v>
      </c>
      <c r="H89" s="256">
        <f t="shared" si="36"/>
        <v>0</v>
      </c>
      <c r="I89" s="256">
        <f t="shared" ref="I89:Q89" si="48">MAX(0,I62-3000)</f>
        <v>1208.4960000000001</v>
      </c>
      <c r="J89" s="256">
        <f t="shared" si="48"/>
        <v>1049.3580000000002</v>
      </c>
      <c r="K89" s="256">
        <f t="shared" si="48"/>
        <v>2421</v>
      </c>
      <c r="L89" s="256">
        <f t="shared" si="48"/>
        <v>2303.3890000000001</v>
      </c>
      <c r="M89" s="256">
        <f t="shared" si="48"/>
        <v>2836.9520000000002</v>
      </c>
      <c r="N89" s="256">
        <f t="shared" si="48"/>
        <v>3618.6620000000003</v>
      </c>
      <c r="O89" s="257">
        <f t="shared" si="48"/>
        <v>2113.4009999999998</v>
      </c>
      <c r="P89" s="257">
        <f t="shared" si="48"/>
        <v>1066.4870000000001</v>
      </c>
      <c r="Q89" s="258">
        <f t="shared" si="48"/>
        <v>1089.9560000000001</v>
      </c>
      <c r="R89" s="256">
        <f t="shared" si="27"/>
        <v>17895.476000000002</v>
      </c>
    </row>
    <row r="90" spans="1:18" ht="13.15" customHeight="1" x14ac:dyDescent="0.2">
      <c r="A90" s="37">
        <v>22</v>
      </c>
      <c r="B90" s="255" t="str">
        <f t="shared" ref="B90:E90" si="49">B25</f>
        <v>Goodrich - South 2311155858 (No PVD)</v>
      </c>
      <c r="C90" s="255" t="str">
        <f t="shared" si="49"/>
        <v>2317650000</v>
      </c>
      <c r="D90" s="255">
        <f t="shared" si="49"/>
        <v>2311155858</v>
      </c>
      <c r="E90" s="255" t="str">
        <f t="shared" si="49"/>
        <v>new Sept 2017</v>
      </c>
      <c r="F90" s="256">
        <f t="shared" ref="F90:H90" si="50">IF(F63&gt;3000,F63-3000,0)</f>
        <v>374.25</v>
      </c>
      <c r="G90" s="256">
        <f t="shared" si="50"/>
        <v>1130.7359999999999</v>
      </c>
      <c r="H90" s="256">
        <f t="shared" si="50"/>
        <v>1188.8789999999999</v>
      </c>
      <c r="I90" s="256">
        <f t="shared" ref="I90:Q90" si="51">MAX(0,I63-3000)</f>
        <v>688.70399999999972</v>
      </c>
      <c r="J90" s="256">
        <f t="shared" si="51"/>
        <v>1110.9490000000005</v>
      </c>
      <c r="K90" s="256">
        <f t="shared" si="51"/>
        <v>5565.2479999999996</v>
      </c>
      <c r="L90" s="256">
        <f t="shared" si="51"/>
        <v>1370.0169999999998</v>
      </c>
      <c r="M90" s="256">
        <f t="shared" si="51"/>
        <v>2719.1790000000001</v>
      </c>
      <c r="N90" s="256">
        <f t="shared" si="51"/>
        <v>2962.2359999999999</v>
      </c>
      <c r="O90" s="257">
        <f t="shared" si="51"/>
        <v>2545.88</v>
      </c>
      <c r="P90" s="257">
        <f t="shared" si="51"/>
        <v>2153.8009999999995</v>
      </c>
      <c r="Q90" s="258">
        <f t="shared" si="51"/>
        <v>2966.0689999999995</v>
      </c>
      <c r="R90" s="256">
        <f t="shared" ref="R90:R91" si="52">SUM(F90:Q90)</f>
        <v>24775.948</v>
      </c>
    </row>
    <row r="91" spans="1:18" ht="13.15" customHeight="1" x14ac:dyDescent="0.2">
      <c r="A91" s="37">
        <v>23</v>
      </c>
      <c r="B91" s="45" t="str">
        <f t="shared" ref="B91:E91" si="53">B26</f>
        <v>Boise Cascade LLC Inland Region</v>
      </c>
      <c r="C91" s="45" t="str">
        <f t="shared" si="53"/>
        <v>7600430000</v>
      </c>
      <c r="D91" s="45">
        <f t="shared" si="53"/>
        <v>7600951015</v>
      </c>
      <c r="E91" s="45" t="str">
        <f t="shared" si="53"/>
        <v>transferred from schedule 21 Nov 2017</v>
      </c>
      <c r="F91" s="60">
        <f t="shared" ref="F91:H91" si="54">IF(F64&gt;3000,F64-3000,0)</f>
        <v>1033.002</v>
      </c>
      <c r="G91" s="60">
        <f t="shared" si="54"/>
        <v>1033.8130000000001</v>
      </c>
      <c r="H91" s="60">
        <f t="shared" si="54"/>
        <v>769.10400000000027</v>
      </c>
      <c r="I91" s="60">
        <f t="shared" ref="I91:Q91" si="55">MAX(0,I64-3000)</f>
        <v>776.13599999999997</v>
      </c>
      <c r="J91" s="60">
        <f t="shared" si="55"/>
        <v>671.86700000000019</v>
      </c>
      <c r="K91" s="60">
        <f t="shared" si="55"/>
        <v>653.61400000000003</v>
      </c>
      <c r="L91" s="60">
        <f t="shared" si="55"/>
        <v>484.6869999999999</v>
      </c>
      <c r="M91" s="60">
        <f t="shared" si="55"/>
        <v>639.22900000000027</v>
      </c>
      <c r="N91" s="60">
        <f t="shared" si="55"/>
        <v>619.63500000000022</v>
      </c>
      <c r="O91" s="97">
        <f t="shared" si="55"/>
        <v>394.74600000000009</v>
      </c>
      <c r="P91" s="97">
        <f t="shared" si="55"/>
        <v>405.04199999999992</v>
      </c>
      <c r="Q91" s="98">
        <f t="shared" si="55"/>
        <v>633</v>
      </c>
      <c r="R91" s="53">
        <f t="shared" si="52"/>
        <v>8113.875</v>
      </c>
    </row>
    <row r="92" spans="1:18" ht="13.15" customHeight="1" x14ac:dyDescent="0.2">
      <c r="A92" s="37" t="s">
        <v>209</v>
      </c>
      <c r="E92" s="99"/>
      <c r="F92" s="100">
        <f>SUM(F69:F91)</f>
        <v>93267.382000000012</v>
      </c>
      <c r="G92" s="100">
        <f t="shared" ref="G92:Q92" si="56">SUM(G69:G91)</f>
        <v>90820.01</v>
      </c>
      <c r="H92" s="100">
        <f t="shared" si="56"/>
        <v>91035.235000000015</v>
      </c>
      <c r="I92" s="100">
        <f t="shared" si="56"/>
        <v>94886.156000000017</v>
      </c>
      <c r="J92" s="100">
        <f t="shared" si="56"/>
        <v>94766.704999999987</v>
      </c>
      <c r="K92" s="100">
        <f t="shared" si="56"/>
        <v>110903.04999999999</v>
      </c>
      <c r="L92" s="100">
        <f t="shared" si="56"/>
        <v>105039.644</v>
      </c>
      <c r="M92" s="100">
        <f t="shared" si="56"/>
        <v>111882.823</v>
      </c>
      <c r="N92" s="100">
        <f t="shared" si="56"/>
        <v>108807.37800000001</v>
      </c>
      <c r="O92" s="100">
        <f t="shared" si="56"/>
        <v>105944.69900000002</v>
      </c>
      <c r="P92" s="100">
        <f t="shared" si="56"/>
        <v>99394.572999999989</v>
      </c>
      <c r="Q92" s="100">
        <f t="shared" si="56"/>
        <v>102114.03600000002</v>
      </c>
      <c r="R92" s="101">
        <f>IF(ROUND(SUM(R69:R91),0)&lt;&gt;ROUND(SUM(F92:Q92),0),#VALUE!,SUM(R69:R91))</f>
        <v>1208861.6910000001</v>
      </c>
    </row>
    <row r="93" spans="1:18" ht="13.15" customHeight="1" x14ac:dyDescent="0.2">
      <c r="E93" s="99"/>
      <c r="F93" s="60"/>
      <c r="G93" s="60"/>
      <c r="H93" s="60"/>
      <c r="I93" s="60"/>
      <c r="J93" s="60"/>
      <c r="K93" s="60"/>
      <c r="L93" s="60"/>
      <c r="M93" s="60"/>
      <c r="N93" s="60"/>
      <c r="O93" s="103"/>
      <c r="P93" s="103"/>
      <c r="Q93" s="104"/>
      <c r="R93" s="53"/>
    </row>
    <row r="94" spans="1:18" ht="13.15" customHeight="1" x14ac:dyDescent="0.2">
      <c r="E94" s="99"/>
      <c r="F94" s="60"/>
      <c r="G94" s="60"/>
      <c r="H94" s="60"/>
      <c r="I94" s="60"/>
      <c r="J94" s="60"/>
      <c r="K94" s="60"/>
      <c r="L94" s="60"/>
      <c r="M94" s="60"/>
      <c r="N94" s="60"/>
      <c r="O94" s="103"/>
      <c r="P94" s="103"/>
      <c r="Q94" s="104"/>
      <c r="R94" s="53"/>
    </row>
    <row r="95" spans="1:18" ht="13.15" customHeight="1" x14ac:dyDescent="0.2">
      <c r="F95" s="56"/>
      <c r="G95" s="56"/>
      <c r="H95" s="56"/>
      <c r="I95" s="56"/>
      <c r="J95" s="56"/>
      <c r="K95" s="56"/>
      <c r="L95" s="56"/>
      <c r="M95" s="56"/>
      <c r="N95" s="56"/>
      <c r="O95" s="66"/>
      <c r="P95" s="66"/>
      <c r="Q95" s="67"/>
      <c r="R95" s="40" t="str">
        <f>R$2</f>
        <v>12-mo Ended</v>
      </c>
    </row>
    <row r="96" spans="1:18" ht="13.15" customHeight="1" x14ac:dyDescent="0.2">
      <c r="A96" s="43" t="s">
        <v>221</v>
      </c>
      <c r="B96" s="43"/>
      <c r="C96" s="43"/>
      <c r="D96" s="43"/>
      <c r="F96" s="85">
        <f>F$3</f>
        <v>44227</v>
      </c>
      <c r="G96" s="85">
        <f t="shared" ref="G96:Q96" si="57">G$3</f>
        <v>44255</v>
      </c>
      <c r="H96" s="85">
        <f t="shared" si="57"/>
        <v>44286</v>
      </c>
      <c r="I96" s="85">
        <f t="shared" si="57"/>
        <v>44316</v>
      </c>
      <c r="J96" s="85">
        <f t="shared" si="57"/>
        <v>44347</v>
      </c>
      <c r="K96" s="85">
        <f t="shared" si="57"/>
        <v>44377</v>
      </c>
      <c r="L96" s="85">
        <f t="shared" si="57"/>
        <v>44408</v>
      </c>
      <c r="M96" s="85">
        <f t="shared" si="57"/>
        <v>44439</v>
      </c>
      <c r="N96" s="85">
        <f t="shared" si="57"/>
        <v>44469</v>
      </c>
      <c r="O96" s="47">
        <f t="shared" si="57"/>
        <v>44500</v>
      </c>
      <c r="P96" s="47">
        <f t="shared" si="57"/>
        <v>44530</v>
      </c>
      <c r="Q96" s="86">
        <f t="shared" si="57"/>
        <v>44561</v>
      </c>
      <c r="R96" s="40" t="s">
        <v>13</v>
      </c>
    </row>
    <row r="97" spans="1:18" ht="13.15" customHeight="1" x14ac:dyDescent="0.2">
      <c r="C97" s="37" t="s">
        <v>222</v>
      </c>
      <c r="E97" s="37" t="s">
        <v>223</v>
      </c>
      <c r="F97" s="105"/>
      <c r="G97" s="105"/>
      <c r="H97" s="105"/>
      <c r="I97" s="105"/>
      <c r="J97" s="105"/>
      <c r="K97" s="105"/>
      <c r="L97" s="105"/>
      <c r="M97" s="105"/>
      <c r="N97" s="105"/>
      <c r="O97" s="106"/>
      <c r="P97" s="106"/>
      <c r="Q97" s="107"/>
      <c r="R97" s="108">
        <f>SUM(F97:Q97)</f>
        <v>0</v>
      </c>
    </row>
    <row r="98" spans="1:18" ht="13.15" customHeight="1" x14ac:dyDescent="0.2">
      <c r="C98" s="37" t="s">
        <v>224</v>
      </c>
      <c r="E98" s="37" t="s">
        <v>225</v>
      </c>
      <c r="F98" s="109"/>
      <c r="G98" s="110"/>
      <c r="H98" s="110"/>
      <c r="I98" s="110"/>
      <c r="J98" s="110"/>
      <c r="K98" s="110"/>
      <c r="L98" s="110"/>
      <c r="M98" s="110"/>
      <c r="N98" s="110"/>
      <c r="O98" s="111"/>
      <c r="P98" s="111"/>
      <c r="Q98" s="112"/>
      <c r="R98" s="113">
        <f>SUM(F98:Q98)</f>
        <v>0</v>
      </c>
    </row>
    <row r="99" spans="1:18" ht="13.15" customHeight="1" x14ac:dyDescent="0.2">
      <c r="C99" s="37" t="s">
        <v>226</v>
      </c>
      <c r="E99" s="37" t="s">
        <v>227</v>
      </c>
      <c r="F99" s="105"/>
      <c r="G99" s="105"/>
      <c r="H99" s="105"/>
      <c r="I99" s="105"/>
      <c r="J99" s="105"/>
      <c r="K99" s="105"/>
      <c r="L99" s="105"/>
      <c r="M99" s="105"/>
      <c r="N99" s="105"/>
      <c r="O99" s="106"/>
      <c r="P99" s="106"/>
      <c r="Q99" s="107"/>
      <c r="R99" s="108">
        <f>SUM(F99:Q99)</f>
        <v>0</v>
      </c>
    </row>
    <row r="100" spans="1:18" ht="13.15" customHeight="1" x14ac:dyDescent="0.2">
      <c r="A100" s="37" t="s">
        <v>228</v>
      </c>
      <c r="F100" s="91">
        <f t="shared" ref="F100:R100" si="58">SUM(F97:F99)</f>
        <v>0</v>
      </c>
      <c r="G100" s="91">
        <f t="shared" si="58"/>
        <v>0</v>
      </c>
      <c r="H100" s="91">
        <f t="shared" si="58"/>
        <v>0</v>
      </c>
      <c r="I100" s="91">
        <f t="shared" si="58"/>
        <v>0</v>
      </c>
      <c r="J100" s="91">
        <f t="shared" si="58"/>
        <v>0</v>
      </c>
      <c r="K100" s="91">
        <f t="shared" si="58"/>
        <v>0</v>
      </c>
      <c r="L100" s="91">
        <f t="shared" si="58"/>
        <v>0</v>
      </c>
      <c r="M100" s="91">
        <f t="shared" si="58"/>
        <v>0</v>
      </c>
      <c r="N100" s="91">
        <f t="shared" si="58"/>
        <v>0</v>
      </c>
      <c r="O100" s="92">
        <f t="shared" si="58"/>
        <v>0</v>
      </c>
      <c r="P100" s="92">
        <f t="shared" si="58"/>
        <v>0</v>
      </c>
      <c r="Q100" s="93">
        <f t="shared" si="58"/>
        <v>0</v>
      </c>
      <c r="R100" s="92">
        <f t="shared" si="58"/>
        <v>0</v>
      </c>
    </row>
    <row r="101" spans="1:18" ht="13.15" customHeight="1" x14ac:dyDescent="0.2">
      <c r="F101" s="114">
        <f t="shared" ref="F101:Q101" si="59">F12</f>
        <v>39435656</v>
      </c>
      <c r="G101" s="114">
        <f t="shared" si="59"/>
        <v>35292188</v>
      </c>
      <c r="H101" s="114">
        <f t="shared" si="59"/>
        <v>40784468</v>
      </c>
      <c r="I101" s="114">
        <f t="shared" si="59"/>
        <v>38726952</v>
      </c>
      <c r="J101" s="114">
        <f t="shared" si="59"/>
        <v>34594216</v>
      </c>
      <c r="K101" s="114">
        <f t="shared" si="59"/>
        <v>37627620</v>
      </c>
      <c r="L101" s="114">
        <f t="shared" si="59"/>
        <v>37858230</v>
      </c>
      <c r="M101" s="114">
        <f t="shared" si="59"/>
        <v>40324196</v>
      </c>
      <c r="N101" s="114">
        <f t="shared" si="59"/>
        <v>38224942</v>
      </c>
      <c r="O101" s="95">
        <f t="shared" si="59"/>
        <v>39200562</v>
      </c>
      <c r="P101" s="95">
        <f t="shared" si="59"/>
        <v>38860962</v>
      </c>
      <c r="Q101" s="96">
        <f t="shared" si="59"/>
        <v>34917200</v>
      </c>
      <c r="R101" s="53">
        <f>SUM(F101:Q101)</f>
        <v>455847192</v>
      </c>
    </row>
    <row r="102" spans="1:18" ht="13.15" customHeight="1" x14ac:dyDescent="0.2">
      <c r="A102" s="43" t="s">
        <v>229</v>
      </c>
      <c r="B102" s="43"/>
      <c r="C102" s="43"/>
      <c r="D102" s="43"/>
      <c r="F102" s="56"/>
      <c r="G102" s="56"/>
      <c r="H102" s="56"/>
      <c r="I102" s="56"/>
      <c r="J102" s="56"/>
      <c r="K102" s="56"/>
      <c r="L102" s="56"/>
      <c r="M102" s="56"/>
      <c r="N102" s="56"/>
      <c r="O102" s="66"/>
      <c r="P102" s="66"/>
      <c r="Q102" s="67"/>
    </row>
    <row r="103" spans="1:18" ht="13.15" customHeight="1" x14ac:dyDescent="0.2">
      <c r="C103" s="37" t="s">
        <v>222</v>
      </c>
      <c r="E103" s="37" t="s">
        <v>223</v>
      </c>
      <c r="F103" s="253">
        <f>'WA Electric'!D134/'WA Electric'!D138</f>
        <v>10764.717105263158</v>
      </c>
      <c r="G103" s="253">
        <f>'WA Electric'!E134/'WA Electric'!E138</f>
        <v>8892.28947368421</v>
      </c>
      <c r="H103" s="253">
        <f>'WA Electric'!F134/'WA Electric'!F138</f>
        <v>9748.6184210526317</v>
      </c>
      <c r="I103" s="253">
        <f>'WA Electric'!G134/'WA Electric'!G138</f>
        <v>9185.8618421052633</v>
      </c>
      <c r="J103" s="253">
        <f>'WA Electric'!H134/'WA Electric'!H138</f>
        <v>12212.486842105263</v>
      </c>
      <c r="K103" s="253">
        <f>'WA Electric'!I134/'WA Electric'!I138</f>
        <v>9626.480263157895</v>
      </c>
      <c r="L103" s="253">
        <f>'WA Electric'!J134/'WA Electric'!J138</f>
        <v>9506.8026315789466</v>
      </c>
      <c r="M103" s="253">
        <f>'WA Electric'!K134/'WA Electric'!K138</f>
        <v>9917.3289473684217</v>
      </c>
      <c r="N103" s="253">
        <f>'WA Electric'!L134/'WA Electric'!L138</f>
        <v>9936.2631578947367</v>
      </c>
      <c r="O103" s="253">
        <f>'WA Electric'!M134/'WA Electric'!M138</f>
        <v>11935.618421052632</v>
      </c>
      <c r="P103" s="253">
        <f>'WA Electric'!N134/'WA Electric'!N138</f>
        <v>11470.618421052632</v>
      </c>
      <c r="Q103" s="55">
        <f>'WA Electric'!O134/'WA Electric'!O138</f>
        <v>10253.177631578947</v>
      </c>
      <c r="R103" s="129">
        <f>SUM(F103:Q103)</f>
        <v>123450.26315789473</v>
      </c>
    </row>
    <row r="104" spans="1:18" ht="13.15" customHeight="1" x14ac:dyDescent="0.2">
      <c r="C104" s="37" t="s">
        <v>224</v>
      </c>
      <c r="E104" s="37" t="s">
        <v>225</v>
      </c>
      <c r="F104" s="253"/>
      <c r="G104" s="253"/>
      <c r="H104" s="253"/>
      <c r="I104" s="253"/>
      <c r="J104" s="253"/>
      <c r="K104" s="253"/>
      <c r="L104" s="253"/>
      <c r="M104" s="253"/>
      <c r="N104" s="253"/>
      <c r="O104" s="254"/>
      <c r="P104" s="254"/>
      <c r="Q104" s="55"/>
      <c r="R104" s="129">
        <f>SUM(F104:Q104)</f>
        <v>0</v>
      </c>
    </row>
    <row r="105" spans="1:18" ht="13.15" customHeight="1" x14ac:dyDescent="0.2">
      <c r="C105" s="37" t="s">
        <v>226</v>
      </c>
      <c r="E105" s="37" t="s">
        <v>227</v>
      </c>
      <c r="F105" s="253">
        <f>'WA Electric'!D135/'WA Electric'!D139</f>
        <v>51739.549222797927</v>
      </c>
      <c r="G105" s="253">
        <f>'WA Electric'!E135/'WA Electric'!E139</f>
        <v>56715.709844559591</v>
      </c>
      <c r="H105" s="253">
        <f>'WA Electric'!F135/'WA Electric'!F139</f>
        <v>50467.072538860106</v>
      </c>
      <c r="I105" s="253">
        <f>'WA Electric'!G135/'WA Electric'!G139</f>
        <v>50872.668393782384</v>
      </c>
      <c r="J105" s="253">
        <f>'WA Electric'!H135/'WA Electric'!H139</f>
        <v>52534.601036269429</v>
      </c>
      <c r="K105" s="253">
        <f>'WA Electric'!I135/'WA Electric'!I139</f>
        <v>50944.518134715028</v>
      </c>
      <c r="L105" s="253">
        <f>'WA Electric'!J135/'WA Electric'!J139</f>
        <v>52847.217616580318</v>
      </c>
      <c r="M105" s="253">
        <f>'WA Electric'!K135/'WA Electric'!K139</f>
        <v>52938.611398963738</v>
      </c>
      <c r="N105" s="253">
        <f>'WA Electric'!L135/'WA Electric'!L139</f>
        <v>52635.989637305705</v>
      </c>
      <c r="O105" s="253">
        <f>'WA Electric'!M135/'WA Electric'!M139</f>
        <v>50831.440414507771</v>
      </c>
      <c r="P105" s="253">
        <f>'WA Electric'!N135/'WA Electric'!N139</f>
        <v>51026.108808290155</v>
      </c>
      <c r="Q105" s="55">
        <f>'WA Electric'!O135/'WA Electric'!O139</f>
        <v>51083.481865284972</v>
      </c>
      <c r="R105" s="129">
        <f>SUM(F105:Q105)</f>
        <v>624636.96891191718</v>
      </c>
    </row>
    <row r="106" spans="1:18" ht="13.15" customHeight="1" x14ac:dyDescent="0.2">
      <c r="A106" s="37" t="s">
        <v>228</v>
      </c>
      <c r="F106" s="100">
        <f t="shared" ref="F106:R106" si="60">SUM(F103:F105)</f>
        <v>62504.266328061087</v>
      </c>
      <c r="G106" s="100">
        <f t="shared" si="60"/>
        <v>65607.999318243805</v>
      </c>
      <c r="H106" s="100">
        <f t="shared" si="60"/>
        <v>60215.690959912739</v>
      </c>
      <c r="I106" s="100">
        <f t="shared" si="60"/>
        <v>60058.530235887651</v>
      </c>
      <c r="J106" s="100">
        <f t="shared" si="60"/>
        <v>64747.087878374688</v>
      </c>
      <c r="K106" s="100">
        <f t="shared" si="60"/>
        <v>60570.998397872921</v>
      </c>
      <c r="L106" s="100">
        <f t="shared" si="60"/>
        <v>62354.020248159264</v>
      </c>
      <c r="M106" s="100">
        <f t="shared" si="60"/>
        <v>62855.940346332158</v>
      </c>
      <c r="N106" s="100">
        <f t="shared" si="60"/>
        <v>62572.252795200446</v>
      </c>
      <c r="O106" s="101">
        <f t="shared" si="60"/>
        <v>62767.058835560405</v>
      </c>
      <c r="P106" s="101">
        <f t="shared" si="60"/>
        <v>62496.727229342789</v>
      </c>
      <c r="Q106" s="102">
        <f t="shared" si="60"/>
        <v>61336.659496863918</v>
      </c>
      <c r="R106" s="92">
        <f t="shared" si="60"/>
        <v>748087.2320698119</v>
      </c>
    </row>
    <row r="107" spans="1:18" ht="13.15" customHeight="1" x14ac:dyDescent="0.2">
      <c r="F107" s="115">
        <f t="shared" ref="F107:Q107" si="61">F50</f>
        <v>64327.03</v>
      </c>
      <c r="G107" s="115">
        <f t="shared" si="61"/>
        <v>59202.77</v>
      </c>
      <c r="H107" s="115">
        <f t="shared" si="61"/>
        <v>60056.83</v>
      </c>
      <c r="I107" s="115">
        <f t="shared" si="61"/>
        <v>62541.79</v>
      </c>
      <c r="J107" s="115">
        <f t="shared" si="61"/>
        <v>60383.79</v>
      </c>
      <c r="K107" s="115">
        <f t="shared" si="61"/>
        <v>62411.86</v>
      </c>
      <c r="L107" s="115">
        <f t="shared" si="61"/>
        <v>62805.35</v>
      </c>
      <c r="M107" s="115">
        <f t="shared" si="61"/>
        <v>62232.46</v>
      </c>
      <c r="N107" s="115">
        <f t="shared" si="61"/>
        <v>62015.22</v>
      </c>
      <c r="O107" s="115">
        <f t="shared" si="61"/>
        <v>62061.83</v>
      </c>
      <c r="P107" s="115">
        <f t="shared" si="61"/>
        <v>60514.53</v>
      </c>
      <c r="Q107" s="116">
        <f t="shared" si="61"/>
        <v>62056.92</v>
      </c>
      <c r="R107" s="89">
        <f>SUM(F107:Q107)</f>
        <v>740610.38</v>
      </c>
    </row>
    <row r="108" spans="1:18" ht="13.15" customHeight="1" x14ac:dyDescent="0.2"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R108" s="89"/>
    </row>
    <row r="109" spans="1:18" ht="13.15" customHeight="1" x14ac:dyDescent="0.2">
      <c r="A109" s="117" t="s">
        <v>230</v>
      </c>
      <c r="B109" s="117" t="s">
        <v>231</v>
      </c>
      <c r="C109" s="117" t="s">
        <v>224</v>
      </c>
      <c r="E109" s="117" t="s">
        <v>231</v>
      </c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9"/>
      <c r="R109" s="108" t="e">
        <f>AVERAGE(F109:Q109)</f>
        <v>#DIV/0!</v>
      </c>
    </row>
    <row r="110" spans="1:18" ht="13.15" customHeight="1" x14ac:dyDescent="0.2">
      <c r="F110" s="56"/>
      <c r="G110" s="56"/>
      <c r="H110" s="56"/>
      <c r="I110" s="56"/>
      <c r="J110" s="56"/>
      <c r="K110" s="56"/>
      <c r="L110" s="56"/>
      <c r="M110" s="56"/>
      <c r="N110" s="56"/>
      <c r="O110" s="66"/>
      <c r="P110" s="66"/>
      <c r="Q110" s="67"/>
    </row>
    <row r="111" spans="1:18" ht="13.15" hidden="1" customHeight="1" x14ac:dyDescent="0.2">
      <c r="A111" s="37" t="s">
        <v>232</v>
      </c>
      <c r="F111" s="120">
        <f>500000*0.0575+MIN(5500000,F12-500000)*0.05177+MAX(0,F12-6000000)*0.04433+15000+F77*5.25-F103*1.1-F105*1.4</f>
        <v>2048377.9802522936</v>
      </c>
      <c r="G111" s="120">
        <f>500000*0.0575+MIN(5500000,G12-500000)*0.05177+MAX(0,G12-6000000)*0.04433+15000+G77*5.25-G103*1.1-G105*1.4</f>
        <v>1832888.7243365638</v>
      </c>
      <c r="H111" s="120">
        <f>500000*0.0575+MIN(5500000,H12-500000)*0.05177+MAX(0,H12-6000000)*0.04433+15000+H77*5.25-H103*1.1-H105*1.4</f>
        <v>2088651.4421224382</v>
      </c>
      <c r="I111" s="121">
        <f t="shared" ref="I111:Q111" si="62">500000*0.05616+MIN(5500000,I12-500000)*0.05053+MAX(0,I12-6000000)*0.0432+21000+I77*6-I103*1.1-I105*1.4</f>
        <v>2016723.8826223889</v>
      </c>
      <c r="J111" s="121">
        <f t="shared" si="62"/>
        <v>1819585.6942229071</v>
      </c>
      <c r="K111" s="121">
        <f t="shared" si="62"/>
        <v>1967867.8903219253</v>
      </c>
      <c r="L111" s="121">
        <f t="shared" si="62"/>
        <v>1977659.0484420508</v>
      </c>
      <c r="M111" s="121">
        <f t="shared" si="62"/>
        <v>2080171.9093993457</v>
      </c>
      <c r="N111" s="121">
        <f t="shared" si="62"/>
        <v>1988583.5394340879</v>
      </c>
      <c r="O111" s="122">
        <f t="shared" si="62"/>
        <v>2031337.0615565313</v>
      </c>
      <c r="P111" s="122">
        <f t="shared" si="62"/>
        <v>2007621.5058052358</v>
      </c>
      <c r="Q111" s="123">
        <f t="shared" si="62"/>
        <v>1847764.1899938644</v>
      </c>
      <c r="R111" s="124">
        <f>SUM(F111:Q111)</f>
        <v>23707232.868509635</v>
      </c>
    </row>
    <row r="112" spans="1:18" ht="13.15" hidden="1" customHeight="1" x14ac:dyDescent="0.2">
      <c r="A112" s="37" t="s">
        <v>233</v>
      </c>
      <c r="F112" s="125">
        <v>2183197</v>
      </c>
      <c r="G112" s="125">
        <v>2154617</v>
      </c>
      <c r="H112" s="125">
        <v>2076593</v>
      </c>
      <c r="I112" s="126">
        <f>2165579+21000-9245.5-77617.4</f>
        <v>2099716.1</v>
      </c>
      <c r="J112" s="126">
        <f>2051752+21000-73180.8-9497.4</f>
        <v>1990073.8</v>
      </c>
      <c r="K112" s="126">
        <f>2227520.8+21000-74188.8-9422.6</f>
        <v>2164909.4</v>
      </c>
      <c r="L112" s="126">
        <f>2172483.28+21000-74592-9458.9</f>
        <v>2109432.38</v>
      </c>
      <c r="M112" s="126">
        <f>2138921.74+21000-76406.4-9422.6</f>
        <v>2074092.7400000002</v>
      </c>
      <c r="N112" s="126">
        <f>2104738.35+21000-76004.6-8784.6</f>
        <v>2040949.15</v>
      </c>
      <c r="O112" s="127">
        <f>2150265.77+21000-72777.6-8819.8</f>
        <v>2089668.3699999999</v>
      </c>
      <c r="P112" s="127">
        <f>2158550.53+21000-70761.6-8996.9</f>
        <v>2099792.0299999998</v>
      </c>
      <c r="Q112" s="128">
        <f>2049012.26+21000-70358.4-9369.8</f>
        <v>1990284.06</v>
      </c>
      <c r="R112" s="124">
        <f>SUM(F112:Q112)</f>
        <v>25073325.030000001</v>
      </c>
    </row>
    <row r="113" spans="1:18" ht="13.15" hidden="1" customHeight="1" x14ac:dyDescent="0.2">
      <c r="F113" s="60"/>
      <c r="G113" s="60"/>
      <c r="H113" s="60"/>
      <c r="I113" s="129"/>
      <c r="J113" s="129"/>
      <c r="K113" s="129"/>
      <c r="L113" s="129"/>
      <c r="M113" s="129"/>
      <c r="N113" s="129"/>
      <c r="O113" s="130"/>
      <c r="P113" s="130"/>
      <c r="Q113" s="131"/>
      <c r="R113" s="124"/>
    </row>
    <row r="114" spans="1:18" ht="13.15" hidden="1" customHeight="1" x14ac:dyDescent="0.2">
      <c r="A114" s="43" t="s">
        <v>234</v>
      </c>
      <c r="B114" s="43"/>
      <c r="C114" s="43"/>
      <c r="D114" s="43"/>
      <c r="F114" s="56"/>
      <c r="G114" s="56"/>
      <c r="H114" s="56"/>
      <c r="I114" s="56"/>
      <c r="J114" s="56"/>
      <c r="K114" s="56"/>
      <c r="L114" s="56"/>
      <c r="M114" s="56"/>
      <c r="N114" s="56"/>
      <c r="O114" s="66"/>
      <c r="P114" s="66"/>
      <c r="Q114" s="67"/>
    </row>
    <row r="115" spans="1:18" ht="13.15" hidden="1" customHeight="1" x14ac:dyDescent="0.2">
      <c r="A115" s="37" t="s">
        <v>235</v>
      </c>
      <c r="E115" s="132">
        <v>-0.2</v>
      </c>
      <c r="F115" s="133">
        <f t="shared" ref="F115:Q115" si="63">(F65-F61-F62-F50)*$E115</f>
        <v>-17766.628800000002</v>
      </c>
      <c r="G115" s="133">
        <f t="shared" si="63"/>
        <v>-18321.522599999997</v>
      </c>
      <c r="H115" s="133">
        <f t="shared" si="63"/>
        <v>-18244.583599999998</v>
      </c>
      <c r="I115" s="133">
        <f t="shared" si="63"/>
        <v>-17890.297999999999</v>
      </c>
      <c r="J115" s="133">
        <f t="shared" si="63"/>
        <v>-18364.095199999992</v>
      </c>
      <c r="K115" s="133">
        <f t="shared" si="63"/>
        <v>-20949.696000000007</v>
      </c>
      <c r="L115" s="133">
        <f t="shared" si="63"/>
        <v>-19672.263999999996</v>
      </c>
      <c r="M115" s="133">
        <f t="shared" si="63"/>
        <v>-21023.015800000008</v>
      </c>
      <c r="N115" s="133">
        <f t="shared" si="63"/>
        <v>-20225.968199999999</v>
      </c>
      <c r="O115" s="134">
        <f t="shared" si="63"/>
        <v>-19974.092400000016</v>
      </c>
      <c r="P115" s="134">
        <f t="shared" si="63"/>
        <v>-18974.458799999993</v>
      </c>
      <c r="Q115" s="135">
        <f t="shared" si="63"/>
        <v>-19216.032200000001</v>
      </c>
      <c r="R115" s="136">
        <f>SUM(F115:Q115)</f>
        <v>-230622.6556</v>
      </c>
    </row>
    <row r="116" spans="1:18" ht="13.15" hidden="1" customHeight="1" x14ac:dyDescent="0.2">
      <c r="A116" s="37" t="s">
        <v>236</v>
      </c>
      <c r="E116" s="137">
        <f>-1.1</f>
        <v>-1.1000000000000001</v>
      </c>
      <c r="F116" s="133">
        <f t="shared" ref="F116:Q116" si="64">F103*$E116</f>
        <v>-11841.188815789475</v>
      </c>
      <c r="G116" s="133">
        <f t="shared" si="64"/>
        <v>-9781.5184210526313</v>
      </c>
      <c r="H116" s="133">
        <f t="shared" si="64"/>
        <v>-10723.480263157895</v>
      </c>
      <c r="I116" s="133">
        <f t="shared" si="64"/>
        <v>-10104.448026315791</v>
      </c>
      <c r="J116" s="133">
        <f t="shared" si="64"/>
        <v>-13433.735526315792</v>
      </c>
      <c r="K116" s="133">
        <f t="shared" si="64"/>
        <v>-10589.128289473685</v>
      </c>
      <c r="L116" s="133">
        <f t="shared" si="64"/>
        <v>-10457.482894736842</v>
      </c>
      <c r="M116" s="133">
        <f t="shared" si="64"/>
        <v>-10909.061842105264</v>
      </c>
      <c r="N116" s="133">
        <f t="shared" si="64"/>
        <v>-10929.88947368421</v>
      </c>
      <c r="O116" s="138">
        <f t="shared" si="64"/>
        <v>-13129.180263157896</v>
      </c>
      <c r="P116" s="138">
        <f t="shared" si="64"/>
        <v>-12617.680263157896</v>
      </c>
      <c r="Q116" s="139">
        <f t="shared" si="64"/>
        <v>-11278.495394736843</v>
      </c>
      <c r="R116" s="136">
        <f>SUM(F116:Q116)</f>
        <v>-135795.28947368418</v>
      </c>
    </row>
    <row r="117" spans="1:18" ht="13.15" hidden="1" customHeight="1" x14ac:dyDescent="0.2">
      <c r="A117" s="37" t="s">
        <v>237</v>
      </c>
      <c r="E117" s="137">
        <v>-1.4</v>
      </c>
      <c r="F117" s="133">
        <f t="shared" ref="F117:Q117" si="65">F105*$E117</f>
        <v>-72435.368911917089</v>
      </c>
      <c r="G117" s="133">
        <f t="shared" si="65"/>
        <v>-79401.993782383419</v>
      </c>
      <c r="H117" s="133">
        <f t="shared" si="65"/>
        <v>-70653.901554404147</v>
      </c>
      <c r="I117" s="133">
        <f t="shared" si="65"/>
        <v>-71221.735751295331</v>
      </c>
      <c r="J117" s="133">
        <f t="shared" si="65"/>
        <v>-73548.441450777202</v>
      </c>
      <c r="K117" s="133">
        <f t="shared" si="65"/>
        <v>-71322.325388601035</v>
      </c>
      <c r="L117" s="133">
        <f t="shared" si="65"/>
        <v>-73986.104663212434</v>
      </c>
      <c r="M117" s="133">
        <f t="shared" si="65"/>
        <v>-74114.05595854923</v>
      </c>
      <c r="N117" s="133">
        <f t="shared" si="65"/>
        <v>-73690.385492227986</v>
      </c>
      <c r="O117" s="138">
        <f t="shared" si="65"/>
        <v>-71164.016580310868</v>
      </c>
      <c r="P117" s="138">
        <f t="shared" si="65"/>
        <v>-71436.552331606217</v>
      </c>
      <c r="Q117" s="139">
        <f t="shared" si="65"/>
        <v>-71516.874611398962</v>
      </c>
      <c r="R117" s="136">
        <f>SUM(F117:Q117)</f>
        <v>-874491.75647668401</v>
      </c>
    </row>
    <row r="118" spans="1:18" ht="13.15" hidden="1" customHeight="1" x14ac:dyDescent="0.2">
      <c r="F118" s="140">
        <f t="shared" ref="F118:R118" si="66">SUM(F115:F117)</f>
        <v>-102043.18652770657</v>
      </c>
      <c r="G118" s="140">
        <f t="shared" si="66"/>
        <v>-107505.03480343605</v>
      </c>
      <c r="H118" s="140">
        <f t="shared" si="66"/>
        <v>-99621.965417562038</v>
      </c>
      <c r="I118" s="140">
        <f t="shared" si="66"/>
        <v>-99216.48177761113</v>
      </c>
      <c r="J118" s="140">
        <f t="shared" si="66"/>
        <v>-105346.27217709299</v>
      </c>
      <c r="K118" s="140">
        <f t="shared" si="66"/>
        <v>-102861.14967807473</v>
      </c>
      <c r="L118" s="140">
        <f t="shared" si="66"/>
        <v>-104115.85155794927</v>
      </c>
      <c r="M118" s="140">
        <f t="shared" si="66"/>
        <v>-106046.1336006545</v>
      </c>
      <c r="N118" s="140">
        <f t="shared" si="66"/>
        <v>-104846.24316591219</v>
      </c>
      <c r="O118" s="141">
        <f t="shared" si="66"/>
        <v>-104267.28924346878</v>
      </c>
      <c r="P118" s="141">
        <f t="shared" si="66"/>
        <v>-103028.69139476412</v>
      </c>
      <c r="Q118" s="142">
        <f t="shared" si="66"/>
        <v>-102011.4022061358</v>
      </c>
      <c r="R118" s="141">
        <f t="shared" si="66"/>
        <v>-1240909.7015503682</v>
      </c>
    </row>
    <row r="119" spans="1:18" ht="13.15" hidden="1" customHeight="1" x14ac:dyDescent="0.2">
      <c r="F119" s="56"/>
      <c r="G119" s="56"/>
      <c r="H119" s="56"/>
      <c r="I119" s="56"/>
      <c r="J119" s="56"/>
      <c r="K119" s="56"/>
      <c r="L119" s="56"/>
      <c r="M119" s="56"/>
      <c r="N119" s="56"/>
      <c r="O119" s="66"/>
      <c r="P119" s="66"/>
      <c r="Q119" s="67"/>
    </row>
    <row r="120" spans="1:18" x14ac:dyDescent="0.2">
      <c r="B120" s="43" t="s">
        <v>14</v>
      </c>
      <c r="C120" s="43"/>
      <c r="D120" s="43"/>
      <c r="F120" s="56">
        <v>23</v>
      </c>
      <c r="G120" s="56">
        <v>23</v>
      </c>
      <c r="H120" s="56">
        <v>23</v>
      </c>
      <c r="I120" s="56">
        <v>23</v>
      </c>
      <c r="J120" s="56">
        <v>23</v>
      </c>
      <c r="K120" s="56">
        <v>23</v>
      </c>
      <c r="L120" s="56">
        <v>23</v>
      </c>
      <c r="M120" s="56">
        <v>23</v>
      </c>
      <c r="N120" s="56">
        <v>23</v>
      </c>
      <c r="O120" s="143">
        <v>23</v>
      </c>
      <c r="P120" s="143">
        <v>23</v>
      </c>
      <c r="Q120" s="144">
        <v>23</v>
      </c>
      <c r="R120" s="53">
        <f t="shared" ref="R120:R122" si="67">SUM(F120:Q120)</f>
        <v>276</v>
      </c>
    </row>
    <row r="121" spans="1:18" ht="13.15" customHeight="1" x14ac:dyDescent="0.2">
      <c r="B121" s="43" t="s">
        <v>17</v>
      </c>
      <c r="C121" s="145"/>
      <c r="D121" s="145"/>
      <c r="E121" s="146"/>
      <c r="F121" s="129"/>
      <c r="G121" s="129"/>
      <c r="H121" s="129"/>
      <c r="I121" s="129"/>
      <c r="J121" s="129"/>
      <c r="K121" s="129"/>
      <c r="L121" s="129"/>
      <c r="M121" s="129"/>
      <c r="N121" s="129"/>
      <c r="O121" s="115"/>
      <c r="P121" s="115"/>
      <c r="Q121" s="116"/>
      <c r="R121" s="89"/>
    </row>
    <row r="122" spans="1:18" ht="13.15" customHeight="1" x14ac:dyDescent="0.2">
      <c r="A122" s="37">
        <v>1</v>
      </c>
      <c r="B122" s="45" t="str">
        <f>B4</f>
        <v>Goodrich - North 2311008572</v>
      </c>
      <c r="C122" s="145"/>
      <c r="D122" s="145"/>
      <c r="E122" s="146"/>
      <c r="F122" s="129">
        <f t="shared" ref="F122:Q122" si="68">IF(F4&gt;6000000,F4-6000000,0)</f>
        <v>0</v>
      </c>
      <c r="G122" s="129">
        <f t="shared" si="68"/>
        <v>0</v>
      </c>
      <c r="H122" s="129">
        <f t="shared" si="68"/>
        <v>0</v>
      </c>
      <c r="I122" s="129">
        <f t="shared" si="68"/>
        <v>0</v>
      </c>
      <c r="J122" s="129">
        <f t="shared" si="68"/>
        <v>0</v>
      </c>
      <c r="K122" s="129">
        <f t="shared" si="68"/>
        <v>0</v>
      </c>
      <c r="L122" s="129">
        <f t="shared" si="68"/>
        <v>0</v>
      </c>
      <c r="M122" s="129">
        <f t="shared" si="68"/>
        <v>0</v>
      </c>
      <c r="N122" s="129">
        <f t="shared" si="68"/>
        <v>0</v>
      </c>
      <c r="O122" s="115">
        <f t="shared" si="68"/>
        <v>0</v>
      </c>
      <c r="P122" s="129">
        <f t="shared" si="68"/>
        <v>0</v>
      </c>
      <c r="Q122" s="129">
        <f t="shared" si="68"/>
        <v>0</v>
      </c>
      <c r="R122" s="147">
        <f t="shared" si="67"/>
        <v>0</v>
      </c>
    </row>
    <row r="123" spans="1:18" ht="13.15" customHeight="1" x14ac:dyDescent="0.2">
      <c r="A123" s="37">
        <v>9</v>
      </c>
      <c r="B123" s="45" t="str">
        <f>B12</f>
        <v>Inland Empire Paper</v>
      </c>
      <c r="C123" s="145"/>
      <c r="D123" s="145"/>
      <c r="E123" s="146"/>
      <c r="F123" s="148">
        <f t="shared" ref="F123:Q123" si="69">F12-6000000</f>
        <v>33435656</v>
      </c>
      <c r="G123" s="148">
        <f t="shared" si="69"/>
        <v>29292188</v>
      </c>
      <c r="H123" s="148">
        <f t="shared" si="69"/>
        <v>34784468</v>
      </c>
      <c r="I123" s="148">
        <f t="shared" si="69"/>
        <v>32726952</v>
      </c>
      <c r="J123" s="148">
        <f t="shared" si="69"/>
        <v>28594216</v>
      </c>
      <c r="K123" s="148">
        <f t="shared" si="69"/>
        <v>31627620</v>
      </c>
      <c r="L123" s="148">
        <f t="shared" si="69"/>
        <v>31858230</v>
      </c>
      <c r="M123" s="148">
        <f t="shared" si="69"/>
        <v>34324196</v>
      </c>
      <c r="N123" s="148">
        <f t="shared" si="69"/>
        <v>32224942</v>
      </c>
      <c r="O123" s="148">
        <f t="shared" si="69"/>
        <v>33200562</v>
      </c>
      <c r="P123" s="148">
        <f t="shared" si="69"/>
        <v>32860962</v>
      </c>
      <c r="Q123" s="148">
        <f t="shared" si="69"/>
        <v>28917200</v>
      </c>
      <c r="R123" s="149">
        <f>SUM(F123:Q123)</f>
        <v>383847192</v>
      </c>
    </row>
    <row r="124" spans="1:18" ht="13.15" customHeight="1" x14ac:dyDescent="0.2">
      <c r="B124" s="43" t="s">
        <v>238</v>
      </c>
      <c r="C124" s="145"/>
      <c r="D124" s="145"/>
      <c r="E124" s="146"/>
      <c r="F124" s="129">
        <f>F122+F123</f>
        <v>33435656</v>
      </c>
      <c r="G124" s="129">
        <f t="shared" ref="G124:Q124" si="70">G122+G123</f>
        <v>29292188</v>
      </c>
      <c r="H124" s="129">
        <f t="shared" si="70"/>
        <v>34784468</v>
      </c>
      <c r="I124" s="129">
        <f t="shared" si="70"/>
        <v>32726952</v>
      </c>
      <c r="J124" s="129">
        <f t="shared" si="70"/>
        <v>28594216</v>
      </c>
      <c r="K124" s="129">
        <f t="shared" si="70"/>
        <v>31627620</v>
      </c>
      <c r="L124" s="129">
        <f t="shared" si="70"/>
        <v>31858230</v>
      </c>
      <c r="M124" s="129">
        <f t="shared" si="70"/>
        <v>34324196</v>
      </c>
      <c r="N124" s="129">
        <f t="shared" si="70"/>
        <v>32224942</v>
      </c>
      <c r="O124" s="115">
        <f t="shared" si="70"/>
        <v>33200562</v>
      </c>
      <c r="P124" s="115">
        <f t="shared" si="70"/>
        <v>32860962</v>
      </c>
      <c r="Q124" s="116">
        <f t="shared" si="70"/>
        <v>28917200</v>
      </c>
      <c r="R124" s="53">
        <f t="shared" ref="R124:R126" si="71">SUM(F124:Q124)</f>
        <v>383847192</v>
      </c>
    </row>
    <row r="125" spans="1:18" ht="13.15" customHeight="1" x14ac:dyDescent="0.2">
      <c r="B125" s="43" t="s">
        <v>239</v>
      </c>
      <c r="C125" s="145"/>
      <c r="D125" s="145"/>
      <c r="E125" s="146"/>
      <c r="F125" s="129">
        <f>F127-F126-F124</f>
        <v>39615165.570000008</v>
      </c>
      <c r="G125" s="129">
        <f t="shared" ref="G125:Q125" si="72">G127-G126-G124</f>
        <v>38742567.620000005</v>
      </c>
      <c r="H125" s="129">
        <f t="shared" si="72"/>
        <v>42629110.342000023</v>
      </c>
      <c r="I125" s="129">
        <f t="shared" si="72"/>
        <v>39510901.36499998</v>
      </c>
      <c r="J125" s="129">
        <f t="shared" si="72"/>
        <v>41303956.859999999</v>
      </c>
      <c r="K125" s="129">
        <f t="shared" si="72"/>
        <v>44518213.030000001</v>
      </c>
      <c r="L125" s="129">
        <f t="shared" si="72"/>
        <v>45936945.189999983</v>
      </c>
      <c r="M125" s="129">
        <f t="shared" si="72"/>
        <v>46154192.570000008</v>
      </c>
      <c r="N125" s="129">
        <f t="shared" si="72"/>
        <v>44577167.879999995</v>
      </c>
      <c r="O125" s="115">
        <f t="shared" si="72"/>
        <v>44254039.505000025</v>
      </c>
      <c r="P125" s="115">
        <f t="shared" si="72"/>
        <v>41522796.59799999</v>
      </c>
      <c r="Q125" s="116">
        <f t="shared" si="72"/>
        <v>43973565.531000003</v>
      </c>
      <c r="R125" s="53">
        <f t="shared" si="71"/>
        <v>512738622.06100005</v>
      </c>
    </row>
    <row r="126" spans="1:18" ht="13.15" customHeight="1" x14ac:dyDescent="0.2">
      <c r="B126" s="43" t="s">
        <v>240</v>
      </c>
      <c r="C126" s="145"/>
      <c r="D126" s="145"/>
      <c r="E126" s="146"/>
      <c r="F126" s="129">
        <f>F120*500000</f>
        <v>11500000</v>
      </c>
      <c r="G126" s="129">
        <f t="shared" ref="G126:Q126" si="73">G120*500000</f>
        <v>11500000</v>
      </c>
      <c r="H126" s="129">
        <f t="shared" si="73"/>
        <v>11500000</v>
      </c>
      <c r="I126" s="129">
        <f t="shared" si="73"/>
        <v>11500000</v>
      </c>
      <c r="J126" s="129">
        <f t="shared" si="73"/>
        <v>11500000</v>
      </c>
      <c r="K126" s="129">
        <f t="shared" si="73"/>
        <v>11500000</v>
      </c>
      <c r="L126" s="129">
        <f t="shared" si="73"/>
        <v>11500000</v>
      </c>
      <c r="M126" s="129">
        <f t="shared" si="73"/>
        <v>11500000</v>
      </c>
      <c r="N126" s="129">
        <f t="shared" si="73"/>
        <v>11500000</v>
      </c>
      <c r="O126" s="129">
        <f t="shared" si="73"/>
        <v>11500000</v>
      </c>
      <c r="P126" s="129">
        <f t="shared" si="73"/>
        <v>11500000</v>
      </c>
      <c r="Q126" s="129">
        <f t="shared" si="73"/>
        <v>11500000</v>
      </c>
      <c r="R126" s="149">
        <f t="shared" si="71"/>
        <v>138000000</v>
      </c>
    </row>
    <row r="127" spans="1:18" ht="13.15" customHeight="1" x14ac:dyDescent="0.2">
      <c r="B127" s="43" t="s">
        <v>241</v>
      </c>
      <c r="C127" s="145"/>
      <c r="D127" s="145"/>
      <c r="E127" s="146"/>
      <c r="F127" s="62">
        <f t="shared" ref="F127:R127" si="74">F27</f>
        <v>84550821.570000008</v>
      </c>
      <c r="G127" s="62">
        <f t="shared" si="74"/>
        <v>79534755.620000005</v>
      </c>
      <c r="H127" s="62">
        <f t="shared" si="74"/>
        <v>88913578.342000023</v>
      </c>
      <c r="I127" s="62">
        <f t="shared" si="74"/>
        <v>83737853.36499998</v>
      </c>
      <c r="J127" s="62">
        <f t="shared" si="74"/>
        <v>81398172.859999999</v>
      </c>
      <c r="K127" s="62">
        <f t="shared" si="74"/>
        <v>87645833.030000001</v>
      </c>
      <c r="L127" s="62">
        <f t="shared" si="74"/>
        <v>89295175.189999983</v>
      </c>
      <c r="M127" s="62">
        <f t="shared" si="74"/>
        <v>91978388.570000008</v>
      </c>
      <c r="N127" s="62">
        <f t="shared" si="74"/>
        <v>88302109.879999995</v>
      </c>
      <c r="O127" s="62">
        <f t="shared" si="74"/>
        <v>88954601.505000025</v>
      </c>
      <c r="P127" s="62">
        <f t="shared" si="74"/>
        <v>85883758.59799999</v>
      </c>
      <c r="Q127" s="63">
        <f t="shared" si="74"/>
        <v>84390765.531000003</v>
      </c>
      <c r="R127" s="62">
        <f t="shared" si="74"/>
        <v>1034585814.0609999</v>
      </c>
    </row>
    <row r="128" spans="1:18" ht="13.15" customHeight="1" x14ac:dyDescent="0.2">
      <c r="B128" s="145"/>
      <c r="C128" s="145"/>
      <c r="D128" s="145"/>
      <c r="E128" s="146"/>
      <c r="F128" s="129"/>
      <c r="G128" s="129"/>
      <c r="H128" s="129"/>
      <c r="I128" s="129"/>
      <c r="J128" s="129"/>
      <c r="K128" s="129"/>
      <c r="L128" s="129"/>
      <c r="M128" s="129"/>
      <c r="N128" s="129"/>
      <c r="O128" s="115"/>
      <c r="P128" s="115"/>
      <c r="Q128" s="116"/>
      <c r="R128" s="89"/>
    </row>
    <row r="129" spans="2:18" ht="13.15" customHeight="1" x14ac:dyDescent="0.2">
      <c r="B129" s="45" t="s">
        <v>242</v>
      </c>
      <c r="C129" s="45" t="s">
        <v>243</v>
      </c>
      <c r="D129" s="145"/>
      <c r="E129" s="146"/>
      <c r="F129" s="129">
        <f>F65-F62-F61-F63-F50</f>
        <v>85458.894</v>
      </c>
      <c r="G129" s="129">
        <f t="shared" ref="G129:Q129" si="75">G65-G62-G61-G63-G50</f>
        <v>87476.876999999979</v>
      </c>
      <c r="H129" s="129">
        <f t="shared" si="75"/>
        <v>87034.039000000004</v>
      </c>
      <c r="I129" s="129">
        <f t="shared" si="75"/>
        <v>85762.785999999993</v>
      </c>
      <c r="J129" s="129">
        <f t="shared" si="75"/>
        <v>87709.526999999973</v>
      </c>
      <c r="K129" s="129">
        <f t="shared" si="75"/>
        <v>96183.232000000033</v>
      </c>
      <c r="L129" s="129">
        <f t="shared" si="75"/>
        <v>93991.302999999985</v>
      </c>
      <c r="M129" s="129">
        <f t="shared" si="75"/>
        <v>99395.900000000023</v>
      </c>
      <c r="N129" s="129">
        <f t="shared" si="75"/>
        <v>95167.604999999981</v>
      </c>
      <c r="O129" s="129">
        <f t="shared" si="75"/>
        <v>94324.582000000068</v>
      </c>
      <c r="P129" s="129">
        <f t="shared" si="75"/>
        <v>89718.492999999959</v>
      </c>
      <c r="Q129" s="129">
        <f t="shared" si="75"/>
        <v>90114.092000000019</v>
      </c>
      <c r="R129" s="147">
        <f t="shared" ref="R129:R131" si="76">SUM(F129:Q129)</f>
        <v>1092337.33</v>
      </c>
    </row>
    <row r="130" spans="2:18" ht="13.15" customHeight="1" x14ac:dyDescent="0.2">
      <c r="B130" s="45" t="s">
        <v>244</v>
      </c>
      <c r="C130" s="45" t="s">
        <v>243</v>
      </c>
      <c r="D130" s="145"/>
      <c r="E130" s="146"/>
      <c r="F130" s="129">
        <f>F103</f>
        <v>10764.717105263158</v>
      </c>
      <c r="G130" s="129">
        <f t="shared" ref="G130:Q130" si="77">G103</f>
        <v>8892.28947368421</v>
      </c>
      <c r="H130" s="129">
        <f t="shared" si="77"/>
        <v>9748.6184210526317</v>
      </c>
      <c r="I130" s="129">
        <f t="shared" si="77"/>
        <v>9185.8618421052633</v>
      </c>
      <c r="J130" s="129">
        <f t="shared" si="77"/>
        <v>12212.486842105263</v>
      </c>
      <c r="K130" s="129">
        <f t="shared" si="77"/>
        <v>9626.480263157895</v>
      </c>
      <c r="L130" s="129">
        <f t="shared" si="77"/>
        <v>9506.8026315789466</v>
      </c>
      <c r="M130" s="129">
        <f t="shared" si="77"/>
        <v>9917.3289473684217</v>
      </c>
      <c r="N130" s="129">
        <f t="shared" si="77"/>
        <v>9936.2631578947367</v>
      </c>
      <c r="O130" s="115">
        <f t="shared" si="77"/>
        <v>11935.618421052632</v>
      </c>
      <c r="P130" s="115">
        <f t="shared" si="77"/>
        <v>11470.618421052632</v>
      </c>
      <c r="Q130" s="116">
        <f t="shared" si="77"/>
        <v>10253.177631578947</v>
      </c>
      <c r="R130" s="53">
        <f t="shared" si="76"/>
        <v>123450.26315789473</v>
      </c>
    </row>
    <row r="131" spans="2:18" ht="13.15" customHeight="1" x14ac:dyDescent="0.2">
      <c r="B131" s="45" t="s">
        <v>245</v>
      </c>
      <c r="C131" s="45" t="s">
        <v>243</v>
      </c>
      <c r="D131" s="145"/>
      <c r="E131" s="146"/>
      <c r="F131" s="129">
        <f>F105</f>
        <v>51739.549222797927</v>
      </c>
      <c r="G131" s="129">
        <f t="shared" ref="G131:Q131" si="78">G105</f>
        <v>56715.709844559591</v>
      </c>
      <c r="H131" s="129">
        <f t="shared" si="78"/>
        <v>50467.072538860106</v>
      </c>
      <c r="I131" s="129">
        <f t="shared" si="78"/>
        <v>50872.668393782384</v>
      </c>
      <c r="J131" s="129">
        <f t="shared" si="78"/>
        <v>52534.601036269429</v>
      </c>
      <c r="K131" s="129">
        <f t="shared" si="78"/>
        <v>50944.518134715028</v>
      </c>
      <c r="L131" s="129">
        <f t="shared" si="78"/>
        <v>52847.217616580318</v>
      </c>
      <c r="M131" s="129">
        <f t="shared" si="78"/>
        <v>52938.611398963738</v>
      </c>
      <c r="N131" s="129">
        <f t="shared" si="78"/>
        <v>52635.989637305705</v>
      </c>
      <c r="O131" s="115">
        <f t="shared" si="78"/>
        <v>50831.440414507771</v>
      </c>
      <c r="P131" s="115">
        <f t="shared" si="78"/>
        <v>51026.108808290155</v>
      </c>
      <c r="Q131" s="116">
        <f t="shared" si="78"/>
        <v>51083.481865284972</v>
      </c>
      <c r="R131" s="53">
        <f t="shared" si="76"/>
        <v>624636.96891191718</v>
      </c>
    </row>
    <row r="132" spans="2:18" ht="13.15" customHeight="1" x14ac:dyDescent="0.2">
      <c r="B132" s="145"/>
      <c r="C132" s="145"/>
      <c r="D132" s="145"/>
      <c r="E132" s="146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89"/>
    </row>
    <row r="133" spans="2:18" ht="13.15" customHeight="1" x14ac:dyDescent="0.2">
      <c r="B133" s="145"/>
      <c r="C133" s="145"/>
      <c r="D133" s="145"/>
      <c r="E133" s="146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89"/>
    </row>
    <row r="134" spans="2:18" ht="13.15" customHeight="1" x14ac:dyDescent="0.2">
      <c r="B134" s="145"/>
      <c r="C134" s="145"/>
      <c r="D134" s="145"/>
      <c r="E134" s="146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89"/>
    </row>
    <row r="135" spans="2:18" ht="13.15" customHeight="1" x14ac:dyDescent="0.2">
      <c r="B135" s="145"/>
      <c r="C135" s="145"/>
      <c r="D135" s="145"/>
      <c r="E135" s="146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89"/>
    </row>
    <row r="136" spans="2:18" ht="13.15" customHeight="1" x14ac:dyDescent="0.2">
      <c r="B136" s="145"/>
      <c r="C136" s="145"/>
      <c r="D136" s="145"/>
      <c r="E136" s="146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89"/>
    </row>
    <row r="137" spans="2:18" ht="13.15" customHeight="1" x14ac:dyDescent="0.2">
      <c r="B137" s="145"/>
      <c r="C137" s="145"/>
      <c r="D137" s="145"/>
      <c r="E137" s="146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89"/>
    </row>
    <row r="138" spans="2:18" ht="13.15" customHeight="1" x14ac:dyDescent="0.2">
      <c r="B138" s="145"/>
      <c r="C138" s="145"/>
      <c r="D138" s="145"/>
      <c r="E138" s="146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89"/>
    </row>
    <row r="139" spans="2:18" ht="13.15" customHeight="1" x14ac:dyDescent="0.2">
      <c r="B139" s="145"/>
      <c r="C139" s="145"/>
      <c r="D139" s="145"/>
      <c r="E139" s="146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89"/>
    </row>
    <row r="140" spans="2:18" ht="13.15" customHeight="1" x14ac:dyDescent="0.2">
      <c r="B140" s="145"/>
      <c r="C140" s="145"/>
      <c r="D140" s="145"/>
      <c r="E140" s="146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89"/>
    </row>
    <row r="141" spans="2:18" ht="13.15" customHeight="1" x14ac:dyDescent="0.2">
      <c r="B141" s="145"/>
      <c r="C141" s="145"/>
      <c r="D141" s="145"/>
      <c r="E141" s="146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89"/>
    </row>
    <row r="142" spans="2:18" ht="13.15" customHeight="1" x14ac:dyDescent="0.2">
      <c r="R142" s="89"/>
    </row>
    <row r="143" spans="2:18" ht="13.15" customHeight="1" x14ac:dyDescent="0.2">
      <c r="R143" s="89"/>
    </row>
  </sheetData>
  <conditionalFormatting sqref="R39">
    <cfRule type="expression" dxfId="3" priority="3" stopIfTrue="1">
      <formula>ABS(R39-#REF!)&gt;1</formula>
    </cfRule>
  </conditionalFormatting>
  <conditionalFormatting sqref="U28">
    <cfRule type="cellIs" dxfId="2" priority="1" operator="notEqual">
      <formula>$R$27</formula>
    </cfRule>
    <cfRule type="expression" dxfId="1" priority="2" stopIfTrue="1">
      <formula>ABS($R$27-$U$28)&gt;0.5</formula>
    </cfRule>
  </conditionalFormatting>
  <printOptions horizontalCentered="1"/>
  <pageMargins left="0.5" right="0.56000000000000005" top="0.87" bottom="0.21" header="0.4" footer="0.49"/>
  <pageSetup scale="62" fitToHeight="2" orientation="landscape" r:id="rId1"/>
  <headerFooter alignWithMargins="0">
    <oddFooter>&amp;C&amp;F / &amp;A</oddFooter>
  </headerFooter>
  <rowBreaks count="1" manualBreakCount="1">
    <brk id="67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1"/>
  <sheetViews>
    <sheetView zoomScale="86" zoomScaleNormal="86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S11" sqref="S11"/>
    </sheetView>
  </sheetViews>
  <sheetFormatPr defaultRowHeight="15" x14ac:dyDescent="0.25"/>
  <cols>
    <col min="1" max="1" width="7.5703125" customWidth="1"/>
    <col min="2" max="2" width="22.140625" customWidth="1"/>
    <col min="3" max="3" width="1.5703125" customWidth="1"/>
    <col min="4" max="9" width="14.28515625" customWidth="1"/>
    <col min="10" max="10" width="14.42578125" customWidth="1"/>
    <col min="11" max="11" width="14.28515625" customWidth="1"/>
    <col min="12" max="12" width="14.85546875" customWidth="1"/>
    <col min="13" max="13" width="14.28515625" customWidth="1"/>
    <col min="14" max="14" width="14.7109375" style="14" customWidth="1"/>
    <col min="15" max="15" width="15" style="14" customWidth="1"/>
    <col min="16" max="16" width="16.7109375" customWidth="1"/>
    <col min="17" max="17" width="14.7109375" customWidth="1"/>
    <col min="18" max="18" width="11.5703125" style="236" customWidth="1"/>
    <col min="19" max="19" width="13" customWidth="1"/>
    <col min="20" max="20" width="14" customWidth="1"/>
    <col min="21" max="21" width="13.5703125" customWidth="1"/>
    <col min="22" max="22" width="12.42578125" customWidth="1"/>
    <col min="23" max="23" width="12.85546875" customWidth="1"/>
    <col min="24" max="25" width="13.85546875" customWidth="1"/>
    <col min="26" max="26" width="13.5703125" customWidth="1"/>
    <col min="27" max="27" width="12.42578125" customWidth="1"/>
    <col min="28" max="28" width="12.85546875" customWidth="1"/>
    <col min="29" max="29" width="12.42578125" style="14" customWidth="1"/>
    <col min="30" max="30" width="13.5703125" style="14" customWidth="1"/>
    <col min="31" max="31" width="14.7109375" customWidth="1"/>
    <col min="32" max="32" width="18" customWidth="1"/>
    <col min="33" max="33" width="8.85546875" hidden="1" customWidth="1"/>
  </cols>
  <sheetData>
    <row r="1" spans="1:31" x14ac:dyDescent="0.25">
      <c r="A1" t="s">
        <v>0</v>
      </c>
      <c r="R1" s="236" t="s">
        <v>301</v>
      </c>
    </row>
    <row r="2" spans="1:31" x14ac:dyDescent="0.25">
      <c r="B2">
        <v>2021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10">
        <v>208615</v>
      </c>
      <c r="E3" s="10">
        <v>210079</v>
      </c>
      <c r="F3" s="10">
        <v>249973</v>
      </c>
      <c r="G3" s="10">
        <v>223523</v>
      </c>
      <c r="H3" s="10">
        <v>223080</v>
      </c>
      <c r="I3" s="10">
        <v>223210</v>
      </c>
      <c r="J3" s="10">
        <v>223403</v>
      </c>
      <c r="K3" s="10">
        <v>223824</v>
      </c>
      <c r="L3" s="10">
        <v>224044</v>
      </c>
      <c r="M3" s="10">
        <v>224267</v>
      </c>
      <c r="N3" s="10">
        <v>224319</v>
      </c>
      <c r="O3" s="10">
        <v>224901</v>
      </c>
      <c r="P3" s="2">
        <f>SUM(D3:O3)</f>
        <v>2683238</v>
      </c>
      <c r="Q3" s="10">
        <v>581</v>
      </c>
      <c r="R3" s="249">
        <v>9</v>
      </c>
      <c r="S3" s="3">
        <f t="shared" ref="S3:S15" si="0">$R3*D3</f>
        <v>1877535</v>
      </c>
      <c r="T3" s="3">
        <f t="shared" ref="T3:T15" si="1">$R3*E3</f>
        <v>1890711</v>
      </c>
      <c r="U3" s="3">
        <f t="shared" ref="U3:U15" si="2">$R3*F3</f>
        <v>2249757</v>
      </c>
      <c r="V3" s="3">
        <f t="shared" ref="V3:V15" si="3">$R3*G3</f>
        <v>2011707</v>
      </c>
      <c r="W3" s="3">
        <f t="shared" ref="W3:W15" si="4">$R3*H3</f>
        <v>2007720</v>
      </c>
      <c r="X3" s="3">
        <f t="shared" ref="X3:X15" si="5">$R3*I3</f>
        <v>2008890</v>
      </c>
      <c r="Y3" s="3">
        <f t="shared" ref="Y3:Y15" si="6">$R3*J3</f>
        <v>2010627</v>
      </c>
      <c r="Z3" s="3">
        <f t="shared" ref="Z3:Z15" si="7">$R3*K3</f>
        <v>2014416</v>
      </c>
      <c r="AA3" s="3">
        <f t="shared" ref="AA3:AA15" si="8">$R3*L3</f>
        <v>2016396</v>
      </c>
      <c r="AB3" s="3">
        <f t="shared" ref="AB3:AB15" si="9">$R3*M3</f>
        <v>2018403</v>
      </c>
      <c r="AC3" s="20">
        <f t="shared" ref="AC3:AC15" si="10">$R3*N3</f>
        <v>2018871</v>
      </c>
      <c r="AD3" s="20">
        <f t="shared" ref="AD3:AD15" si="11">$R3*O3</f>
        <v>2024109</v>
      </c>
      <c r="AE3" s="3">
        <f>SUM(S3:AD3)</f>
        <v>24149142</v>
      </c>
    </row>
    <row r="4" spans="1:31" x14ac:dyDescent="0.25">
      <c r="B4" t="s">
        <v>15</v>
      </c>
      <c r="D4" s="10">
        <v>144981840.01001</v>
      </c>
      <c r="E4" s="10">
        <v>143075800.82137001</v>
      </c>
      <c r="F4" s="10">
        <v>164669109.32076001</v>
      </c>
      <c r="G4" s="10">
        <v>136944384.43382999</v>
      </c>
      <c r="H4" s="10">
        <v>125480929.87554</v>
      </c>
      <c r="I4" s="10">
        <v>130893949.55185001</v>
      </c>
      <c r="J4" s="10">
        <v>147701171.63655001</v>
      </c>
      <c r="K4" s="10">
        <v>147887643.98653001</v>
      </c>
      <c r="L4" s="10">
        <v>133131158.84596001</v>
      </c>
      <c r="M4" s="10">
        <v>126749779.52166</v>
      </c>
      <c r="N4" s="10">
        <v>137422207.06094</v>
      </c>
      <c r="O4" s="10">
        <v>151781619.80140999</v>
      </c>
      <c r="P4" s="2">
        <f t="shared" ref="P4:P67" si="12">SUM(D4:O4)</f>
        <v>1690719594.86641</v>
      </c>
      <c r="Q4" s="15">
        <f>IF(P4-P3*Q3&gt;0,P4-P3*Q3,0)</f>
        <v>131758316.86641002</v>
      </c>
      <c r="R4" s="250">
        <v>8.022E-2</v>
      </c>
      <c r="S4" s="3">
        <f>$R4*D4</f>
        <v>11630443.205603002</v>
      </c>
      <c r="T4" s="3">
        <f t="shared" si="1"/>
        <v>11477540.741890302</v>
      </c>
      <c r="U4" s="3">
        <f t="shared" si="2"/>
        <v>13209755.949711367</v>
      </c>
      <c r="V4" s="3">
        <f t="shared" si="3"/>
        <v>10985678.519281842</v>
      </c>
      <c r="W4" s="3">
        <f t="shared" si="4"/>
        <v>10066080.194615819</v>
      </c>
      <c r="X4" s="3">
        <f t="shared" si="5"/>
        <v>10500312.633049408</v>
      </c>
      <c r="Y4" s="3">
        <f t="shared" si="6"/>
        <v>11848587.988684041</v>
      </c>
      <c r="Z4" s="3">
        <f t="shared" si="7"/>
        <v>11863546.800599437</v>
      </c>
      <c r="AA4" s="3">
        <f t="shared" si="8"/>
        <v>10679781.562622912</v>
      </c>
      <c r="AB4" s="3">
        <f t="shared" si="9"/>
        <v>10167867.313227566</v>
      </c>
      <c r="AC4" s="20">
        <f t="shared" si="10"/>
        <v>11024009.450428607</v>
      </c>
      <c r="AD4" s="20">
        <f t="shared" si="11"/>
        <v>12175921.54046911</v>
      </c>
      <c r="AE4" s="3">
        <f t="shared" ref="AE4:AE54" si="13">SUM(S4:AD4)</f>
        <v>135629525.90018341</v>
      </c>
    </row>
    <row r="5" spans="1:31" x14ac:dyDescent="0.25">
      <c r="B5" t="s">
        <v>16</v>
      </c>
      <c r="D5" s="10">
        <v>65034880.213990003</v>
      </c>
      <c r="E5" s="10">
        <v>59764999.31363</v>
      </c>
      <c r="F5" s="10">
        <v>60852901.142240003</v>
      </c>
      <c r="G5" s="10">
        <v>37520727.883170001</v>
      </c>
      <c r="H5" s="10">
        <v>23616941.672460001</v>
      </c>
      <c r="I5" s="10">
        <v>29382819.899149999</v>
      </c>
      <c r="J5" s="10">
        <v>60531393.970990002</v>
      </c>
      <c r="K5" s="10">
        <v>58081591.439560004</v>
      </c>
      <c r="L5" s="10">
        <v>33295882.146019999</v>
      </c>
      <c r="M5" s="10">
        <v>23516062.097339999</v>
      </c>
      <c r="N5" s="10">
        <v>36005191.742109999</v>
      </c>
      <c r="O5" s="10">
        <v>59425892.834619999</v>
      </c>
      <c r="P5" s="2">
        <f t="shared" si="12"/>
        <v>547029284.35527992</v>
      </c>
      <c r="Q5" s="15">
        <f>IF(P4-P3*Q3&lt;0,P5+P4-P3*Q3,P5)</f>
        <v>547029284.35527992</v>
      </c>
      <c r="R5" s="250">
        <v>9.3460000000000001E-2</v>
      </c>
      <c r="S5" s="3">
        <f t="shared" si="0"/>
        <v>6078159.9047995061</v>
      </c>
      <c r="T5" s="3">
        <f t="shared" si="1"/>
        <v>5585636.8358518602</v>
      </c>
      <c r="U5" s="3">
        <f t="shared" si="2"/>
        <v>5687312.1407537507</v>
      </c>
      <c r="V5" s="3">
        <f t="shared" si="3"/>
        <v>3506687.2279610685</v>
      </c>
      <c r="W5" s="3">
        <f t="shared" si="4"/>
        <v>2207239.3687081118</v>
      </c>
      <c r="X5" s="3">
        <f t="shared" si="5"/>
        <v>2746118.3477745592</v>
      </c>
      <c r="Y5" s="3">
        <f t="shared" si="6"/>
        <v>5657264.0805287259</v>
      </c>
      <c r="Z5" s="3">
        <f t="shared" si="7"/>
        <v>5428305.5359412776</v>
      </c>
      <c r="AA5" s="3">
        <f t="shared" si="8"/>
        <v>3111833.1453670291</v>
      </c>
      <c r="AB5" s="3">
        <f t="shared" si="9"/>
        <v>2197811.1636173963</v>
      </c>
      <c r="AC5" s="20">
        <f t="shared" si="10"/>
        <v>3365045.2202176005</v>
      </c>
      <c r="AD5" s="20">
        <f t="shared" si="11"/>
        <v>5553943.9443235854</v>
      </c>
      <c r="AE5" s="3">
        <f t="shared" si="13"/>
        <v>51125356.915844463</v>
      </c>
    </row>
    <row r="6" spans="1:31" x14ac:dyDescent="0.25">
      <c r="B6" t="s">
        <v>17</v>
      </c>
      <c r="D6" s="10">
        <v>53532179.240000002</v>
      </c>
      <c r="E6" s="10">
        <v>47574216.43</v>
      </c>
      <c r="F6" s="10">
        <v>40884900.662</v>
      </c>
      <c r="G6" s="10">
        <v>16277699.706</v>
      </c>
      <c r="H6" s="10">
        <v>6826543.875</v>
      </c>
      <c r="I6" s="10">
        <v>8855416.4350000005</v>
      </c>
      <c r="J6" s="10">
        <v>27762982.850000001</v>
      </c>
      <c r="K6" s="10">
        <v>25818792.07502</v>
      </c>
      <c r="L6" s="10">
        <v>11128060.719000001</v>
      </c>
      <c r="M6" s="10">
        <v>6458829.75691</v>
      </c>
      <c r="N6" s="10">
        <v>14487964.969009999</v>
      </c>
      <c r="O6" s="10">
        <v>40618596.961999997</v>
      </c>
      <c r="P6" s="2">
        <f t="shared" si="12"/>
        <v>300226183.67994004</v>
      </c>
      <c r="Q6" s="15">
        <f>P6</f>
        <v>300226183.67994004</v>
      </c>
      <c r="R6" s="250">
        <v>0.10972</v>
      </c>
      <c r="S6" s="3">
        <f t="shared" si="0"/>
        <v>5873550.7062128</v>
      </c>
      <c r="T6" s="3">
        <f t="shared" si="1"/>
        <v>5219843.0266995998</v>
      </c>
      <c r="U6" s="3">
        <f t="shared" si="2"/>
        <v>4485891.3006346403</v>
      </c>
      <c r="V6" s="3">
        <f t="shared" si="3"/>
        <v>1785989.2117423201</v>
      </c>
      <c r="W6" s="3">
        <f t="shared" si="4"/>
        <v>749008.39396499994</v>
      </c>
      <c r="X6" s="3">
        <f t="shared" si="5"/>
        <v>971616.2912482</v>
      </c>
      <c r="Y6" s="3">
        <f t="shared" si="6"/>
        <v>3046154.4783020001</v>
      </c>
      <c r="Z6" s="3">
        <f t="shared" si="7"/>
        <v>2832837.8664711942</v>
      </c>
      <c r="AA6" s="3">
        <f t="shared" si="8"/>
        <v>1220970.82208868</v>
      </c>
      <c r="AB6" s="3">
        <f t="shared" si="9"/>
        <v>708662.8009281652</v>
      </c>
      <c r="AC6" s="20">
        <f t="shared" si="10"/>
        <v>1589619.516399777</v>
      </c>
      <c r="AD6" s="20">
        <f t="shared" si="11"/>
        <v>4456672.4586706394</v>
      </c>
      <c r="AE6" s="3">
        <f t="shared" si="13"/>
        <v>32940816.873363014</v>
      </c>
    </row>
    <row r="7" spans="1:31" x14ac:dyDescent="0.25">
      <c r="A7" t="s">
        <v>35</v>
      </c>
      <c r="B7" t="s">
        <v>14</v>
      </c>
      <c r="D7" s="10">
        <v>473</v>
      </c>
      <c r="E7" s="10">
        <v>502</v>
      </c>
      <c r="F7" s="10">
        <v>574</v>
      </c>
      <c r="G7" s="10">
        <v>540</v>
      </c>
      <c r="H7" s="10">
        <v>549</v>
      </c>
      <c r="I7" s="10">
        <v>560</v>
      </c>
      <c r="J7" s="10">
        <v>555</v>
      </c>
      <c r="K7" s="10">
        <v>524</v>
      </c>
      <c r="L7" s="10">
        <v>573</v>
      </c>
      <c r="M7" s="10">
        <v>638</v>
      </c>
      <c r="N7" s="10">
        <v>649</v>
      </c>
      <c r="O7" s="10">
        <v>655</v>
      </c>
      <c r="P7" s="2">
        <f t="shared" si="12"/>
        <v>6792</v>
      </c>
      <c r="Q7" s="15"/>
      <c r="R7" s="249">
        <v>9</v>
      </c>
      <c r="S7" s="3">
        <f t="shared" si="0"/>
        <v>4257</v>
      </c>
      <c r="T7" s="3">
        <f t="shared" si="1"/>
        <v>4518</v>
      </c>
      <c r="U7" s="3">
        <f t="shared" si="2"/>
        <v>5166</v>
      </c>
      <c r="V7" s="3">
        <f t="shared" si="3"/>
        <v>4860</v>
      </c>
      <c r="W7" s="3">
        <f t="shared" si="4"/>
        <v>4941</v>
      </c>
      <c r="X7" s="3">
        <f t="shared" si="5"/>
        <v>5040</v>
      </c>
      <c r="Y7" s="3">
        <f t="shared" si="6"/>
        <v>4995</v>
      </c>
      <c r="Z7" s="3">
        <f t="shared" si="7"/>
        <v>4716</v>
      </c>
      <c r="AA7" s="3">
        <f t="shared" si="8"/>
        <v>5157</v>
      </c>
      <c r="AB7" s="3">
        <f t="shared" si="9"/>
        <v>5742</v>
      </c>
      <c r="AC7" s="20">
        <f t="shared" si="10"/>
        <v>5841</v>
      </c>
      <c r="AD7" s="20">
        <f t="shared" si="11"/>
        <v>5895</v>
      </c>
      <c r="AE7" s="3">
        <f t="shared" si="13"/>
        <v>61128</v>
      </c>
    </row>
    <row r="8" spans="1:31" x14ac:dyDescent="0.25">
      <c r="B8" t="s">
        <v>15</v>
      </c>
      <c r="D8" s="10">
        <v>355078.73567000002</v>
      </c>
      <c r="E8" s="10">
        <v>375057.42599999998</v>
      </c>
      <c r="F8" s="10">
        <v>418161.60600000003</v>
      </c>
      <c r="G8" s="10">
        <v>373623.51400000002</v>
      </c>
      <c r="H8" s="10">
        <v>339541.09667</v>
      </c>
      <c r="I8" s="10">
        <v>341862.56699999998</v>
      </c>
      <c r="J8" s="10">
        <v>367086.35318999999</v>
      </c>
      <c r="K8" s="10">
        <v>341049.71033999999</v>
      </c>
      <c r="L8" s="10">
        <v>337194.73599999998</v>
      </c>
      <c r="M8" s="10">
        <v>391897.20442999998</v>
      </c>
      <c r="N8" s="10">
        <v>453599.03366000002</v>
      </c>
      <c r="O8" s="10">
        <v>487188.07133000001</v>
      </c>
      <c r="P8" s="2">
        <f t="shared" si="12"/>
        <v>4581340.0542900003</v>
      </c>
      <c r="Q8" s="15"/>
      <c r="R8" s="250">
        <v>4.9579999999999999E-2</v>
      </c>
      <c r="S8" s="3">
        <f t="shared" si="0"/>
        <v>17604.803714518603</v>
      </c>
      <c r="T8" s="3">
        <f t="shared" si="1"/>
        <v>18595.34718108</v>
      </c>
      <c r="U8" s="3">
        <f t="shared" si="2"/>
        <v>20732.452425480002</v>
      </c>
      <c r="V8" s="3">
        <f t="shared" si="3"/>
        <v>18524.253824120002</v>
      </c>
      <c r="W8" s="3">
        <f t="shared" si="4"/>
        <v>16834.4475728986</v>
      </c>
      <c r="X8" s="3">
        <f t="shared" si="5"/>
        <v>16949.546071859997</v>
      </c>
      <c r="Y8" s="3">
        <f t="shared" si="6"/>
        <v>18200.141391160199</v>
      </c>
      <c r="Z8" s="3">
        <f t="shared" si="7"/>
        <v>16909.244638657201</v>
      </c>
      <c r="AA8" s="3">
        <f t="shared" si="8"/>
        <v>16718.115010879999</v>
      </c>
      <c r="AB8" s="3">
        <f t="shared" si="9"/>
        <v>19430.263395639398</v>
      </c>
      <c r="AC8" s="20">
        <f t="shared" si="10"/>
        <v>22489.440088862801</v>
      </c>
      <c r="AD8" s="20">
        <f t="shared" si="11"/>
        <v>24154.784576541399</v>
      </c>
      <c r="AE8" s="3">
        <f t="shared" si="13"/>
        <v>227142.83989169821</v>
      </c>
    </row>
    <row r="9" spans="1:31" x14ac:dyDescent="0.25">
      <c r="B9" t="s">
        <v>16</v>
      </c>
      <c r="D9" s="10">
        <v>201995.09333</v>
      </c>
      <c r="E9" s="10">
        <v>209259.50399999999</v>
      </c>
      <c r="F9" s="10">
        <v>207028.731</v>
      </c>
      <c r="G9" s="10">
        <v>138458.75399999999</v>
      </c>
      <c r="H9" s="10">
        <v>77399.319329999998</v>
      </c>
      <c r="I9" s="10">
        <v>69029.442999999999</v>
      </c>
      <c r="J9" s="10">
        <v>116562.72509000001</v>
      </c>
      <c r="K9" s="10">
        <v>100050.55065999999</v>
      </c>
      <c r="L9" s="10">
        <v>66686.489010000005</v>
      </c>
      <c r="M9" s="10">
        <v>88253.461779999998</v>
      </c>
      <c r="N9" s="10">
        <v>173240.59933999999</v>
      </c>
      <c r="O9" s="10">
        <v>263329.20567</v>
      </c>
      <c r="P9" s="273">
        <f t="shared" si="12"/>
        <v>1711293.8762099999</v>
      </c>
      <c r="Q9" s="15"/>
      <c r="R9" s="250">
        <v>6.2820000000000001E-2</v>
      </c>
      <c r="S9" s="3">
        <f t="shared" si="0"/>
        <v>12689.3317629906</v>
      </c>
      <c r="T9" s="3">
        <f t="shared" si="1"/>
        <v>13145.682041279999</v>
      </c>
      <c r="U9" s="3">
        <f t="shared" si="2"/>
        <v>13005.544881420001</v>
      </c>
      <c r="V9" s="3">
        <f t="shared" si="3"/>
        <v>8697.9789262799986</v>
      </c>
      <c r="W9" s="3">
        <f t="shared" si="4"/>
        <v>4862.2252403106004</v>
      </c>
      <c r="X9" s="3">
        <f t="shared" si="5"/>
        <v>4336.4296092599998</v>
      </c>
      <c r="Y9" s="3">
        <f t="shared" si="6"/>
        <v>7322.4703901538005</v>
      </c>
      <c r="Z9" s="3">
        <f t="shared" si="7"/>
        <v>6285.1755924611998</v>
      </c>
      <c r="AA9" s="3">
        <f t="shared" si="8"/>
        <v>4189.2452396082008</v>
      </c>
      <c r="AB9" s="3">
        <f t="shared" si="9"/>
        <v>5544.0824690195996</v>
      </c>
      <c r="AC9" s="20">
        <f t="shared" si="10"/>
        <v>10882.974450538799</v>
      </c>
      <c r="AD9" s="20">
        <f t="shared" si="11"/>
        <v>16542.340700189401</v>
      </c>
      <c r="AE9" s="3">
        <f t="shared" si="13"/>
        <v>107503.48130351218</v>
      </c>
    </row>
    <row r="10" spans="1:31" x14ac:dyDescent="0.25">
      <c r="B10" t="s">
        <v>17</v>
      </c>
      <c r="D10" s="10">
        <v>235822.96799999999</v>
      </c>
      <c r="E10" s="10">
        <v>231814.842</v>
      </c>
      <c r="F10" s="10">
        <v>196849.467</v>
      </c>
      <c r="G10" s="10">
        <v>79255.320999999996</v>
      </c>
      <c r="H10" s="10">
        <v>21766.754000000001</v>
      </c>
      <c r="I10" s="10">
        <v>16993.499</v>
      </c>
      <c r="J10" s="10">
        <v>44678.028050000001</v>
      </c>
      <c r="K10" s="10">
        <v>41671.120000000003</v>
      </c>
      <c r="L10" s="10">
        <v>27452.933000000001</v>
      </c>
      <c r="M10" s="10">
        <v>23553.00403</v>
      </c>
      <c r="N10" s="10">
        <v>87733.464999999997</v>
      </c>
      <c r="O10" s="10">
        <v>250257.033</v>
      </c>
      <c r="P10" s="2">
        <f t="shared" si="12"/>
        <v>1257848.4340799998</v>
      </c>
      <c r="Q10" s="15"/>
      <c r="R10" s="250">
        <v>7.9079999999999998E-2</v>
      </c>
      <c r="S10" s="3">
        <f t="shared" si="0"/>
        <v>18648.880309439999</v>
      </c>
      <c r="T10" s="3">
        <f t="shared" si="1"/>
        <v>18331.91770536</v>
      </c>
      <c r="U10" s="3">
        <f t="shared" si="2"/>
        <v>15566.85585036</v>
      </c>
      <c r="V10" s="3">
        <f t="shared" si="3"/>
        <v>6267.5107846799992</v>
      </c>
      <c r="W10" s="3">
        <f t="shared" si="4"/>
        <v>1721.3149063200001</v>
      </c>
      <c r="X10" s="3">
        <f t="shared" si="5"/>
        <v>1343.8459009199998</v>
      </c>
      <c r="Y10" s="3">
        <f t="shared" si="6"/>
        <v>3533.1384581940001</v>
      </c>
      <c r="Z10" s="3">
        <f t="shared" si="7"/>
        <v>3295.3521696000003</v>
      </c>
      <c r="AA10" s="3">
        <f t="shared" si="8"/>
        <v>2170.9779416400002</v>
      </c>
      <c r="AB10" s="3">
        <f t="shared" si="9"/>
        <v>1862.5715586924</v>
      </c>
      <c r="AC10" s="20">
        <f t="shared" si="10"/>
        <v>6937.9624121999996</v>
      </c>
      <c r="AD10" s="20">
        <f t="shared" si="11"/>
        <v>19790.32616964</v>
      </c>
      <c r="AE10" s="3">
        <f t="shared" si="13"/>
        <v>99470.654167046407</v>
      </c>
    </row>
    <row r="11" spans="1:31" x14ac:dyDescent="0.25">
      <c r="A11" t="s">
        <v>294</v>
      </c>
      <c r="B11" t="s">
        <v>14</v>
      </c>
      <c r="D11" s="10">
        <v>22183</v>
      </c>
      <c r="E11" s="10">
        <v>22142</v>
      </c>
      <c r="F11" s="10">
        <v>26006</v>
      </c>
      <c r="G11" s="10">
        <v>23574</v>
      </c>
      <c r="H11" s="10">
        <v>23463</v>
      </c>
      <c r="I11" s="10">
        <v>23665</v>
      </c>
      <c r="J11" s="10">
        <v>23603</v>
      </c>
      <c r="K11" s="10">
        <v>23597</v>
      </c>
      <c r="L11" s="10">
        <v>23654</v>
      </c>
      <c r="M11" s="10">
        <v>23733</v>
      </c>
      <c r="N11" s="10">
        <v>23632</v>
      </c>
      <c r="O11" s="10">
        <v>23777</v>
      </c>
      <c r="P11" s="2">
        <f t="shared" si="12"/>
        <v>283029</v>
      </c>
      <c r="Q11" s="10">
        <v>1356</v>
      </c>
      <c r="R11" s="249">
        <v>20</v>
      </c>
      <c r="S11" s="3">
        <f t="shared" si="0"/>
        <v>443660</v>
      </c>
      <c r="T11" s="3">
        <f t="shared" si="1"/>
        <v>442840</v>
      </c>
      <c r="U11" s="3">
        <f t="shared" si="2"/>
        <v>520120</v>
      </c>
      <c r="V11" s="3">
        <f t="shared" si="3"/>
        <v>471480</v>
      </c>
      <c r="W11" s="3">
        <f t="shared" si="4"/>
        <v>469260</v>
      </c>
      <c r="X11" s="3">
        <f t="shared" si="5"/>
        <v>473300</v>
      </c>
      <c r="Y11" s="3">
        <f t="shared" si="6"/>
        <v>472060</v>
      </c>
      <c r="Z11" s="3">
        <f t="shared" si="7"/>
        <v>471940</v>
      </c>
      <c r="AA11" s="3">
        <f t="shared" si="8"/>
        <v>473080</v>
      </c>
      <c r="AB11" s="3">
        <f t="shared" si="9"/>
        <v>474660</v>
      </c>
      <c r="AC11" s="20">
        <f t="shared" si="10"/>
        <v>472640</v>
      </c>
      <c r="AD11" s="20">
        <f t="shared" si="11"/>
        <v>475540</v>
      </c>
      <c r="AE11" s="3">
        <f t="shared" si="13"/>
        <v>5660580</v>
      </c>
    </row>
    <row r="12" spans="1:31" x14ac:dyDescent="0.25">
      <c r="B12" t="s">
        <v>15</v>
      </c>
      <c r="D12" s="10">
        <v>33690866.027010001</v>
      </c>
      <c r="E12" s="10">
        <v>32587654.498679999</v>
      </c>
      <c r="F12" s="10">
        <v>37423316.810630001</v>
      </c>
      <c r="G12" s="10">
        <v>31126532.762019999</v>
      </c>
      <c r="H12" s="10">
        <v>29061991.81233</v>
      </c>
      <c r="I12" s="10">
        <v>29831267.781319998</v>
      </c>
      <c r="J12" s="10">
        <v>33260309.86036</v>
      </c>
      <c r="K12" s="10">
        <v>33669675.933029994</v>
      </c>
      <c r="L12" s="10">
        <v>31097158.587360002</v>
      </c>
      <c r="M12" s="10">
        <v>29528691.532149997</v>
      </c>
      <c r="N12" s="10">
        <v>31348743.717769999</v>
      </c>
      <c r="O12" s="10">
        <v>35083365.102669999</v>
      </c>
      <c r="P12" s="2">
        <f t="shared" si="12"/>
        <v>387709574.42532998</v>
      </c>
      <c r="Q12" s="15">
        <f>IF(P12-P11*Q11&gt;0,P12-P11*Q11,0)</f>
        <v>3922250.4253299832</v>
      </c>
      <c r="R12" s="250">
        <v>0.12876000000000001</v>
      </c>
      <c r="S12" s="3">
        <f t="shared" si="0"/>
        <v>4338035.9096378079</v>
      </c>
      <c r="T12" s="3">
        <f t="shared" si="1"/>
        <v>4195986.393250037</v>
      </c>
      <c r="U12" s="3">
        <f t="shared" si="2"/>
        <v>4818626.2725367192</v>
      </c>
      <c r="V12" s="3">
        <f t="shared" si="3"/>
        <v>4007852.3584376955</v>
      </c>
      <c r="W12" s="3">
        <f t="shared" si="4"/>
        <v>3742022.0657556113</v>
      </c>
      <c r="X12" s="3">
        <f t="shared" si="5"/>
        <v>3841074.0395227633</v>
      </c>
      <c r="Y12" s="3">
        <f t="shared" si="6"/>
        <v>4282597.4976199539</v>
      </c>
      <c r="Z12" s="3">
        <f t="shared" si="7"/>
        <v>4335307.4731369428</v>
      </c>
      <c r="AA12" s="3">
        <f t="shared" si="8"/>
        <v>4004070.1397084743</v>
      </c>
      <c r="AB12" s="3">
        <f t="shared" si="9"/>
        <v>3802114.321679634</v>
      </c>
      <c r="AC12" s="20">
        <f t="shared" si="10"/>
        <v>4036464.2411000654</v>
      </c>
      <c r="AD12" s="20">
        <f t="shared" si="11"/>
        <v>4517334.0906197894</v>
      </c>
      <c r="AE12" s="3">
        <f t="shared" si="13"/>
        <v>49921484.803005494</v>
      </c>
    </row>
    <row r="13" spans="1:31" x14ac:dyDescent="0.25">
      <c r="B13" t="s">
        <v>16</v>
      </c>
      <c r="D13" s="10">
        <v>18682441.367989998</v>
      </c>
      <c r="E13" s="10">
        <v>17396655.928320002</v>
      </c>
      <c r="F13" s="10">
        <v>18841748.084369998</v>
      </c>
      <c r="G13" s="10">
        <v>13994410.41298</v>
      </c>
      <c r="H13" s="10">
        <v>12951338.397670001</v>
      </c>
      <c r="I13" s="10">
        <v>15526680.36468</v>
      </c>
      <c r="J13" s="10">
        <v>18451378.49419</v>
      </c>
      <c r="K13" s="10">
        <v>22031279.225310002</v>
      </c>
      <c r="L13" s="10">
        <v>17009508.225650001</v>
      </c>
      <c r="M13" s="10">
        <v>13768514.085379999</v>
      </c>
      <c r="N13" s="10">
        <v>13379940.82831</v>
      </c>
      <c r="O13" s="10">
        <v>18483045.560320001</v>
      </c>
      <c r="P13" s="2">
        <f t="shared" si="12"/>
        <v>200516940.97517002</v>
      </c>
      <c r="Q13" s="15">
        <f>IF(P12-P11*Q11&lt;0,P13+P12-P11*Q11,P13)</f>
        <v>200516940.97517002</v>
      </c>
      <c r="R13" s="250">
        <v>9.7780000000000006E-2</v>
      </c>
      <c r="S13" s="3">
        <f t="shared" si="0"/>
        <v>1826769.1169620622</v>
      </c>
      <c r="T13" s="3">
        <f t="shared" si="1"/>
        <v>1701045.01667113</v>
      </c>
      <c r="U13" s="3">
        <f t="shared" si="2"/>
        <v>1842346.1276896985</v>
      </c>
      <c r="V13" s="3">
        <f t="shared" si="3"/>
        <v>1368373.4501811843</v>
      </c>
      <c r="W13" s="3">
        <f t="shared" si="4"/>
        <v>1266381.8685241728</v>
      </c>
      <c r="X13" s="3">
        <f t="shared" si="5"/>
        <v>1518198.8060584106</v>
      </c>
      <c r="Y13" s="3">
        <f t="shared" si="6"/>
        <v>1804175.7891618982</v>
      </c>
      <c r="Z13" s="3">
        <f t="shared" si="7"/>
        <v>2154218.4826508122</v>
      </c>
      <c r="AA13" s="3">
        <f t="shared" si="8"/>
        <v>1663189.7143040572</v>
      </c>
      <c r="AB13" s="3">
        <f t="shared" si="9"/>
        <v>1346285.3072684563</v>
      </c>
      <c r="AC13" s="20">
        <f t="shared" si="10"/>
        <v>1308290.6141921519</v>
      </c>
      <c r="AD13" s="20">
        <f t="shared" si="11"/>
        <v>1807272.1948880898</v>
      </c>
      <c r="AE13" s="3">
        <f t="shared" si="13"/>
        <v>19606546.488552123</v>
      </c>
    </row>
    <row r="14" spans="1:31" x14ac:dyDescent="0.25">
      <c r="B14" t="s">
        <v>19</v>
      </c>
      <c r="D14" s="2">
        <f>D108/D110</f>
        <v>35014.792857142857</v>
      </c>
      <c r="E14" s="2">
        <f t="shared" ref="E14:O14" si="14">E108/E110</f>
        <v>36857.748571428572</v>
      </c>
      <c r="F14" s="2">
        <f t="shared" si="14"/>
        <v>43883.512857142858</v>
      </c>
      <c r="G14" s="2">
        <f t="shared" si="14"/>
        <v>38868.568571428572</v>
      </c>
      <c r="H14" s="2">
        <f t="shared" si="14"/>
        <v>39491.702857142853</v>
      </c>
      <c r="I14" s="2">
        <f t="shared" si="14"/>
        <v>47350.131428571425</v>
      </c>
      <c r="J14" s="2">
        <f t="shared" si="14"/>
        <v>47957.154285714285</v>
      </c>
      <c r="K14" s="2">
        <f t="shared" si="14"/>
        <v>54310.284285714282</v>
      </c>
      <c r="L14" s="2">
        <f t="shared" si="14"/>
        <v>46524.062857142861</v>
      </c>
      <c r="M14" s="2">
        <f t="shared" si="14"/>
        <v>41162.161428571431</v>
      </c>
      <c r="N14" s="2">
        <f t="shared" si="14"/>
        <v>38479.651428571429</v>
      </c>
      <c r="O14" s="2">
        <f t="shared" si="14"/>
        <v>38682.184285714284</v>
      </c>
      <c r="P14" s="2">
        <f t="shared" si="12"/>
        <v>508581.95571428572</v>
      </c>
      <c r="Q14" s="15"/>
      <c r="R14" s="249">
        <v>7</v>
      </c>
      <c r="S14" s="3">
        <f t="shared" si="0"/>
        <v>245103.55</v>
      </c>
      <c r="T14" s="3">
        <f t="shared" si="1"/>
        <v>258004.24</v>
      </c>
      <c r="U14" s="3">
        <f t="shared" si="2"/>
        <v>307184.59000000003</v>
      </c>
      <c r="V14" s="3">
        <f t="shared" si="3"/>
        <v>272079.98</v>
      </c>
      <c r="W14" s="3">
        <f t="shared" si="4"/>
        <v>276441.92</v>
      </c>
      <c r="X14" s="3">
        <f t="shared" si="5"/>
        <v>331450.92</v>
      </c>
      <c r="Y14" s="3">
        <f t="shared" si="6"/>
        <v>335700.08</v>
      </c>
      <c r="Z14" s="3">
        <f t="shared" si="7"/>
        <v>380171.99</v>
      </c>
      <c r="AA14" s="3">
        <f t="shared" si="8"/>
        <v>325668.44</v>
      </c>
      <c r="AB14" s="3">
        <f t="shared" si="9"/>
        <v>288135.13</v>
      </c>
      <c r="AC14" s="3">
        <f t="shared" si="10"/>
        <v>269357.56</v>
      </c>
      <c r="AD14" s="3">
        <f t="shared" si="11"/>
        <v>270775.28999999998</v>
      </c>
      <c r="AE14" s="3">
        <f t="shared" si="13"/>
        <v>3560073.6899999995</v>
      </c>
    </row>
    <row r="15" spans="1:31" x14ac:dyDescent="0.25">
      <c r="B15" t="s">
        <v>20</v>
      </c>
      <c r="D15" s="2">
        <f>D109/D111</f>
        <v>0</v>
      </c>
      <c r="E15" s="2">
        <f t="shared" ref="E15:O15" si="15">E109/E111</f>
        <v>0</v>
      </c>
      <c r="F15" s="2">
        <f t="shared" si="15"/>
        <v>0</v>
      </c>
      <c r="G15" s="2">
        <f t="shared" si="15"/>
        <v>0</v>
      </c>
      <c r="H15" s="2">
        <f t="shared" si="15"/>
        <v>0</v>
      </c>
      <c r="I15" s="2">
        <f t="shared" si="15"/>
        <v>0</v>
      </c>
      <c r="J15" s="2">
        <f t="shared" si="15"/>
        <v>0</v>
      </c>
      <c r="K15" s="2">
        <f t="shared" si="15"/>
        <v>0</v>
      </c>
      <c r="L15" s="2">
        <f t="shared" si="15"/>
        <v>0</v>
      </c>
      <c r="M15" s="2">
        <f t="shared" si="15"/>
        <v>0</v>
      </c>
      <c r="N15" s="2">
        <f t="shared" si="15"/>
        <v>0</v>
      </c>
      <c r="O15" s="2">
        <f t="shared" si="15"/>
        <v>0</v>
      </c>
      <c r="P15" s="2">
        <f t="shared" si="12"/>
        <v>0</v>
      </c>
      <c r="Q15" s="15"/>
      <c r="R15" s="249">
        <v>0.5</v>
      </c>
      <c r="S15" s="3">
        <f t="shared" si="0"/>
        <v>0</v>
      </c>
      <c r="T15" s="3">
        <f t="shared" si="1"/>
        <v>0</v>
      </c>
      <c r="U15" s="3">
        <f t="shared" si="2"/>
        <v>0</v>
      </c>
      <c r="V15" s="3">
        <f t="shared" si="3"/>
        <v>0</v>
      </c>
      <c r="W15" s="3">
        <f t="shared" si="4"/>
        <v>0</v>
      </c>
      <c r="X15" s="3">
        <f t="shared" si="5"/>
        <v>0</v>
      </c>
      <c r="Y15" s="3">
        <f t="shared" si="6"/>
        <v>0</v>
      </c>
      <c r="Z15" s="3">
        <f t="shared" si="7"/>
        <v>0</v>
      </c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3"/>
        <v>0</v>
      </c>
    </row>
    <row r="16" spans="1:31" x14ac:dyDescent="0.25">
      <c r="A16" t="s">
        <v>37</v>
      </c>
      <c r="B16" t="s">
        <v>14</v>
      </c>
      <c r="D16" s="10">
        <v>9584</v>
      </c>
      <c r="E16" s="10">
        <v>9500</v>
      </c>
      <c r="F16" s="10">
        <v>11146</v>
      </c>
      <c r="G16" s="10">
        <v>10027</v>
      </c>
      <c r="H16" s="10">
        <v>10071</v>
      </c>
      <c r="I16" s="10">
        <v>9584</v>
      </c>
      <c r="J16" s="10">
        <v>10189</v>
      </c>
      <c r="K16" s="10">
        <v>10207</v>
      </c>
      <c r="L16" s="10">
        <v>10218</v>
      </c>
      <c r="M16" s="10">
        <v>10284</v>
      </c>
      <c r="N16" s="10">
        <v>10210</v>
      </c>
      <c r="O16" s="10">
        <v>10327</v>
      </c>
      <c r="P16" s="2">
        <f t="shared" si="12"/>
        <v>121347</v>
      </c>
      <c r="Q16" s="15"/>
      <c r="R16" s="249">
        <v>20</v>
      </c>
      <c r="S16" s="3">
        <f t="shared" ref="S16:AD18" si="16">$R16*D16</f>
        <v>191680</v>
      </c>
      <c r="T16" s="3">
        <f t="shared" si="16"/>
        <v>190000</v>
      </c>
      <c r="U16" s="3">
        <f t="shared" si="16"/>
        <v>222920</v>
      </c>
      <c r="V16" s="3">
        <f t="shared" si="16"/>
        <v>200540</v>
      </c>
      <c r="W16" s="3">
        <f t="shared" si="16"/>
        <v>201420</v>
      </c>
      <c r="X16" s="3">
        <f t="shared" si="16"/>
        <v>191680</v>
      </c>
      <c r="Y16" s="3">
        <f t="shared" si="16"/>
        <v>203780</v>
      </c>
      <c r="Z16" s="3">
        <f t="shared" si="16"/>
        <v>204140</v>
      </c>
      <c r="AA16" s="3">
        <f t="shared" si="16"/>
        <v>204360</v>
      </c>
      <c r="AB16" s="3">
        <f t="shared" si="16"/>
        <v>205680</v>
      </c>
      <c r="AC16" s="20">
        <f t="shared" si="16"/>
        <v>204200</v>
      </c>
      <c r="AD16" s="20">
        <f t="shared" si="16"/>
        <v>206540</v>
      </c>
      <c r="AE16" s="3">
        <f t="shared" si="13"/>
        <v>2426940</v>
      </c>
    </row>
    <row r="17" spans="1:31" x14ac:dyDescent="0.25">
      <c r="B17" t="s">
        <v>15</v>
      </c>
      <c r="D17" s="10">
        <v>6062738.6593300002</v>
      </c>
      <c r="E17" s="10">
        <v>5702326.9963300005</v>
      </c>
      <c r="F17" s="10">
        <v>6371439.8113299999</v>
      </c>
      <c r="G17" s="10">
        <v>4531365.6639999999</v>
      </c>
      <c r="H17" s="10">
        <v>3670355.1606700001</v>
      </c>
      <c r="I17" s="10">
        <v>6062738.6593300002</v>
      </c>
      <c r="J17" s="10">
        <v>3816703.6566300001</v>
      </c>
      <c r="K17" s="10">
        <v>3904108.13001</v>
      </c>
      <c r="L17" s="10">
        <v>3634188.87</v>
      </c>
      <c r="M17" s="10">
        <v>3626618.4674499999</v>
      </c>
      <c r="N17" s="10">
        <v>4256638.6160000004</v>
      </c>
      <c r="O17" s="10">
        <v>5771253.1246499997</v>
      </c>
      <c r="P17" s="2">
        <f t="shared" si="12"/>
        <v>57410475.815730006</v>
      </c>
      <c r="Q17" s="15"/>
      <c r="R17" s="250">
        <v>0.12459000000000001</v>
      </c>
      <c r="S17" s="3">
        <f t="shared" si="16"/>
        <v>755356.60956592474</v>
      </c>
      <c r="T17" s="3">
        <f t="shared" si="16"/>
        <v>710452.92047275475</v>
      </c>
      <c r="U17" s="3">
        <f t="shared" si="16"/>
        <v>793817.68609360477</v>
      </c>
      <c r="V17" s="3">
        <f t="shared" si="16"/>
        <v>564562.84807775996</v>
      </c>
      <c r="W17" s="3">
        <f t="shared" si="16"/>
        <v>457289.54946787533</v>
      </c>
      <c r="X17" s="3">
        <f t="shared" si="16"/>
        <v>755356.60956592474</v>
      </c>
      <c r="Y17" s="3">
        <f t="shared" si="16"/>
        <v>475523.10857953172</v>
      </c>
      <c r="Z17" s="3">
        <f t="shared" si="16"/>
        <v>486412.83191794594</v>
      </c>
      <c r="AA17" s="3">
        <f t="shared" si="16"/>
        <v>452783.59131330001</v>
      </c>
      <c r="AB17" s="3">
        <f t="shared" si="16"/>
        <v>451840.39485959552</v>
      </c>
      <c r="AC17" s="20">
        <f t="shared" si="16"/>
        <v>530334.60516744002</v>
      </c>
      <c r="AD17" s="20">
        <f t="shared" si="16"/>
        <v>719040.42680014344</v>
      </c>
      <c r="AE17" s="3">
        <f t="shared" si="13"/>
        <v>7152771.1818818003</v>
      </c>
    </row>
    <row r="18" spans="1:31" x14ac:dyDescent="0.25">
      <c r="B18" t="s">
        <v>16</v>
      </c>
      <c r="D18" s="10">
        <v>860666.49967000005</v>
      </c>
      <c r="E18" s="10">
        <v>757165.46166999999</v>
      </c>
      <c r="F18" s="10">
        <v>889143.11566999997</v>
      </c>
      <c r="G18" s="10">
        <v>524988.83400000003</v>
      </c>
      <c r="H18" s="10">
        <v>340962.92732999998</v>
      </c>
      <c r="I18" s="10">
        <v>860666.49967000005</v>
      </c>
      <c r="J18" s="10">
        <v>627660.77508000005</v>
      </c>
      <c r="K18" s="10">
        <v>679944.97400000005</v>
      </c>
      <c r="L18" s="10">
        <v>586638.18799999997</v>
      </c>
      <c r="M18" s="10">
        <v>492599.09768000001</v>
      </c>
      <c r="N18" s="10">
        <v>613364.47600000002</v>
      </c>
      <c r="O18" s="10">
        <v>988630.74734</v>
      </c>
      <c r="P18" s="2">
        <f t="shared" si="12"/>
        <v>8222431.5961100003</v>
      </c>
      <c r="Q18" s="15"/>
      <c r="R18" s="250">
        <v>9.3609999999999999E-2</v>
      </c>
      <c r="S18" s="3">
        <f t="shared" si="16"/>
        <v>80566.991034108709</v>
      </c>
      <c r="T18" s="3">
        <f t="shared" si="16"/>
        <v>70878.258866928692</v>
      </c>
      <c r="U18" s="3">
        <f t="shared" si="16"/>
        <v>83232.687057868694</v>
      </c>
      <c r="V18" s="3">
        <f t="shared" si="16"/>
        <v>49144.204750740006</v>
      </c>
      <c r="W18" s="3">
        <f t="shared" si="16"/>
        <v>31917.539627361297</v>
      </c>
      <c r="X18" s="3">
        <f t="shared" si="16"/>
        <v>80566.991034108709</v>
      </c>
      <c r="Y18" s="3">
        <f t="shared" si="16"/>
        <v>58755.325155238803</v>
      </c>
      <c r="Z18" s="3">
        <f t="shared" si="16"/>
        <v>63649.649016140007</v>
      </c>
      <c r="AA18" s="3">
        <f t="shared" si="16"/>
        <v>54915.200778679995</v>
      </c>
      <c r="AB18" s="3">
        <f t="shared" si="16"/>
        <v>46112.201533824802</v>
      </c>
      <c r="AC18" s="20">
        <f t="shared" si="16"/>
        <v>57417.048598360001</v>
      </c>
      <c r="AD18" s="20">
        <f t="shared" si="16"/>
        <v>92545.724258497401</v>
      </c>
      <c r="AE18" s="3">
        <f t="shared" si="13"/>
        <v>769701.8217118571</v>
      </c>
    </row>
    <row r="19" spans="1:31" x14ac:dyDescent="0.25">
      <c r="B19" t="s">
        <v>19</v>
      </c>
      <c r="D19" s="2">
        <f>D113/D115</f>
        <v>1542.5314285714285</v>
      </c>
      <c r="E19" s="2">
        <f t="shared" ref="E19:O19" si="17">E113/E115</f>
        <v>1529.6214285714286</v>
      </c>
      <c r="F19" s="2">
        <f t="shared" si="17"/>
        <v>1759.8028571428572</v>
      </c>
      <c r="G19" s="2">
        <f t="shared" si="17"/>
        <v>1254.3399999999999</v>
      </c>
      <c r="H19" s="2">
        <f t="shared" si="17"/>
        <v>986.68999999999994</v>
      </c>
      <c r="I19" s="2">
        <f t="shared" si="17"/>
        <v>1094.6357142857144</v>
      </c>
      <c r="J19" s="2">
        <f t="shared" si="17"/>
        <v>1175.792857142857</v>
      </c>
      <c r="K19" s="2">
        <f t="shared" si="17"/>
        <v>1271.8</v>
      </c>
      <c r="L19" s="2">
        <f t="shared" si="17"/>
        <v>1134.4542857142858</v>
      </c>
      <c r="M19" s="2">
        <f t="shared" si="17"/>
        <v>1063.0899999999999</v>
      </c>
      <c r="N19" s="2">
        <f t="shared" si="17"/>
        <v>1478.5857142857144</v>
      </c>
      <c r="O19" s="2">
        <f t="shared" si="17"/>
        <v>1850.6114285714286</v>
      </c>
      <c r="P19" s="2">
        <f t="shared" si="12"/>
        <v>16141.955714285714</v>
      </c>
      <c r="Q19" s="15"/>
      <c r="R19" s="249">
        <v>7</v>
      </c>
      <c r="S19" s="3">
        <f t="shared" ref="S19:S20" si="18">$R19*D19</f>
        <v>10797.72</v>
      </c>
      <c r="T19" s="3">
        <f t="shared" ref="T19:T20" si="19">$R19*E19</f>
        <v>10707.35</v>
      </c>
      <c r="U19" s="3">
        <f t="shared" ref="U19:U20" si="20">$R19*F19</f>
        <v>12318.62</v>
      </c>
      <c r="V19" s="3">
        <f t="shared" ref="V19:V20" si="21">$R19*G19</f>
        <v>8780.3799999999992</v>
      </c>
      <c r="W19" s="3">
        <f t="shared" ref="W19:W20" si="22">$R19*H19</f>
        <v>6906.83</v>
      </c>
      <c r="X19" s="3">
        <f t="shared" ref="X19:X20" si="23">$R19*I19</f>
        <v>7662.4500000000007</v>
      </c>
      <c r="Y19" s="3">
        <f t="shared" ref="Y19:Y20" si="24">$R19*J19</f>
        <v>8230.5499999999993</v>
      </c>
      <c r="Z19" s="3">
        <f t="shared" ref="Z19:Z20" si="25">$R19*K19</f>
        <v>8902.6</v>
      </c>
      <c r="AA19" s="3">
        <f t="shared" ref="AA19:AA20" si="26">$R19*L19</f>
        <v>7941.18</v>
      </c>
      <c r="AB19" s="3">
        <f t="shared" ref="AB19:AB20" si="27">$R19*M19</f>
        <v>7441.6299999999992</v>
      </c>
      <c r="AC19" s="20">
        <f t="shared" ref="AC19:AC20" si="28">$R19*N19</f>
        <v>10350.1</v>
      </c>
      <c r="AD19" s="20">
        <f t="shared" ref="AD19:AD20" si="29">$R19*O19</f>
        <v>12954.28</v>
      </c>
      <c r="AE19" s="3">
        <f t="shared" si="13"/>
        <v>112993.69000000003</v>
      </c>
    </row>
    <row r="20" spans="1:31" x14ac:dyDescent="0.25">
      <c r="B20" t="s">
        <v>20</v>
      </c>
      <c r="D20" s="2">
        <f>D114/D116</f>
        <v>0</v>
      </c>
      <c r="E20" s="2">
        <f t="shared" ref="E20:O20" si="30">E114/E116</f>
        <v>0</v>
      </c>
      <c r="F20" s="2">
        <f t="shared" si="30"/>
        <v>0</v>
      </c>
      <c r="G20" s="2">
        <f t="shared" si="30"/>
        <v>0</v>
      </c>
      <c r="H20" s="2">
        <f t="shared" si="30"/>
        <v>0</v>
      </c>
      <c r="I20" s="2">
        <f t="shared" si="30"/>
        <v>0</v>
      </c>
      <c r="J20" s="2">
        <f t="shared" si="30"/>
        <v>0</v>
      </c>
      <c r="K20" s="2">
        <f t="shared" si="30"/>
        <v>0</v>
      </c>
      <c r="L20" s="2">
        <f t="shared" si="30"/>
        <v>0</v>
      </c>
      <c r="M20" s="2">
        <f t="shared" si="30"/>
        <v>0</v>
      </c>
      <c r="N20" s="2">
        <f t="shared" si="30"/>
        <v>0</v>
      </c>
      <c r="O20" s="2">
        <f t="shared" si="30"/>
        <v>0</v>
      </c>
      <c r="P20" s="2">
        <f t="shared" si="12"/>
        <v>0</v>
      </c>
      <c r="Q20" s="15"/>
      <c r="R20" s="249">
        <v>0.5</v>
      </c>
      <c r="S20" s="3">
        <f t="shared" si="18"/>
        <v>0</v>
      </c>
      <c r="T20" s="3">
        <f t="shared" si="19"/>
        <v>0</v>
      </c>
      <c r="U20" s="3">
        <f t="shared" si="20"/>
        <v>0</v>
      </c>
      <c r="V20" s="3">
        <f t="shared" si="21"/>
        <v>0</v>
      </c>
      <c r="W20" s="3">
        <f t="shared" si="22"/>
        <v>0</v>
      </c>
      <c r="X20" s="3">
        <f t="shared" si="23"/>
        <v>0</v>
      </c>
      <c r="Y20" s="3">
        <f t="shared" si="24"/>
        <v>0</v>
      </c>
      <c r="Z20" s="3">
        <f t="shared" si="25"/>
        <v>0</v>
      </c>
      <c r="AA20" s="3">
        <f t="shared" si="26"/>
        <v>0</v>
      </c>
      <c r="AB20" s="3">
        <f t="shared" si="27"/>
        <v>0</v>
      </c>
      <c r="AC20" s="20">
        <f t="shared" si="28"/>
        <v>0</v>
      </c>
      <c r="AD20" s="20">
        <f t="shared" si="29"/>
        <v>0</v>
      </c>
      <c r="AE20" s="3">
        <f t="shared" si="13"/>
        <v>0</v>
      </c>
    </row>
    <row r="21" spans="1:31" x14ac:dyDescent="0.25">
      <c r="A21" t="s">
        <v>295</v>
      </c>
      <c r="B21" t="s">
        <v>14</v>
      </c>
      <c r="D21" s="10">
        <v>1780</v>
      </c>
      <c r="E21" s="10">
        <v>1701</v>
      </c>
      <c r="F21" s="10">
        <v>2059</v>
      </c>
      <c r="G21" s="10">
        <v>1882</v>
      </c>
      <c r="H21" s="10">
        <v>1794</v>
      </c>
      <c r="I21" s="10">
        <v>1827</v>
      </c>
      <c r="J21" s="10">
        <v>1809</v>
      </c>
      <c r="K21" s="10">
        <v>1769</v>
      </c>
      <c r="L21" s="10">
        <v>1774</v>
      </c>
      <c r="M21" s="10">
        <v>1771</v>
      </c>
      <c r="N21" s="10">
        <v>1743</v>
      </c>
      <c r="O21" s="10">
        <v>1729</v>
      </c>
      <c r="P21" s="2">
        <f t="shared" si="12"/>
        <v>21638</v>
      </c>
      <c r="Q21" s="10">
        <v>59587</v>
      </c>
      <c r="R21" s="249">
        <v>550</v>
      </c>
      <c r="S21" s="3">
        <f t="shared" ref="S21:AD23" si="31">$R21*D21</f>
        <v>979000</v>
      </c>
      <c r="T21" s="3">
        <f t="shared" si="31"/>
        <v>935550</v>
      </c>
      <c r="U21" s="3">
        <f t="shared" si="31"/>
        <v>1132450</v>
      </c>
      <c r="V21" s="3">
        <f t="shared" si="31"/>
        <v>1035100</v>
      </c>
      <c r="W21" s="3">
        <f t="shared" si="31"/>
        <v>986700</v>
      </c>
      <c r="X21" s="3">
        <f t="shared" si="31"/>
        <v>1004850</v>
      </c>
      <c r="Y21" s="3">
        <f t="shared" si="31"/>
        <v>994950</v>
      </c>
      <c r="Z21" s="3">
        <f t="shared" si="31"/>
        <v>972950</v>
      </c>
      <c r="AA21" s="3">
        <f t="shared" si="31"/>
        <v>975700</v>
      </c>
      <c r="AB21" s="3">
        <f t="shared" si="31"/>
        <v>974050</v>
      </c>
      <c r="AC21" s="20">
        <f t="shared" si="31"/>
        <v>958650</v>
      </c>
      <c r="AD21" s="20">
        <f t="shared" si="31"/>
        <v>950950</v>
      </c>
      <c r="AE21" s="3">
        <f t="shared" si="13"/>
        <v>11900900</v>
      </c>
    </row>
    <row r="22" spans="1:31" x14ac:dyDescent="0.25">
      <c r="B22" t="s">
        <v>15</v>
      </c>
      <c r="D22" s="10">
        <v>99080351.245000005</v>
      </c>
      <c r="E22" s="10">
        <v>92688027.354000002</v>
      </c>
      <c r="F22" s="10">
        <v>107998787.38600001</v>
      </c>
      <c r="G22" s="10">
        <v>92212015.991329998</v>
      </c>
      <c r="H22" s="10">
        <v>88713277.826330006</v>
      </c>
      <c r="I22" s="10">
        <v>97225277.773000002</v>
      </c>
      <c r="J22" s="10">
        <v>107763025.97707</v>
      </c>
      <c r="K22" s="10">
        <v>105007276.80667001</v>
      </c>
      <c r="L22" s="10">
        <v>97912961.724999994</v>
      </c>
      <c r="M22" s="10">
        <v>92807900.853019997</v>
      </c>
      <c r="N22" s="10">
        <v>94198417.102669999</v>
      </c>
      <c r="O22" s="10">
        <v>101706691.71399999</v>
      </c>
      <c r="P22" s="2">
        <f t="shared" si="12"/>
        <v>1177314011.7540901</v>
      </c>
      <c r="Q22" s="15">
        <f>IF(P22-P21*Q21&gt;0,P22-P21*Q21,0)</f>
        <v>0</v>
      </c>
      <c r="R22" s="250">
        <v>8.6180000000000007E-2</v>
      </c>
      <c r="S22" s="3">
        <f t="shared" si="31"/>
        <v>8538744.6702941004</v>
      </c>
      <c r="T22" s="3">
        <f t="shared" si="31"/>
        <v>7987854.1973677212</v>
      </c>
      <c r="U22" s="3">
        <f t="shared" si="31"/>
        <v>9307335.4969254807</v>
      </c>
      <c r="V22" s="3">
        <f t="shared" si="31"/>
        <v>7946831.5381328203</v>
      </c>
      <c r="W22" s="3">
        <f t="shared" si="31"/>
        <v>7645310.2830731208</v>
      </c>
      <c r="X22" s="3">
        <f t="shared" si="31"/>
        <v>8378874.4384771409</v>
      </c>
      <c r="Y22" s="3">
        <f t="shared" si="31"/>
        <v>9287017.5787038933</v>
      </c>
      <c r="Z22" s="3">
        <f t="shared" si="31"/>
        <v>9049527.1151988227</v>
      </c>
      <c r="AA22" s="3">
        <f t="shared" si="31"/>
        <v>8438139.041460501</v>
      </c>
      <c r="AB22" s="3">
        <f t="shared" si="31"/>
        <v>7998184.8955132635</v>
      </c>
      <c r="AC22" s="20">
        <f t="shared" si="31"/>
        <v>8118019.5859081009</v>
      </c>
      <c r="AD22" s="20">
        <f t="shared" si="31"/>
        <v>8765082.6919125188</v>
      </c>
      <c r="AE22" s="3">
        <f t="shared" si="13"/>
        <v>101460921.53296749</v>
      </c>
    </row>
    <row r="23" spans="1:31" x14ac:dyDescent="0.25">
      <c r="B23" t="s">
        <v>16</v>
      </c>
      <c r="D23" s="10">
        <v>12488597.02</v>
      </c>
      <c r="E23" s="10">
        <v>10688745.700000001</v>
      </c>
      <c r="F23" s="10">
        <v>11101388.15</v>
      </c>
      <c r="G23" s="10">
        <v>9390246.5766700003</v>
      </c>
      <c r="H23" s="10">
        <v>9761943.4966700003</v>
      </c>
      <c r="I23" s="10">
        <v>11338462.880000001</v>
      </c>
      <c r="J23" s="10">
        <v>15871872.29001</v>
      </c>
      <c r="K23" s="10">
        <v>15675387.853329999</v>
      </c>
      <c r="L23" s="10">
        <v>12670777.289999999</v>
      </c>
      <c r="M23" s="10">
        <v>10579735.92</v>
      </c>
      <c r="N23" s="10">
        <v>10658516.91333</v>
      </c>
      <c r="O23" s="10">
        <v>12468581.949999999</v>
      </c>
      <c r="P23" s="2">
        <f t="shared" si="12"/>
        <v>142694256.04001001</v>
      </c>
      <c r="Q23" s="15">
        <f>IF(P22-P21*Q21&lt;0,P23+P22-P21*Q21,P23)</f>
        <v>30664761.794100046</v>
      </c>
      <c r="R23" s="250">
        <v>7.825E-2</v>
      </c>
      <c r="S23" s="3">
        <f t="shared" si="31"/>
        <v>977232.71681499993</v>
      </c>
      <c r="T23" s="3">
        <f t="shared" si="31"/>
        <v>836394.3510250001</v>
      </c>
      <c r="U23" s="3">
        <f t="shared" si="31"/>
        <v>868683.6227375</v>
      </c>
      <c r="V23" s="3">
        <f t="shared" si="31"/>
        <v>734786.79462442757</v>
      </c>
      <c r="W23" s="3">
        <f t="shared" si="31"/>
        <v>763872.07861442748</v>
      </c>
      <c r="X23" s="3">
        <f t="shared" si="31"/>
        <v>887234.72036000004</v>
      </c>
      <c r="Y23" s="3">
        <f t="shared" si="31"/>
        <v>1241974.0066932824</v>
      </c>
      <c r="Z23" s="3">
        <f t="shared" si="31"/>
        <v>1226599.0995230724</v>
      </c>
      <c r="AA23" s="3">
        <f t="shared" si="31"/>
        <v>991488.32294249989</v>
      </c>
      <c r="AB23" s="3">
        <f t="shared" si="31"/>
        <v>827864.33574000001</v>
      </c>
      <c r="AC23" s="20">
        <f t="shared" si="31"/>
        <v>834028.94846807246</v>
      </c>
      <c r="AD23" s="20">
        <f t="shared" si="31"/>
        <v>975666.53758749994</v>
      </c>
      <c r="AE23" s="3">
        <f t="shared" si="13"/>
        <v>11165825.53513078</v>
      </c>
    </row>
    <row r="24" spans="1:31" x14ac:dyDescent="0.25">
      <c r="B24" t="s">
        <v>19</v>
      </c>
      <c r="D24" s="2">
        <f>D118/D121</f>
        <v>186661.73857142855</v>
      </c>
      <c r="E24" s="2">
        <f t="shared" ref="E24:O24" si="32">E118/E121</f>
        <v>181220.77714285714</v>
      </c>
      <c r="F24" s="2">
        <f t="shared" si="32"/>
        <v>222017.9742857143</v>
      </c>
      <c r="G24" s="2">
        <f t="shared" si="32"/>
        <v>194155.53</v>
      </c>
      <c r="H24" s="2">
        <f t="shared" si="32"/>
        <v>203000.0042857143</v>
      </c>
      <c r="I24" s="2">
        <f t="shared" si="32"/>
        <v>227688.86142857143</v>
      </c>
      <c r="J24" s="2">
        <f t="shared" si="32"/>
        <v>266527.98857142858</v>
      </c>
      <c r="K24" s="2">
        <f t="shared" si="32"/>
        <v>243207.41142857142</v>
      </c>
      <c r="L24" s="2">
        <f t="shared" si="32"/>
        <v>222954.32285714286</v>
      </c>
      <c r="M24" s="2">
        <f t="shared" si="32"/>
        <v>211829.08714285717</v>
      </c>
      <c r="N24" s="2">
        <f t="shared" si="32"/>
        <v>204054.96285714285</v>
      </c>
      <c r="O24" s="2">
        <f t="shared" si="32"/>
        <v>205837.79428571431</v>
      </c>
      <c r="P24" s="2">
        <f t="shared" si="12"/>
        <v>2569156.4528571428</v>
      </c>
      <c r="Q24" s="2"/>
      <c r="R24" s="249">
        <v>7</v>
      </c>
      <c r="S24" s="3">
        <f t="shared" ref="S24:S26" si="33">$R24*D24</f>
        <v>1306632.17</v>
      </c>
      <c r="T24" s="3">
        <f t="shared" ref="T24:T26" si="34">$R24*E24</f>
        <v>1268545.44</v>
      </c>
      <c r="U24" s="3">
        <f t="shared" ref="U24:U26" si="35">$R24*F24</f>
        <v>1554125.82</v>
      </c>
      <c r="V24" s="3">
        <f t="shared" ref="V24:V26" si="36">$R24*G24</f>
        <v>1359088.71</v>
      </c>
      <c r="W24" s="3">
        <f t="shared" ref="W24:W26" si="37">$R24*H24</f>
        <v>1421000.03</v>
      </c>
      <c r="X24" s="3">
        <f t="shared" ref="X24:X26" si="38">$R24*I24</f>
        <v>1593822.03</v>
      </c>
      <c r="Y24" s="3">
        <f t="shared" ref="Y24:Y26" si="39">$R24*J24</f>
        <v>1865695.92</v>
      </c>
      <c r="Z24" s="3">
        <f t="shared" ref="Z24:Z26" si="40">$R24*K24</f>
        <v>1702451.88</v>
      </c>
      <c r="AA24" s="3">
        <f t="shared" ref="AA24:AA26" si="41">$R24*L24</f>
        <v>1560680.26</v>
      </c>
      <c r="AB24" s="3">
        <f t="shared" ref="AB24:AB26" si="42">$R24*M24</f>
        <v>1482803.61</v>
      </c>
      <c r="AC24" s="20">
        <f t="shared" ref="AC24:AC26" si="43">$R24*N24</f>
        <v>1428384.74</v>
      </c>
      <c r="AD24" s="20">
        <f t="shared" ref="AD24:AD26" si="44">$R24*O24</f>
        <v>1440864.56</v>
      </c>
      <c r="AE24" s="3">
        <f t="shared" si="13"/>
        <v>17984095.169999998</v>
      </c>
    </row>
    <row r="25" spans="1:31" x14ac:dyDescent="0.25">
      <c r="B25" t="s">
        <v>20</v>
      </c>
      <c r="D25" s="2">
        <f t="shared" ref="D25:O26" si="45">D119/D122</f>
        <v>22595.599999999999</v>
      </c>
      <c r="E25" s="2">
        <f t="shared" si="45"/>
        <v>22444.16</v>
      </c>
      <c r="F25" s="2">
        <f t="shared" si="45"/>
        <v>28374.44</v>
      </c>
      <c r="G25" s="2">
        <f t="shared" si="45"/>
        <v>27212.38</v>
      </c>
      <c r="H25" s="2">
        <f t="shared" si="45"/>
        <v>32503.54</v>
      </c>
      <c r="I25" s="2">
        <f t="shared" si="45"/>
        <v>31840.3</v>
      </c>
      <c r="J25" s="2">
        <f t="shared" si="45"/>
        <v>33259.08</v>
      </c>
      <c r="K25" s="2">
        <f t="shared" si="45"/>
        <v>33821.18</v>
      </c>
      <c r="L25" s="2">
        <f t="shared" si="45"/>
        <v>33620.58</v>
      </c>
      <c r="M25" s="2">
        <f t="shared" si="45"/>
        <v>36020.720000000001</v>
      </c>
      <c r="N25" s="2">
        <f t="shared" si="45"/>
        <v>28433.439999999999</v>
      </c>
      <c r="O25" s="2">
        <f t="shared" si="45"/>
        <v>24919.46</v>
      </c>
      <c r="P25" s="2">
        <f t="shared" si="12"/>
        <v>355044.88</v>
      </c>
      <c r="Q25" s="2"/>
      <c r="R25" s="249">
        <v>0.5</v>
      </c>
      <c r="S25" s="3">
        <f t="shared" si="33"/>
        <v>11297.8</v>
      </c>
      <c r="T25" s="3">
        <f t="shared" si="34"/>
        <v>11222.08</v>
      </c>
      <c r="U25" s="3">
        <f t="shared" si="35"/>
        <v>14187.22</v>
      </c>
      <c r="V25" s="3">
        <f t="shared" si="36"/>
        <v>13606.19</v>
      </c>
      <c r="W25" s="3">
        <f t="shared" si="37"/>
        <v>16251.77</v>
      </c>
      <c r="X25" s="3">
        <f t="shared" si="38"/>
        <v>15920.15</v>
      </c>
      <c r="Y25" s="3">
        <f t="shared" si="39"/>
        <v>16629.54</v>
      </c>
      <c r="Z25" s="3">
        <f t="shared" si="40"/>
        <v>16910.59</v>
      </c>
      <c r="AA25" s="3">
        <f t="shared" si="41"/>
        <v>16810.29</v>
      </c>
      <c r="AB25" s="3">
        <f t="shared" si="42"/>
        <v>18010.36</v>
      </c>
      <c r="AC25" s="20">
        <f t="shared" si="43"/>
        <v>14216.72</v>
      </c>
      <c r="AD25" s="20">
        <f t="shared" si="44"/>
        <v>12459.73</v>
      </c>
      <c r="AE25" s="3">
        <f t="shared" si="13"/>
        <v>177522.44</v>
      </c>
    </row>
    <row r="26" spans="1:31" x14ac:dyDescent="0.25">
      <c r="B26" t="s">
        <v>21</v>
      </c>
      <c r="D26" s="2">
        <f t="shared" si="45"/>
        <v>19474.3</v>
      </c>
      <c r="E26" s="2">
        <f t="shared" si="45"/>
        <v>24379.8</v>
      </c>
      <c r="F26" s="2">
        <f t="shared" si="45"/>
        <v>25490.9</v>
      </c>
      <c r="G26" s="2">
        <f t="shared" si="45"/>
        <v>20975.949999999997</v>
      </c>
      <c r="H26" s="2">
        <f t="shared" si="45"/>
        <v>24870.45</v>
      </c>
      <c r="I26" s="2">
        <f t="shared" si="45"/>
        <v>25494.65</v>
      </c>
      <c r="J26" s="2">
        <f t="shared" si="45"/>
        <v>31729.499999999996</v>
      </c>
      <c r="K26" s="2">
        <f t="shared" si="45"/>
        <v>30497.55</v>
      </c>
      <c r="L26" s="2">
        <f t="shared" si="45"/>
        <v>27265.749999999996</v>
      </c>
      <c r="M26" s="2">
        <f t="shared" si="45"/>
        <v>24254.85</v>
      </c>
      <c r="N26" s="2">
        <f t="shared" si="45"/>
        <v>22472.95</v>
      </c>
      <c r="O26" s="2">
        <f t="shared" si="45"/>
        <v>24662.399999999998</v>
      </c>
      <c r="P26" s="2">
        <f t="shared" si="12"/>
        <v>301569.05</v>
      </c>
      <c r="Q26" s="2"/>
      <c r="R26" s="249">
        <v>-0.2</v>
      </c>
      <c r="S26" s="3">
        <f t="shared" si="33"/>
        <v>-3894.86</v>
      </c>
      <c r="T26" s="3">
        <f t="shared" si="34"/>
        <v>-4875.96</v>
      </c>
      <c r="U26" s="3">
        <f t="shared" si="35"/>
        <v>-5098.18</v>
      </c>
      <c r="V26" s="3">
        <f t="shared" si="36"/>
        <v>-4195.1899999999996</v>
      </c>
      <c r="W26" s="3">
        <f t="shared" si="37"/>
        <v>-4974.09</v>
      </c>
      <c r="X26" s="3">
        <f t="shared" si="38"/>
        <v>-5098.93</v>
      </c>
      <c r="Y26" s="3">
        <f t="shared" si="39"/>
        <v>-6345.9</v>
      </c>
      <c r="Z26" s="3">
        <f t="shared" si="40"/>
        <v>-6099.51</v>
      </c>
      <c r="AA26" s="3">
        <f t="shared" si="41"/>
        <v>-5453.15</v>
      </c>
      <c r="AB26" s="3">
        <f t="shared" si="42"/>
        <v>-4850.97</v>
      </c>
      <c r="AC26" s="20">
        <f t="shared" si="43"/>
        <v>-4494.59</v>
      </c>
      <c r="AD26" s="20">
        <f t="shared" si="44"/>
        <v>-4932.4799999999996</v>
      </c>
      <c r="AE26" s="3">
        <f t="shared" si="13"/>
        <v>-60313.81</v>
      </c>
    </row>
    <row r="27" spans="1:31" x14ac:dyDescent="0.25">
      <c r="A27" t="s">
        <v>39</v>
      </c>
      <c r="B27" t="s">
        <v>14</v>
      </c>
      <c r="D27" s="10">
        <v>47</v>
      </c>
      <c r="E27" s="10">
        <v>46</v>
      </c>
      <c r="F27" s="10">
        <v>50</v>
      </c>
      <c r="G27" s="10">
        <v>50</v>
      </c>
      <c r="H27" s="10">
        <v>44</v>
      </c>
      <c r="I27" s="10">
        <v>45</v>
      </c>
      <c r="J27" s="10">
        <v>44</v>
      </c>
      <c r="K27" s="10">
        <v>44</v>
      </c>
      <c r="L27" s="10">
        <v>44</v>
      </c>
      <c r="M27" s="10">
        <v>43</v>
      </c>
      <c r="N27" s="10">
        <v>43</v>
      </c>
      <c r="O27" s="10">
        <v>44</v>
      </c>
      <c r="P27" s="2">
        <f t="shared" si="12"/>
        <v>544</v>
      </c>
      <c r="Q27" s="2"/>
      <c r="R27" s="249">
        <v>550</v>
      </c>
      <c r="S27" s="3">
        <f t="shared" ref="S27:AD29" si="46">$R27*D27</f>
        <v>25850</v>
      </c>
      <c r="T27" s="3">
        <f t="shared" si="46"/>
        <v>25300</v>
      </c>
      <c r="U27" s="3">
        <f t="shared" si="46"/>
        <v>27500</v>
      </c>
      <c r="V27" s="3">
        <f t="shared" si="46"/>
        <v>27500</v>
      </c>
      <c r="W27" s="3">
        <f t="shared" si="46"/>
        <v>24200</v>
      </c>
      <c r="X27" s="3">
        <f t="shared" si="46"/>
        <v>24750</v>
      </c>
      <c r="Y27" s="3">
        <f t="shared" si="46"/>
        <v>24200</v>
      </c>
      <c r="Z27" s="3">
        <f t="shared" si="46"/>
        <v>24200</v>
      </c>
      <c r="AA27" s="3">
        <f t="shared" si="46"/>
        <v>24200</v>
      </c>
      <c r="AB27" s="3">
        <f t="shared" si="46"/>
        <v>23650</v>
      </c>
      <c r="AC27" s="20">
        <f t="shared" si="46"/>
        <v>23650</v>
      </c>
      <c r="AD27" s="20">
        <f t="shared" si="46"/>
        <v>24200</v>
      </c>
      <c r="AE27" s="3">
        <f t="shared" si="13"/>
        <v>299200</v>
      </c>
    </row>
    <row r="28" spans="1:31" x14ac:dyDescent="0.25">
      <c r="B28" t="s">
        <v>15</v>
      </c>
      <c r="D28" s="10">
        <v>3483965.72</v>
      </c>
      <c r="E28" s="10">
        <v>3164919.48</v>
      </c>
      <c r="F28" s="10">
        <v>3113478.18</v>
      </c>
      <c r="G28" s="10">
        <v>2573212.36</v>
      </c>
      <c r="H28" s="10">
        <v>1980817.2</v>
      </c>
      <c r="I28" s="10">
        <v>2201033.7400000002</v>
      </c>
      <c r="J28" s="10">
        <v>2547802.2799999998</v>
      </c>
      <c r="K28" s="10">
        <v>2610856.34</v>
      </c>
      <c r="L28" s="10">
        <v>2257849.5</v>
      </c>
      <c r="M28" s="10">
        <v>2118104.44</v>
      </c>
      <c r="N28" s="10">
        <v>2269926.64</v>
      </c>
      <c r="O28" s="10">
        <v>3009675.32</v>
      </c>
      <c r="P28" s="2">
        <f t="shared" si="12"/>
        <v>31331641.200000003</v>
      </c>
      <c r="Q28" s="2"/>
      <c r="R28" s="250">
        <v>8.2100000000000006E-2</v>
      </c>
      <c r="S28" s="3">
        <f t="shared" si="46"/>
        <v>286033.58561200002</v>
      </c>
      <c r="T28" s="3">
        <f t="shared" si="46"/>
        <v>259839.88930800001</v>
      </c>
      <c r="U28" s="3">
        <f t="shared" si="46"/>
        <v>255616.55857800003</v>
      </c>
      <c r="V28" s="3">
        <f t="shared" si="46"/>
        <v>211260.73475600002</v>
      </c>
      <c r="W28" s="3">
        <f t="shared" si="46"/>
        <v>162625.09212000002</v>
      </c>
      <c r="X28" s="3">
        <f t="shared" si="46"/>
        <v>180704.87005400003</v>
      </c>
      <c r="Y28" s="3">
        <f t="shared" si="46"/>
        <v>209174.56718799999</v>
      </c>
      <c r="Z28" s="3">
        <f t="shared" si="46"/>
        <v>214351.30551400001</v>
      </c>
      <c r="AA28" s="3">
        <f t="shared" si="46"/>
        <v>185369.44395000002</v>
      </c>
      <c r="AB28" s="3">
        <f t="shared" si="46"/>
        <v>173896.37452400001</v>
      </c>
      <c r="AC28" s="20">
        <f t="shared" si="46"/>
        <v>186360.97714400003</v>
      </c>
      <c r="AD28" s="20">
        <f t="shared" si="46"/>
        <v>247094.34377199999</v>
      </c>
      <c r="AE28" s="3">
        <f t="shared" si="13"/>
        <v>2572327.7425200003</v>
      </c>
    </row>
    <row r="29" spans="1:31" x14ac:dyDescent="0.25">
      <c r="B29" t="s">
        <v>16</v>
      </c>
      <c r="D29" s="10">
        <v>34067.360000000001</v>
      </c>
      <c r="E29" s="10">
        <v>15254.24</v>
      </c>
      <c r="F29" s="10">
        <v>50306.96</v>
      </c>
      <c r="G29" s="10">
        <v>0</v>
      </c>
      <c r="H29" s="10">
        <v>0</v>
      </c>
      <c r="I29" s="10">
        <v>0</v>
      </c>
      <c r="J29" s="10">
        <v>28271.599999999999</v>
      </c>
      <c r="K29" s="10">
        <v>1712.6</v>
      </c>
      <c r="L29" s="10">
        <v>0</v>
      </c>
      <c r="M29" s="10">
        <v>0</v>
      </c>
      <c r="N29" s="10">
        <v>0</v>
      </c>
      <c r="O29" s="10">
        <v>0</v>
      </c>
      <c r="P29" s="2">
        <f t="shared" si="12"/>
        <v>129612.76000000001</v>
      </c>
      <c r="Q29" s="2"/>
      <c r="R29" s="250">
        <v>7.4079999999999993E-2</v>
      </c>
      <c r="S29" s="3">
        <f t="shared" si="46"/>
        <v>2523.7100287999997</v>
      </c>
      <c r="T29" s="3">
        <f t="shared" si="46"/>
        <v>1130.0340991999999</v>
      </c>
      <c r="U29" s="3">
        <f t="shared" si="46"/>
        <v>3726.7395967999996</v>
      </c>
      <c r="V29" s="3">
        <f t="shared" si="46"/>
        <v>0</v>
      </c>
      <c r="W29" s="3">
        <f t="shared" si="46"/>
        <v>0</v>
      </c>
      <c r="X29" s="3">
        <f t="shared" si="46"/>
        <v>0</v>
      </c>
      <c r="Y29" s="3">
        <f t="shared" si="46"/>
        <v>2094.3601279999998</v>
      </c>
      <c r="Z29" s="3">
        <f t="shared" si="46"/>
        <v>126.86940799999998</v>
      </c>
      <c r="AA29" s="3">
        <f t="shared" si="46"/>
        <v>0</v>
      </c>
      <c r="AB29" s="3">
        <f t="shared" si="46"/>
        <v>0</v>
      </c>
      <c r="AC29" s="20">
        <f t="shared" si="46"/>
        <v>0</v>
      </c>
      <c r="AD29" s="20">
        <f t="shared" si="46"/>
        <v>0</v>
      </c>
      <c r="AE29" s="3">
        <f t="shared" si="13"/>
        <v>9601.7132607999993</v>
      </c>
    </row>
    <row r="30" spans="1:31" x14ac:dyDescent="0.25">
      <c r="B30" t="s">
        <v>19</v>
      </c>
      <c r="D30" s="2">
        <f>D125/D128</f>
        <v>4600.3942857142856</v>
      </c>
      <c r="E30" s="2">
        <f t="shared" ref="E30:O30" si="47">E125/E128</f>
        <v>5175.3057142857142</v>
      </c>
      <c r="F30" s="2">
        <f t="shared" si="47"/>
        <v>4962.5199999999995</v>
      </c>
      <c r="G30" s="2">
        <f t="shared" si="47"/>
        <v>3944.43</v>
      </c>
      <c r="H30" s="2">
        <f t="shared" si="47"/>
        <v>3003.3142857142857</v>
      </c>
      <c r="I30" s="2">
        <f t="shared" si="47"/>
        <v>3481.7999999999997</v>
      </c>
      <c r="J30" s="2">
        <f t="shared" si="47"/>
        <v>4457.5214285714292</v>
      </c>
      <c r="K30" s="2">
        <f t="shared" si="47"/>
        <v>3937.7171428571428</v>
      </c>
      <c r="L30" s="2">
        <f t="shared" si="47"/>
        <v>3365.1285714285718</v>
      </c>
      <c r="M30" s="2">
        <f t="shared" si="47"/>
        <v>3123.4614285714283</v>
      </c>
      <c r="N30" s="2">
        <f t="shared" si="47"/>
        <v>3539.39</v>
      </c>
      <c r="O30" s="2">
        <f t="shared" si="47"/>
        <v>4329.1314285714279</v>
      </c>
      <c r="P30" s="2">
        <f t="shared" si="12"/>
        <v>47920.114285714277</v>
      </c>
      <c r="Q30" s="2"/>
      <c r="R30" s="249">
        <v>7</v>
      </c>
      <c r="S30" s="3">
        <f t="shared" ref="S30:S32" si="48">$R30*D30</f>
        <v>32202.76</v>
      </c>
      <c r="T30" s="3">
        <f t="shared" ref="T30:T32" si="49">$R30*E30</f>
        <v>36227.14</v>
      </c>
      <c r="U30" s="3">
        <f t="shared" ref="U30:U32" si="50">$R30*F30</f>
        <v>34737.64</v>
      </c>
      <c r="V30" s="3">
        <f t="shared" ref="V30:V32" si="51">$R30*G30</f>
        <v>27611.01</v>
      </c>
      <c r="W30" s="3">
        <f t="shared" ref="W30:W32" si="52">$R30*H30</f>
        <v>21023.200000000001</v>
      </c>
      <c r="X30" s="3">
        <f t="shared" ref="X30:X32" si="53">$R30*I30</f>
        <v>24372.6</v>
      </c>
      <c r="Y30" s="3">
        <f t="shared" ref="Y30:Y32" si="54">$R30*J30</f>
        <v>31202.650000000005</v>
      </c>
      <c r="Z30" s="3">
        <f t="shared" ref="Z30:Z32" si="55">$R30*K30</f>
        <v>27564.02</v>
      </c>
      <c r="AA30" s="3">
        <f t="shared" ref="AA30:AA32" si="56">$R30*L30</f>
        <v>23555.9</v>
      </c>
      <c r="AB30" s="3">
        <f t="shared" ref="AB30:AB32" si="57">$R30*M30</f>
        <v>21864.23</v>
      </c>
      <c r="AC30" s="20">
        <f t="shared" ref="AC30:AC32" si="58">$R30*N30</f>
        <v>24775.73</v>
      </c>
      <c r="AD30" s="20">
        <f t="shared" ref="AD30:AD32" si="59">$R30*O30</f>
        <v>30303.919999999995</v>
      </c>
      <c r="AE30" s="3">
        <f t="shared" si="13"/>
        <v>335440.79999999993</v>
      </c>
    </row>
    <row r="31" spans="1:31" x14ac:dyDescent="0.25">
      <c r="B31" t="s">
        <v>20</v>
      </c>
      <c r="D31" s="2">
        <f t="shared" ref="D31:D32" si="60">D126/D129</f>
        <v>0</v>
      </c>
      <c r="E31" s="2">
        <f t="shared" ref="E31:O31" si="61">E126/E129</f>
        <v>0</v>
      </c>
      <c r="F31" s="2">
        <f t="shared" si="61"/>
        <v>0</v>
      </c>
      <c r="G31" s="2">
        <f t="shared" si="61"/>
        <v>0</v>
      </c>
      <c r="H31" s="2">
        <f t="shared" si="61"/>
        <v>30.92</v>
      </c>
      <c r="I31" s="2">
        <f t="shared" si="61"/>
        <v>29.18</v>
      </c>
      <c r="J31" s="2">
        <f t="shared" si="61"/>
        <v>41.14</v>
      </c>
      <c r="K31" s="2">
        <f t="shared" si="61"/>
        <v>79.8</v>
      </c>
      <c r="L31" s="2">
        <f t="shared" si="61"/>
        <v>56.8</v>
      </c>
      <c r="M31" s="2">
        <f t="shared" si="61"/>
        <v>54.5</v>
      </c>
      <c r="N31" s="2">
        <f t="shared" si="61"/>
        <v>31.72</v>
      </c>
      <c r="O31" s="2">
        <f t="shared" si="61"/>
        <v>0</v>
      </c>
      <c r="P31" s="2">
        <f t="shared" si="12"/>
        <v>324.06000000000006</v>
      </c>
      <c r="Q31" s="2"/>
      <c r="R31" s="249">
        <v>0.5</v>
      </c>
      <c r="S31" s="3">
        <f t="shared" si="48"/>
        <v>0</v>
      </c>
      <c r="T31" s="3">
        <f t="shared" si="49"/>
        <v>0</v>
      </c>
      <c r="U31" s="3">
        <f t="shared" si="50"/>
        <v>0</v>
      </c>
      <c r="V31" s="3">
        <f t="shared" si="51"/>
        <v>0</v>
      </c>
      <c r="W31" s="3">
        <f t="shared" si="52"/>
        <v>15.46</v>
      </c>
      <c r="X31" s="3">
        <f t="shared" si="53"/>
        <v>14.59</v>
      </c>
      <c r="Y31" s="3">
        <f t="shared" si="54"/>
        <v>20.57</v>
      </c>
      <c r="Z31" s="3">
        <f t="shared" si="55"/>
        <v>39.9</v>
      </c>
      <c r="AA31" s="3">
        <f t="shared" si="56"/>
        <v>28.4</v>
      </c>
      <c r="AB31" s="3">
        <f t="shared" si="57"/>
        <v>27.25</v>
      </c>
      <c r="AC31" s="20">
        <f t="shared" si="58"/>
        <v>15.86</v>
      </c>
      <c r="AD31" s="20">
        <f t="shared" si="59"/>
        <v>0</v>
      </c>
      <c r="AE31" s="3">
        <f t="shared" si="13"/>
        <v>162.03000000000003</v>
      </c>
    </row>
    <row r="32" spans="1:31" x14ac:dyDescent="0.25">
      <c r="B32" t="s">
        <v>21</v>
      </c>
      <c r="D32" s="2">
        <f t="shared" si="60"/>
        <v>0</v>
      </c>
      <c r="E32" s="2">
        <f t="shared" ref="E32:O32" si="62">E127/E130</f>
        <v>0</v>
      </c>
      <c r="F32" s="2">
        <f t="shared" si="62"/>
        <v>0</v>
      </c>
      <c r="G32" s="2">
        <f t="shared" si="62"/>
        <v>0</v>
      </c>
      <c r="H32" s="2">
        <f t="shared" si="62"/>
        <v>0</v>
      </c>
      <c r="I32" s="2">
        <f t="shared" si="62"/>
        <v>0</v>
      </c>
      <c r="J32" s="2">
        <f t="shared" si="62"/>
        <v>0</v>
      </c>
      <c r="K32" s="2">
        <f t="shared" si="62"/>
        <v>0</v>
      </c>
      <c r="L32" s="2">
        <f t="shared" si="62"/>
        <v>0</v>
      </c>
      <c r="M32" s="2">
        <f t="shared" si="62"/>
        <v>0</v>
      </c>
      <c r="N32" s="2">
        <f t="shared" si="62"/>
        <v>0</v>
      </c>
      <c r="O32" s="2">
        <f t="shared" si="62"/>
        <v>0</v>
      </c>
      <c r="P32" s="2">
        <f t="shared" si="12"/>
        <v>0</v>
      </c>
      <c r="Q32" s="2"/>
      <c r="R32" s="249">
        <v>-0.2</v>
      </c>
      <c r="S32" s="3">
        <f t="shared" si="48"/>
        <v>0</v>
      </c>
      <c r="T32" s="3">
        <f t="shared" si="49"/>
        <v>0</v>
      </c>
      <c r="U32" s="3">
        <f t="shared" si="50"/>
        <v>0</v>
      </c>
      <c r="V32" s="3">
        <f t="shared" si="51"/>
        <v>0</v>
      </c>
      <c r="W32" s="3">
        <f t="shared" si="52"/>
        <v>0</v>
      </c>
      <c r="X32" s="3">
        <f t="shared" si="53"/>
        <v>0</v>
      </c>
      <c r="Y32" s="3">
        <f t="shared" si="54"/>
        <v>0</v>
      </c>
      <c r="Z32" s="3">
        <f t="shared" si="55"/>
        <v>0</v>
      </c>
      <c r="AA32" s="3">
        <f t="shared" si="56"/>
        <v>0</v>
      </c>
      <c r="AB32" s="3">
        <f t="shared" si="57"/>
        <v>0</v>
      </c>
      <c r="AC32" s="20">
        <f t="shared" si="58"/>
        <v>0</v>
      </c>
      <c r="AD32" s="20">
        <f t="shared" si="59"/>
        <v>0</v>
      </c>
      <c r="AE32" s="3">
        <f t="shared" si="13"/>
        <v>0</v>
      </c>
    </row>
    <row r="33" spans="1:31" x14ac:dyDescent="0.25">
      <c r="A33" t="s">
        <v>299</v>
      </c>
      <c r="B33" t="s">
        <v>14</v>
      </c>
      <c r="D33" s="150">
        <f>'WA Sch 25'!F120</f>
        <v>23</v>
      </c>
      <c r="E33" s="150">
        <f>'WA Sch 25'!G120</f>
        <v>23</v>
      </c>
      <c r="F33" s="150">
        <f>'WA Sch 25'!H120</f>
        <v>23</v>
      </c>
      <c r="G33" s="150">
        <f>'WA Sch 25'!I120</f>
        <v>23</v>
      </c>
      <c r="H33" s="150">
        <f>'WA Sch 25'!J120</f>
        <v>23</v>
      </c>
      <c r="I33" s="150">
        <f>'WA Sch 25'!K120</f>
        <v>23</v>
      </c>
      <c r="J33" s="150">
        <f>'WA Sch 25'!L120</f>
        <v>23</v>
      </c>
      <c r="K33" s="150">
        <f>'WA Sch 25'!M120</f>
        <v>23</v>
      </c>
      <c r="L33" s="150">
        <f>'WA Sch 25'!N120</f>
        <v>23</v>
      </c>
      <c r="M33" s="150">
        <f>'WA Sch 25'!O120</f>
        <v>23</v>
      </c>
      <c r="N33" s="150">
        <f>'WA Sch 25'!P120</f>
        <v>23</v>
      </c>
      <c r="O33" s="150">
        <f>'WA Sch 25'!Q120</f>
        <v>23</v>
      </c>
      <c r="P33" s="2">
        <f t="shared" si="12"/>
        <v>276</v>
      </c>
      <c r="Q33" s="2"/>
      <c r="R33" s="249">
        <v>30650</v>
      </c>
      <c r="S33" s="3">
        <f t="shared" ref="S33:AD36" si="63">$R33*D33</f>
        <v>704950</v>
      </c>
      <c r="T33" s="3">
        <f t="shared" si="63"/>
        <v>704950</v>
      </c>
      <c r="U33" s="3">
        <f t="shared" si="63"/>
        <v>704950</v>
      </c>
      <c r="V33" s="3">
        <f t="shared" si="63"/>
        <v>704950</v>
      </c>
      <c r="W33" s="3">
        <f t="shared" si="63"/>
        <v>704950</v>
      </c>
      <c r="X33" s="3">
        <f t="shared" si="63"/>
        <v>704950</v>
      </c>
      <c r="Y33" s="3">
        <f t="shared" si="63"/>
        <v>704950</v>
      </c>
      <c r="Z33" s="3">
        <f t="shared" si="63"/>
        <v>704950</v>
      </c>
      <c r="AA33" s="3">
        <f t="shared" si="63"/>
        <v>704950</v>
      </c>
      <c r="AB33" s="3">
        <f t="shared" si="63"/>
        <v>704950</v>
      </c>
      <c r="AC33" s="20">
        <f t="shared" si="63"/>
        <v>704950</v>
      </c>
      <c r="AD33" s="20">
        <f t="shared" si="63"/>
        <v>704950</v>
      </c>
      <c r="AE33" s="3">
        <f t="shared" si="13"/>
        <v>8459400</v>
      </c>
    </row>
    <row r="34" spans="1:31" x14ac:dyDescent="0.25">
      <c r="B34" t="s">
        <v>15</v>
      </c>
      <c r="D34" s="150">
        <f>'WA Sch 25'!F126</f>
        <v>11500000</v>
      </c>
      <c r="E34" s="150">
        <f>'WA Sch 25'!G126</f>
        <v>11500000</v>
      </c>
      <c r="F34" s="150">
        <f>'WA Sch 25'!H126</f>
        <v>11500000</v>
      </c>
      <c r="G34" s="150">
        <f>'WA Sch 25'!I126</f>
        <v>11500000</v>
      </c>
      <c r="H34" s="150">
        <f>'WA Sch 25'!J126</f>
        <v>11500000</v>
      </c>
      <c r="I34" s="150">
        <f>'WA Sch 25'!K126</f>
        <v>11500000</v>
      </c>
      <c r="J34" s="150">
        <f>'WA Sch 25'!L126</f>
        <v>11500000</v>
      </c>
      <c r="K34" s="150">
        <f>'WA Sch 25'!M126</f>
        <v>11500000</v>
      </c>
      <c r="L34" s="150">
        <f>'WA Sch 25'!N126</f>
        <v>11500000</v>
      </c>
      <c r="M34" s="150">
        <f>'WA Sch 25'!O126</f>
        <v>11500000</v>
      </c>
      <c r="N34" s="150">
        <f>'WA Sch 25'!P126</f>
        <v>11500000</v>
      </c>
      <c r="O34" s="150">
        <f>'WA Sch 25'!Q126</f>
        <v>11500000</v>
      </c>
      <c r="P34" s="2">
        <f t="shared" si="12"/>
        <v>138000000</v>
      </c>
      <c r="Q34" s="2"/>
      <c r="R34" s="250">
        <v>5.7639999999999997E-2</v>
      </c>
      <c r="S34" s="3">
        <f t="shared" si="63"/>
        <v>662860</v>
      </c>
      <c r="T34" s="3">
        <f t="shared" si="63"/>
        <v>662860</v>
      </c>
      <c r="U34" s="3">
        <f t="shared" si="63"/>
        <v>662860</v>
      </c>
      <c r="V34" s="3">
        <f t="shared" si="63"/>
        <v>662860</v>
      </c>
      <c r="W34" s="3">
        <f t="shared" si="63"/>
        <v>662860</v>
      </c>
      <c r="X34" s="3">
        <f t="shared" si="63"/>
        <v>662860</v>
      </c>
      <c r="Y34" s="3">
        <f t="shared" si="63"/>
        <v>662860</v>
      </c>
      <c r="Z34" s="3">
        <f t="shared" si="63"/>
        <v>662860</v>
      </c>
      <c r="AA34" s="3">
        <f t="shared" si="63"/>
        <v>662860</v>
      </c>
      <c r="AB34" s="3">
        <f t="shared" si="63"/>
        <v>662860</v>
      </c>
      <c r="AC34" s="20">
        <f t="shared" si="63"/>
        <v>662860</v>
      </c>
      <c r="AD34" s="20">
        <f t="shared" si="63"/>
        <v>662860</v>
      </c>
      <c r="AE34" s="3">
        <f t="shared" si="13"/>
        <v>7954320</v>
      </c>
    </row>
    <row r="35" spans="1:31" x14ac:dyDescent="0.25">
      <c r="B35" t="s">
        <v>16</v>
      </c>
      <c r="D35" s="150">
        <f>'WA Sch 25'!F125</f>
        <v>39615165.570000008</v>
      </c>
      <c r="E35" s="150">
        <f>'WA Sch 25'!G125</f>
        <v>38742567.620000005</v>
      </c>
      <c r="F35" s="150">
        <f>'WA Sch 25'!H125</f>
        <v>42629110.342000023</v>
      </c>
      <c r="G35" s="150">
        <f>'WA Sch 25'!I125</f>
        <v>39510901.36499998</v>
      </c>
      <c r="H35" s="150">
        <f>'WA Sch 25'!J125</f>
        <v>41303956.859999999</v>
      </c>
      <c r="I35" s="150">
        <f>'WA Sch 25'!K125</f>
        <v>44518213.030000001</v>
      </c>
      <c r="J35" s="150">
        <f>'WA Sch 25'!L125</f>
        <v>45936945.189999983</v>
      </c>
      <c r="K35" s="150">
        <f>'WA Sch 25'!M125</f>
        <v>46154192.570000008</v>
      </c>
      <c r="L35" s="150">
        <f>'WA Sch 25'!N125</f>
        <v>44577167.879999995</v>
      </c>
      <c r="M35" s="150">
        <f>'WA Sch 25'!O125</f>
        <v>44254039.505000025</v>
      </c>
      <c r="N35" s="150">
        <f>'WA Sch 25'!P125</f>
        <v>41522796.59799999</v>
      </c>
      <c r="O35" s="150">
        <f>'WA Sch 25'!Q125</f>
        <v>43973565.531000003</v>
      </c>
      <c r="P35" s="2">
        <f t="shared" si="12"/>
        <v>512738622.06100005</v>
      </c>
      <c r="Q35" s="2"/>
      <c r="R35" s="250">
        <v>5.212E-2</v>
      </c>
      <c r="S35" s="3">
        <f t="shared" si="63"/>
        <v>2064742.4295084004</v>
      </c>
      <c r="T35" s="3">
        <f t="shared" si="63"/>
        <v>2019262.6243544002</v>
      </c>
      <c r="U35" s="3">
        <f t="shared" si="63"/>
        <v>2221829.2310250411</v>
      </c>
      <c r="V35" s="3">
        <f t="shared" si="63"/>
        <v>2059308.179143799</v>
      </c>
      <c r="W35" s="3">
        <f t="shared" si="63"/>
        <v>2152762.2315432001</v>
      </c>
      <c r="X35" s="3">
        <f t="shared" si="63"/>
        <v>2320289.2631236003</v>
      </c>
      <c r="Y35" s="3">
        <f t="shared" si="63"/>
        <v>2394233.5833027991</v>
      </c>
      <c r="Z35" s="3">
        <f t="shared" si="63"/>
        <v>2405556.5167484004</v>
      </c>
      <c r="AA35" s="3">
        <f t="shared" si="63"/>
        <v>2323361.9899055995</v>
      </c>
      <c r="AB35" s="3">
        <f t="shared" si="63"/>
        <v>2306520.5390006015</v>
      </c>
      <c r="AC35" s="20">
        <f t="shared" si="63"/>
        <v>2164168.1586877597</v>
      </c>
      <c r="AD35" s="20">
        <f t="shared" si="63"/>
        <v>2291902.2354757204</v>
      </c>
      <c r="AE35" s="3">
        <f t="shared" si="13"/>
        <v>26723936.981819317</v>
      </c>
    </row>
    <row r="36" spans="1:31" x14ac:dyDescent="0.25">
      <c r="B36" t="s">
        <v>17</v>
      </c>
      <c r="D36" s="150">
        <f>'WA Sch 25'!F124</f>
        <v>33435656</v>
      </c>
      <c r="E36" s="150">
        <f>'WA Sch 25'!G124</f>
        <v>29292188</v>
      </c>
      <c r="F36" s="150">
        <f>'WA Sch 25'!H124</f>
        <v>34784468</v>
      </c>
      <c r="G36" s="150">
        <f>'WA Sch 25'!I124</f>
        <v>32726952</v>
      </c>
      <c r="H36" s="150">
        <f>'WA Sch 25'!J124</f>
        <v>28594216</v>
      </c>
      <c r="I36" s="150">
        <f>'WA Sch 25'!K124</f>
        <v>31627620</v>
      </c>
      <c r="J36" s="150">
        <f>'WA Sch 25'!L124</f>
        <v>31858230</v>
      </c>
      <c r="K36" s="150">
        <f>'WA Sch 25'!M124</f>
        <v>34324196</v>
      </c>
      <c r="L36" s="150">
        <f>'WA Sch 25'!N124</f>
        <v>32224942</v>
      </c>
      <c r="M36" s="150">
        <f>'WA Sch 25'!O124</f>
        <v>33200562</v>
      </c>
      <c r="N36" s="150">
        <f>'WA Sch 25'!P124</f>
        <v>32860962</v>
      </c>
      <c r="O36" s="150">
        <f>'WA Sch 25'!Q124</f>
        <v>28917200</v>
      </c>
      <c r="P36" s="2">
        <f t="shared" si="12"/>
        <v>383847192</v>
      </c>
      <c r="Q36" s="2"/>
      <c r="R36" s="250">
        <v>4.4010000000000001E-2</v>
      </c>
      <c r="S36" s="3">
        <f t="shared" si="63"/>
        <v>1471503.22056</v>
      </c>
      <c r="T36" s="3">
        <f t="shared" si="63"/>
        <v>1289149.1938799999</v>
      </c>
      <c r="U36" s="3">
        <f t="shared" si="63"/>
        <v>1530864.43668</v>
      </c>
      <c r="V36" s="3">
        <f t="shared" si="63"/>
        <v>1440313.1575200001</v>
      </c>
      <c r="W36" s="3">
        <f t="shared" si="63"/>
        <v>1258431.4461600001</v>
      </c>
      <c r="X36" s="3">
        <f t="shared" si="63"/>
        <v>1391931.5562</v>
      </c>
      <c r="Y36" s="3">
        <f t="shared" si="63"/>
        <v>1402080.7023</v>
      </c>
      <c r="Z36" s="3">
        <f t="shared" si="63"/>
        <v>1510607.8659600001</v>
      </c>
      <c r="AA36" s="3">
        <f t="shared" si="63"/>
        <v>1418219.6974200001</v>
      </c>
      <c r="AB36" s="3">
        <f t="shared" si="63"/>
        <v>1461156.7336200001</v>
      </c>
      <c r="AC36" s="20">
        <f t="shared" si="63"/>
        <v>1446210.93762</v>
      </c>
      <c r="AD36" s="20">
        <f t="shared" si="63"/>
        <v>1272645.9720000001</v>
      </c>
      <c r="AE36" s="3">
        <f t="shared" si="13"/>
        <v>16893114.919919997</v>
      </c>
    </row>
    <row r="37" spans="1:31" x14ac:dyDescent="0.25">
      <c r="B37" t="s">
        <v>19</v>
      </c>
      <c r="D37" s="2">
        <f>'WA Sch 25'!F92</f>
        <v>93267.382000000012</v>
      </c>
      <c r="E37" s="2">
        <f>'WA Sch 25'!G92</f>
        <v>90820.01</v>
      </c>
      <c r="F37" s="2">
        <f>'WA Sch 25'!H92</f>
        <v>91035.235000000015</v>
      </c>
      <c r="G37" s="2">
        <f>'WA Sch 25'!I92</f>
        <v>94886.156000000017</v>
      </c>
      <c r="H37" s="2">
        <f>'WA Sch 25'!J92</f>
        <v>94766.704999999987</v>
      </c>
      <c r="I37" s="2">
        <f>'WA Sch 25'!K92</f>
        <v>110903.04999999999</v>
      </c>
      <c r="J37" s="2">
        <f>'WA Sch 25'!L92</f>
        <v>105039.644</v>
      </c>
      <c r="K37" s="2">
        <f>'WA Sch 25'!M92</f>
        <v>111882.823</v>
      </c>
      <c r="L37" s="2">
        <f>'WA Sch 25'!N92</f>
        <v>108807.37800000001</v>
      </c>
      <c r="M37" s="2">
        <f>'WA Sch 25'!O92</f>
        <v>105944.69900000002</v>
      </c>
      <c r="N37" s="2">
        <f>'WA Sch 25'!P92</f>
        <v>99394.572999999989</v>
      </c>
      <c r="O37" s="2">
        <f>'WA Sch 25'!Q92</f>
        <v>102114.03600000002</v>
      </c>
      <c r="P37" s="2">
        <f t="shared" si="12"/>
        <v>1208861.6910000001</v>
      </c>
      <c r="Q37" s="2"/>
      <c r="R37" s="249">
        <v>8.3000000000000007</v>
      </c>
      <c r="S37" s="3">
        <f t="shared" ref="S37:S40" si="64">$R37*D37</f>
        <v>774119.27060000016</v>
      </c>
      <c r="T37" s="3">
        <f t="shared" ref="T37:T40" si="65">$R37*E37</f>
        <v>753806.08299999998</v>
      </c>
      <c r="U37" s="3">
        <f t="shared" ref="U37:U40" si="66">$R37*F37</f>
        <v>755592.45050000015</v>
      </c>
      <c r="V37" s="3">
        <f t="shared" ref="V37:V40" si="67">$R37*G37</f>
        <v>787555.0948000002</v>
      </c>
      <c r="W37" s="3">
        <f t="shared" ref="W37:W40" si="68">$R37*H37</f>
        <v>786563.65149999992</v>
      </c>
      <c r="X37" s="3">
        <f t="shared" ref="X37:X40" si="69">$R37*I37</f>
        <v>920495.31499999994</v>
      </c>
      <c r="Y37" s="3">
        <f t="shared" ref="Y37:Y40" si="70">$R37*J37</f>
        <v>871829.04520000005</v>
      </c>
      <c r="Z37" s="3">
        <f t="shared" ref="Z37:Z40" si="71">$R37*K37</f>
        <v>928627.43090000015</v>
      </c>
      <c r="AA37" s="3">
        <f t="shared" ref="AA37:AA40" si="72">$R37*L37</f>
        <v>903101.23740000022</v>
      </c>
      <c r="AB37" s="3">
        <f t="shared" ref="AB37:AB40" si="73">$R37*M37</f>
        <v>879341.00170000026</v>
      </c>
      <c r="AC37" s="20">
        <f t="shared" ref="AC37:AC40" si="74">$R37*N37</f>
        <v>824974.95589999994</v>
      </c>
      <c r="AD37" s="20">
        <f t="shared" ref="AD37:AD40" si="75">$R37*O37</f>
        <v>847546.49880000029</v>
      </c>
      <c r="AE37" s="3">
        <f t="shared" si="13"/>
        <v>10033552.0353</v>
      </c>
    </row>
    <row r="38" spans="1:31" x14ac:dyDescent="0.25">
      <c r="B38" t="s">
        <v>22</v>
      </c>
      <c r="D38" s="2">
        <f>'WA Sch 25'!F129</f>
        <v>85458.894</v>
      </c>
      <c r="E38" s="2">
        <f>'WA Sch 25'!G129</f>
        <v>87476.876999999979</v>
      </c>
      <c r="F38" s="2">
        <f>'WA Sch 25'!H129</f>
        <v>87034.039000000004</v>
      </c>
      <c r="G38" s="2">
        <f>'WA Sch 25'!I129</f>
        <v>85762.785999999993</v>
      </c>
      <c r="H38" s="2">
        <f>'WA Sch 25'!J129</f>
        <v>87709.526999999973</v>
      </c>
      <c r="I38" s="2">
        <f>'WA Sch 25'!K129</f>
        <v>96183.232000000033</v>
      </c>
      <c r="J38" s="2">
        <f>'WA Sch 25'!L129</f>
        <v>93991.302999999985</v>
      </c>
      <c r="K38" s="2">
        <f>'WA Sch 25'!M129</f>
        <v>99395.900000000023</v>
      </c>
      <c r="L38" s="2">
        <f>'WA Sch 25'!N129</f>
        <v>95167.604999999981</v>
      </c>
      <c r="M38" s="2">
        <f>'WA Sch 25'!O129</f>
        <v>94324.582000000068</v>
      </c>
      <c r="N38" s="2">
        <f>'WA Sch 25'!P129</f>
        <v>89718.492999999959</v>
      </c>
      <c r="O38" s="2">
        <f>'WA Sch 25'!Q129</f>
        <v>90114.092000000019</v>
      </c>
      <c r="P38" s="2">
        <f t="shared" si="12"/>
        <v>1092337.33</v>
      </c>
      <c r="Q38" s="2"/>
      <c r="R38" s="249">
        <v>-0.2</v>
      </c>
      <c r="S38" s="3">
        <f t="shared" si="64"/>
        <v>-17091.7788</v>
      </c>
      <c r="T38" s="3">
        <f t="shared" si="65"/>
        <v>-17495.375399999997</v>
      </c>
      <c r="U38" s="3">
        <f t="shared" si="66"/>
        <v>-17406.807800000002</v>
      </c>
      <c r="V38" s="3">
        <f t="shared" si="67"/>
        <v>-17152.557199999999</v>
      </c>
      <c r="W38" s="3">
        <f t="shared" si="68"/>
        <v>-17541.905399999996</v>
      </c>
      <c r="X38" s="3">
        <f t="shared" si="69"/>
        <v>-19236.646400000009</v>
      </c>
      <c r="Y38" s="3">
        <f t="shared" si="70"/>
        <v>-18798.260599999998</v>
      </c>
      <c r="Z38" s="3">
        <f t="shared" si="71"/>
        <v>-19879.180000000008</v>
      </c>
      <c r="AA38" s="3">
        <f t="shared" si="72"/>
        <v>-19033.520999999997</v>
      </c>
      <c r="AB38" s="3">
        <f t="shared" si="73"/>
        <v>-18864.916400000013</v>
      </c>
      <c r="AC38" s="20">
        <f t="shared" si="74"/>
        <v>-17943.698599999992</v>
      </c>
      <c r="AD38" s="20">
        <f t="shared" si="75"/>
        <v>-18022.818400000004</v>
      </c>
      <c r="AE38" s="3">
        <f t="shared" si="13"/>
        <v>-218467.46600000007</v>
      </c>
    </row>
    <row r="39" spans="1:31" x14ac:dyDescent="0.25">
      <c r="B39" t="s">
        <v>23</v>
      </c>
      <c r="D39" s="2">
        <f>'WA Sch 25'!F130</f>
        <v>10764.717105263158</v>
      </c>
      <c r="E39" s="2">
        <f>'WA Sch 25'!G130</f>
        <v>8892.28947368421</v>
      </c>
      <c r="F39" s="2">
        <f>'WA Sch 25'!H130</f>
        <v>9748.6184210526317</v>
      </c>
      <c r="G39" s="2">
        <f>'WA Sch 25'!I130</f>
        <v>9185.8618421052633</v>
      </c>
      <c r="H39" s="2">
        <f>'WA Sch 25'!J130</f>
        <v>12212.486842105263</v>
      </c>
      <c r="I39" s="2">
        <f>'WA Sch 25'!K130</f>
        <v>9626.480263157895</v>
      </c>
      <c r="J39" s="2">
        <f>'WA Sch 25'!L130</f>
        <v>9506.8026315789466</v>
      </c>
      <c r="K39" s="2">
        <f>'WA Sch 25'!M130</f>
        <v>9917.3289473684217</v>
      </c>
      <c r="L39" s="2">
        <f>'WA Sch 25'!N130</f>
        <v>9936.2631578947367</v>
      </c>
      <c r="M39" s="2">
        <f>'WA Sch 25'!O130</f>
        <v>11935.618421052632</v>
      </c>
      <c r="N39" s="2">
        <f>'WA Sch 25'!P130</f>
        <v>11470.618421052632</v>
      </c>
      <c r="O39" s="2">
        <f>'WA Sch 25'!Q130</f>
        <v>10253.177631578947</v>
      </c>
      <c r="P39" s="2">
        <f t="shared" si="12"/>
        <v>123450.26315789473</v>
      </c>
      <c r="Q39" s="2"/>
      <c r="R39" s="249">
        <v>-1.52</v>
      </c>
      <c r="S39" s="3">
        <f t="shared" si="64"/>
        <v>-16362.37</v>
      </c>
      <c r="T39" s="3">
        <f t="shared" si="65"/>
        <v>-13516.279999999999</v>
      </c>
      <c r="U39" s="3">
        <f t="shared" si="66"/>
        <v>-14817.9</v>
      </c>
      <c r="V39" s="3">
        <f t="shared" si="67"/>
        <v>-13962.51</v>
      </c>
      <c r="W39" s="3">
        <f t="shared" si="68"/>
        <v>-18562.98</v>
      </c>
      <c r="X39" s="3">
        <f t="shared" si="69"/>
        <v>-14632.25</v>
      </c>
      <c r="Y39" s="3">
        <f t="shared" si="70"/>
        <v>-14450.339999999998</v>
      </c>
      <c r="Z39" s="3">
        <f t="shared" si="71"/>
        <v>-15074.340000000002</v>
      </c>
      <c r="AA39" s="3">
        <f t="shared" si="72"/>
        <v>-15103.119999999999</v>
      </c>
      <c r="AB39" s="3">
        <f t="shared" si="73"/>
        <v>-18142.14</v>
      </c>
      <c r="AC39" s="20">
        <f t="shared" si="74"/>
        <v>-17435.34</v>
      </c>
      <c r="AD39" s="20">
        <f t="shared" si="75"/>
        <v>-15584.829999999998</v>
      </c>
      <c r="AE39" s="3">
        <f t="shared" si="13"/>
        <v>-187644.39999999997</v>
      </c>
    </row>
    <row r="40" spans="1:31" x14ac:dyDescent="0.25">
      <c r="B40" t="s">
        <v>24</v>
      </c>
      <c r="D40" s="2">
        <f>'WA Sch 25'!F131</f>
        <v>51739.549222797927</v>
      </c>
      <c r="E40" s="2">
        <f>'WA Sch 25'!G131</f>
        <v>56715.709844559591</v>
      </c>
      <c r="F40" s="2">
        <f>'WA Sch 25'!H131</f>
        <v>50467.072538860106</v>
      </c>
      <c r="G40" s="2">
        <f>'WA Sch 25'!I131</f>
        <v>50872.668393782384</v>
      </c>
      <c r="H40" s="2">
        <f>'WA Sch 25'!J131</f>
        <v>52534.601036269429</v>
      </c>
      <c r="I40" s="2">
        <f>'WA Sch 25'!K131</f>
        <v>50944.518134715028</v>
      </c>
      <c r="J40" s="2">
        <f>'WA Sch 25'!L131</f>
        <v>52847.217616580318</v>
      </c>
      <c r="K40" s="2">
        <f>'WA Sch 25'!M131</f>
        <v>52938.611398963738</v>
      </c>
      <c r="L40" s="2">
        <f>'WA Sch 25'!N131</f>
        <v>52635.989637305705</v>
      </c>
      <c r="M40" s="2">
        <f>'WA Sch 25'!O131</f>
        <v>50831.440414507771</v>
      </c>
      <c r="N40" s="2">
        <f>'WA Sch 25'!P131</f>
        <v>51026.108808290155</v>
      </c>
      <c r="O40" s="2">
        <f>'WA Sch 25'!Q131</f>
        <v>51083.481865284972</v>
      </c>
      <c r="P40" s="2">
        <f t="shared" si="12"/>
        <v>624636.96891191718</v>
      </c>
      <c r="Q40" s="2"/>
      <c r="R40" s="249">
        <v>-1.93</v>
      </c>
      <c r="S40" s="3">
        <f t="shared" si="64"/>
        <v>-99857.33</v>
      </c>
      <c r="T40" s="3">
        <f t="shared" si="65"/>
        <v>-109461.32</v>
      </c>
      <c r="U40" s="3">
        <f t="shared" si="66"/>
        <v>-97401.45</v>
      </c>
      <c r="V40" s="3">
        <f t="shared" si="67"/>
        <v>-98184.25</v>
      </c>
      <c r="W40" s="3">
        <f t="shared" si="68"/>
        <v>-101391.78</v>
      </c>
      <c r="X40" s="3">
        <f t="shared" si="69"/>
        <v>-98322.92</v>
      </c>
      <c r="Y40" s="3">
        <f t="shared" si="70"/>
        <v>-101995.13</v>
      </c>
      <c r="Z40" s="3">
        <f t="shared" si="71"/>
        <v>-102171.52</v>
      </c>
      <c r="AA40" s="3">
        <f t="shared" si="72"/>
        <v>-101587.46</v>
      </c>
      <c r="AB40" s="3">
        <f t="shared" si="73"/>
        <v>-98104.68</v>
      </c>
      <c r="AC40" s="20">
        <f t="shared" si="74"/>
        <v>-98480.39</v>
      </c>
      <c r="AD40" s="20">
        <f t="shared" si="75"/>
        <v>-98591.12</v>
      </c>
      <c r="AE40" s="3">
        <f t="shared" si="13"/>
        <v>-1205549.3500000001</v>
      </c>
    </row>
    <row r="41" spans="1:31" x14ac:dyDescent="0.25">
      <c r="A41" t="s">
        <v>44</v>
      </c>
      <c r="B41" t="s">
        <v>14</v>
      </c>
      <c r="D41" s="10">
        <v>54</v>
      </c>
      <c r="E41" s="10">
        <v>54</v>
      </c>
      <c r="F41" s="10">
        <v>54</v>
      </c>
      <c r="G41" s="10">
        <v>55</v>
      </c>
      <c r="H41" s="10">
        <v>55</v>
      </c>
      <c r="I41" s="10">
        <v>55</v>
      </c>
      <c r="J41" s="10">
        <v>55</v>
      </c>
      <c r="K41" s="10">
        <v>57</v>
      </c>
      <c r="L41" s="10">
        <v>56</v>
      </c>
      <c r="M41" s="10">
        <v>55</v>
      </c>
      <c r="N41" s="10">
        <v>57</v>
      </c>
      <c r="O41" s="10">
        <v>56</v>
      </c>
      <c r="P41" s="2">
        <f t="shared" si="12"/>
        <v>663</v>
      </c>
      <c r="Q41" s="2"/>
      <c r="R41" s="249">
        <v>20</v>
      </c>
      <c r="S41" s="3">
        <f t="shared" ref="S41:AD42" si="76">$R41*D41</f>
        <v>1080</v>
      </c>
      <c r="T41" s="3">
        <f t="shared" si="76"/>
        <v>1080</v>
      </c>
      <c r="U41" s="3">
        <f t="shared" si="76"/>
        <v>1080</v>
      </c>
      <c r="V41" s="3">
        <f t="shared" si="76"/>
        <v>1100</v>
      </c>
      <c r="W41" s="3">
        <f t="shared" si="76"/>
        <v>1100</v>
      </c>
      <c r="X41" s="3">
        <f t="shared" si="76"/>
        <v>1100</v>
      </c>
      <c r="Y41" s="3">
        <f t="shared" si="76"/>
        <v>1100</v>
      </c>
      <c r="Z41" s="3">
        <f t="shared" si="76"/>
        <v>1140</v>
      </c>
      <c r="AA41" s="3">
        <f t="shared" si="76"/>
        <v>1120</v>
      </c>
      <c r="AB41" s="3">
        <f t="shared" si="76"/>
        <v>1100</v>
      </c>
      <c r="AC41" s="20">
        <f t="shared" si="76"/>
        <v>1140</v>
      </c>
      <c r="AD41" s="20">
        <f t="shared" si="76"/>
        <v>1120</v>
      </c>
      <c r="AE41" s="3">
        <f t="shared" si="13"/>
        <v>13260</v>
      </c>
    </row>
    <row r="42" spans="1:31" x14ac:dyDescent="0.25">
      <c r="B42" t="s">
        <v>17</v>
      </c>
      <c r="D42" s="10">
        <v>14218.388999999999</v>
      </c>
      <c r="E42" s="10">
        <v>9956.4419999999991</v>
      </c>
      <c r="F42" s="10">
        <v>263501.40399999998</v>
      </c>
      <c r="G42" s="10">
        <v>2183781.1230000001</v>
      </c>
      <c r="H42" s="10">
        <v>4684114.5389999999</v>
      </c>
      <c r="I42" s="10">
        <v>6286333.801</v>
      </c>
      <c r="J42" s="10">
        <v>6734210.6579999998</v>
      </c>
      <c r="K42" s="10">
        <v>6859169.3650000002</v>
      </c>
      <c r="L42" s="10">
        <v>5524638.6220000004</v>
      </c>
      <c r="M42" s="10">
        <v>2727955.44</v>
      </c>
      <c r="N42" s="10">
        <v>608701.65899999999</v>
      </c>
      <c r="O42" s="10">
        <v>12092.617</v>
      </c>
      <c r="P42" s="2">
        <f t="shared" si="12"/>
        <v>35908674.059</v>
      </c>
      <c r="Q42" s="2"/>
      <c r="R42" s="250">
        <v>8.3769999999999997E-2</v>
      </c>
      <c r="S42" s="3">
        <f t="shared" si="76"/>
        <v>1191.0744465299999</v>
      </c>
      <c r="T42" s="3">
        <f t="shared" si="76"/>
        <v>834.05114633999995</v>
      </c>
      <c r="U42" s="3">
        <f t="shared" si="76"/>
        <v>22073.512613079998</v>
      </c>
      <c r="V42" s="3">
        <f t="shared" si="76"/>
        <v>182935.34467371</v>
      </c>
      <c r="W42" s="3">
        <f t="shared" si="76"/>
        <v>392388.27493202995</v>
      </c>
      <c r="X42" s="3">
        <f t="shared" si="76"/>
        <v>526606.18250977003</v>
      </c>
      <c r="Y42" s="3">
        <f t="shared" si="76"/>
        <v>564124.82682065992</v>
      </c>
      <c r="Z42" s="3">
        <f t="shared" si="76"/>
        <v>574592.61770605005</v>
      </c>
      <c r="AA42" s="3">
        <f t="shared" si="76"/>
        <v>462798.97736494004</v>
      </c>
      <c r="AB42" s="3">
        <f t="shared" si="76"/>
        <v>228520.82720879998</v>
      </c>
      <c r="AC42" s="20">
        <f t="shared" si="76"/>
        <v>50990.937974429995</v>
      </c>
      <c r="AD42" s="20">
        <f t="shared" si="76"/>
        <v>1012.9985260899999</v>
      </c>
      <c r="AE42" s="3">
        <f t="shared" si="13"/>
        <v>3008069.6259224298</v>
      </c>
    </row>
    <row r="43" spans="1:31" x14ac:dyDescent="0.25">
      <c r="B43" t="s">
        <v>20</v>
      </c>
      <c r="D43" s="15">
        <f>D141/D142</f>
        <v>0</v>
      </c>
      <c r="E43" s="15">
        <f t="shared" ref="E43:O43" si="77">E141/E142</f>
        <v>0</v>
      </c>
      <c r="F43" s="15">
        <f t="shared" si="77"/>
        <v>0</v>
      </c>
      <c r="G43" s="15">
        <f t="shared" si="77"/>
        <v>0</v>
      </c>
      <c r="H43" s="15">
        <f t="shared" si="77"/>
        <v>0</v>
      </c>
      <c r="I43" s="15">
        <f t="shared" si="77"/>
        <v>0</v>
      </c>
      <c r="J43" s="15">
        <f t="shared" si="77"/>
        <v>0</v>
      </c>
      <c r="K43" s="15">
        <f t="shared" si="77"/>
        <v>0</v>
      </c>
      <c r="L43" s="15">
        <f t="shared" si="77"/>
        <v>0</v>
      </c>
      <c r="M43" s="15">
        <f t="shared" si="77"/>
        <v>0</v>
      </c>
      <c r="N43" s="15">
        <f t="shared" si="77"/>
        <v>0</v>
      </c>
      <c r="O43" s="15">
        <f t="shared" si="77"/>
        <v>0</v>
      </c>
      <c r="P43" s="2">
        <f t="shared" si="12"/>
        <v>0</v>
      </c>
      <c r="Q43" s="2"/>
      <c r="R43" s="249">
        <v>0.5</v>
      </c>
      <c r="S43" s="3">
        <f t="shared" ref="S43" si="78">$R43*D43</f>
        <v>0</v>
      </c>
      <c r="T43" s="3">
        <f t="shared" ref="T43" si="79">$R43*E43</f>
        <v>0</v>
      </c>
      <c r="U43" s="3">
        <f t="shared" ref="U43" si="80">$R43*F43</f>
        <v>0</v>
      </c>
      <c r="V43" s="3">
        <f t="shared" ref="V43" si="81">$R43*G43</f>
        <v>0</v>
      </c>
      <c r="W43" s="3">
        <f t="shared" ref="W43" si="82">$R43*H43</f>
        <v>0</v>
      </c>
      <c r="X43" s="3">
        <f t="shared" ref="X43" si="83">$R43*I43</f>
        <v>0</v>
      </c>
      <c r="Y43" s="3">
        <f t="shared" ref="Y43" si="84">$R43*J43</f>
        <v>0</v>
      </c>
      <c r="Z43" s="3">
        <f t="shared" ref="Z43" si="85">$R43*K43</f>
        <v>0</v>
      </c>
      <c r="AA43" s="3">
        <f t="shared" ref="AA43" si="86">$R43*L43</f>
        <v>0</v>
      </c>
      <c r="AB43" s="3">
        <f t="shared" ref="AB43" si="87">$R43*M43</f>
        <v>0</v>
      </c>
      <c r="AC43" s="20">
        <f t="shared" ref="AC43" si="88">$R43*N43</f>
        <v>0</v>
      </c>
      <c r="AD43" s="20">
        <f t="shared" ref="AD43" si="89">$R43*O43</f>
        <v>0</v>
      </c>
      <c r="AE43" s="3">
        <f t="shared" si="13"/>
        <v>0</v>
      </c>
    </row>
    <row r="44" spans="1:31" x14ac:dyDescent="0.25">
      <c r="A44" t="s">
        <v>41</v>
      </c>
      <c r="B44" t="s">
        <v>14</v>
      </c>
      <c r="D44" s="10">
        <v>1153</v>
      </c>
      <c r="E44" s="10">
        <v>1185</v>
      </c>
      <c r="F44" s="10">
        <v>1352</v>
      </c>
      <c r="G44" s="10">
        <v>1242</v>
      </c>
      <c r="H44" s="10">
        <v>1214</v>
      </c>
      <c r="I44" s="10">
        <v>1243</v>
      </c>
      <c r="J44" s="10">
        <v>1230</v>
      </c>
      <c r="K44" s="10">
        <v>1238</v>
      </c>
      <c r="L44" s="10">
        <v>1232</v>
      </c>
      <c r="M44" s="10">
        <v>1231</v>
      </c>
      <c r="N44" s="10">
        <v>1210</v>
      </c>
      <c r="O44" s="10">
        <v>1226</v>
      </c>
      <c r="P44" s="2">
        <f t="shared" si="12"/>
        <v>14756</v>
      </c>
      <c r="Q44" s="10">
        <v>1707</v>
      </c>
      <c r="R44" s="249">
        <v>20</v>
      </c>
      <c r="S44" s="3">
        <f t="shared" ref="S44:AD47" si="90">$R44*D44</f>
        <v>23060</v>
      </c>
      <c r="T44" s="3">
        <f t="shared" si="90"/>
        <v>23700</v>
      </c>
      <c r="U44" s="3">
        <f t="shared" si="90"/>
        <v>27040</v>
      </c>
      <c r="V44" s="3">
        <f t="shared" si="90"/>
        <v>24840</v>
      </c>
      <c r="W44" s="3">
        <f t="shared" si="90"/>
        <v>24280</v>
      </c>
      <c r="X44" s="3">
        <f t="shared" si="90"/>
        <v>24860</v>
      </c>
      <c r="Y44" s="3">
        <f t="shared" si="90"/>
        <v>24600</v>
      </c>
      <c r="Z44" s="3">
        <f t="shared" si="90"/>
        <v>24760</v>
      </c>
      <c r="AA44" s="3">
        <f t="shared" si="90"/>
        <v>24640</v>
      </c>
      <c r="AB44" s="3">
        <f t="shared" si="90"/>
        <v>24620</v>
      </c>
      <c r="AC44" s="20">
        <f t="shared" si="90"/>
        <v>24200</v>
      </c>
      <c r="AD44" s="20">
        <f t="shared" si="90"/>
        <v>24520</v>
      </c>
      <c r="AE44" s="3">
        <f t="shared" si="13"/>
        <v>295120</v>
      </c>
    </row>
    <row r="45" spans="1:31" x14ac:dyDescent="0.25">
      <c r="B45" t="s">
        <v>15</v>
      </c>
      <c r="D45" s="10">
        <v>1418557.80899</v>
      </c>
      <c r="E45" s="10">
        <v>1462823.4615</v>
      </c>
      <c r="F45" s="10">
        <v>1955351.5319999999</v>
      </c>
      <c r="G45" s="10">
        <v>2395923.6531699998</v>
      </c>
      <c r="H45" s="10">
        <v>3442741.5156700001</v>
      </c>
      <c r="I45" s="10">
        <v>4274890.11766</v>
      </c>
      <c r="J45" s="10">
        <v>4414268.7607699996</v>
      </c>
      <c r="K45" s="10">
        <v>4610880.2310600001</v>
      </c>
      <c r="L45" s="10">
        <v>4304592.3590000002</v>
      </c>
      <c r="M45" s="10">
        <v>3191348.5842800001</v>
      </c>
      <c r="N45" s="10">
        <v>1832766.66069</v>
      </c>
      <c r="O45" s="10">
        <v>1620869.51067</v>
      </c>
      <c r="P45" s="2">
        <f t="shared" si="12"/>
        <v>34925014.195459999</v>
      </c>
      <c r="Q45" s="15">
        <f>IF(P45-P44*Q44&gt;0,P45-P44*Q44,0)</f>
        <v>9736522.1954599991</v>
      </c>
      <c r="R45" s="250">
        <v>0.11319</v>
      </c>
      <c r="S45" s="3">
        <f t="shared" si="90"/>
        <v>160566.55839957809</v>
      </c>
      <c r="T45" s="3">
        <f t="shared" si="90"/>
        <v>165576.987607185</v>
      </c>
      <c r="U45" s="3">
        <f t="shared" si="90"/>
        <v>221326.23990707999</v>
      </c>
      <c r="V45" s="3">
        <f t="shared" si="90"/>
        <v>271194.59830231225</v>
      </c>
      <c r="W45" s="3">
        <f t="shared" si="90"/>
        <v>389683.91215868731</v>
      </c>
      <c r="X45" s="3">
        <f t="shared" si="90"/>
        <v>483874.81241793541</v>
      </c>
      <c r="Y45" s="3">
        <f t="shared" si="90"/>
        <v>499651.08103155624</v>
      </c>
      <c r="Z45" s="3">
        <f t="shared" si="90"/>
        <v>521905.53335368139</v>
      </c>
      <c r="AA45" s="3">
        <f t="shared" si="90"/>
        <v>487236.80911521002</v>
      </c>
      <c r="AB45" s="3">
        <f t="shared" si="90"/>
        <v>361228.7462546532</v>
      </c>
      <c r="AC45" s="20">
        <f t="shared" si="90"/>
        <v>207450.8583235011</v>
      </c>
      <c r="AD45" s="20">
        <f t="shared" si="90"/>
        <v>183466.21991273729</v>
      </c>
      <c r="AE45" s="3">
        <f t="shared" si="13"/>
        <v>3953162.3567841169</v>
      </c>
    </row>
    <row r="46" spans="1:31" x14ac:dyDescent="0.25">
      <c r="B46" t="s">
        <v>16</v>
      </c>
      <c r="D46" s="10">
        <v>380638.94800999999</v>
      </c>
      <c r="E46" s="10">
        <v>406198.83750000002</v>
      </c>
      <c r="F46" s="10">
        <v>520301.61599999998</v>
      </c>
      <c r="G46" s="10">
        <v>651284.43700000003</v>
      </c>
      <c r="H46" s="10">
        <v>1116696.6436600001</v>
      </c>
      <c r="I46" s="10">
        <v>1408665.29767</v>
      </c>
      <c r="J46" s="10">
        <v>1478653.1562900001</v>
      </c>
      <c r="K46" s="10">
        <v>1489683.46798</v>
      </c>
      <c r="L46" s="10">
        <v>1309852.4169999999</v>
      </c>
      <c r="M46" s="10">
        <v>771193.52450000006</v>
      </c>
      <c r="N46" s="10">
        <v>395964.49831</v>
      </c>
      <c r="O46" s="10">
        <v>414195.50533000001</v>
      </c>
      <c r="P46" s="2">
        <f t="shared" si="12"/>
        <v>10343328.34925</v>
      </c>
      <c r="Q46" s="15">
        <f>IF(P45-P44*Q44&lt;0,P46+P45-P44*Q44,P46)</f>
        <v>10343328.34925</v>
      </c>
      <c r="R46" s="250">
        <v>0.11319</v>
      </c>
      <c r="S46" s="3">
        <f t="shared" si="90"/>
        <v>43084.522525251901</v>
      </c>
      <c r="T46" s="3">
        <f t="shared" si="90"/>
        <v>45977.646416625001</v>
      </c>
      <c r="U46" s="3">
        <f t="shared" si="90"/>
        <v>58892.939915039999</v>
      </c>
      <c r="V46" s="3">
        <f t="shared" si="90"/>
        <v>73718.885424029999</v>
      </c>
      <c r="W46" s="3">
        <f t="shared" si="90"/>
        <v>126398.89309587541</v>
      </c>
      <c r="X46" s="3">
        <f t="shared" si="90"/>
        <v>159446.82504326731</v>
      </c>
      <c r="Y46" s="3">
        <f t="shared" si="90"/>
        <v>167368.7507604651</v>
      </c>
      <c r="Z46" s="3">
        <f t="shared" si="90"/>
        <v>168617.2717406562</v>
      </c>
      <c r="AA46" s="3">
        <f t="shared" si="90"/>
        <v>148262.19508022998</v>
      </c>
      <c r="AB46" s="3">
        <f t="shared" si="90"/>
        <v>87291.395038155009</v>
      </c>
      <c r="AC46" s="20">
        <f t="shared" si="90"/>
        <v>44819.221563708896</v>
      </c>
      <c r="AD46" s="20">
        <f t="shared" si="90"/>
        <v>46882.789248302703</v>
      </c>
      <c r="AE46" s="3">
        <f t="shared" si="13"/>
        <v>1170761.3358516078</v>
      </c>
    </row>
    <row r="47" spans="1:31" x14ac:dyDescent="0.25">
      <c r="B47" t="s">
        <v>17</v>
      </c>
      <c r="D47" s="10">
        <v>1585834.47</v>
      </c>
      <c r="E47" s="10">
        <v>1924796.111</v>
      </c>
      <c r="F47" s="10">
        <v>2385461.6690000002</v>
      </c>
      <c r="G47" s="10">
        <v>2136673.7738299998</v>
      </c>
      <c r="H47" s="10">
        <v>4737690.6606700001</v>
      </c>
      <c r="I47" s="10">
        <v>8828733.3296700008</v>
      </c>
      <c r="J47" s="10">
        <v>13326647.595559999</v>
      </c>
      <c r="K47" s="10">
        <v>14898728.857969999</v>
      </c>
      <c r="L47" s="10">
        <v>11161158.414999999</v>
      </c>
      <c r="M47" s="10">
        <v>4746326.7866000002</v>
      </c>
      <c r="N47" s="10">
        <v>1972572.93401</v>
      </c>
      <c r="O47" s="10">
        <v>2065776.442</v>
      </c>
      <c r="P47" s="2">
        <f t="shared" si="12"/>
        <v>69770401.045310006</v>
      </c>
      <c r="Q47" s="15">
        <f>P47</f>
        <v>69770401.045310006</v>
      </c>
      <c r="R47" s="250">
        <v>8.3769999999999997E-2</v>
      </c>
      <c r="S47" s="3">
        <f t="shared" si="90"/>
        <v>132845.35355189999</v>
      </c>
      <c r="T47" s="3">
        <f t="shared" si="90"/>
        <v>161240.17021847001</v>
      </c>
      <c r="U47" s="3">
        <f t="shared" si="90"/>
        <v>199830.12401213002</v>
      </c>
      <c r="V47" s="3">
        <f t="shared" si="90"/>
        <v>178989.16203373909</v>
      </c>
      <c r="W47" s="3">
        <f t="shared" si="90"/>
        <v>396876.34664432588</v>
      </c>
      <c r="X47" s="3">
        <f t="shared" si="90"/>
        <v>739582.991026456</v>
      </c>
      <c r="Y47" s="3">
        <f t="shared" si="90"/>
        <v>1116373.269080061</v>
      </c>
      <c r="Z47" s="3">
        <f t="shared" si="90"/>
        <v>1248066.5164321468</v>
      </c>
      <c r="AA47" s="3">
        <f t="shared" si="90"/>
        <v>934970.24042454991</v>
      </c>
      <c r="AB47" s="3">
        <f t="shared" si="90"/>
        <v>397599.79491348198</v>
      </c>
      <c r="AC47" s="20">
        <f t="shared" si="90"/>
        <v>165242.43468201769</v>
      </c>
      <c r="AD47" s="20">
        <f t="shared" si="90"/>
        <v>173050.09254633999</v>
      </c>
      <c r="AE47" s="3">
        <f t="shared" si="13"/>
        <v>5844666.4955656193</v>
      </c>
    </row>
    <row r="48" spans="1:31" x14ac:dyDescent="0.25">
      <c r="B48" t="s">
        <v>20</v>
      </c>
      <c r="D48" s="15">
        <f>D144/D145</f>
        <v>0</v>
      </c>
      <c r="E48" s="15">
        <f t="shared" ref="E48:O48" si="91">E144/E145</f>
        <v>0</v>
      </c>
      <c r="F48" s="15">
        <f t="shared" si="91"/>
        <v>0</v>
      </c>
      <c r="G48" s="15">
        <f t="shared" si="91"/>
        <v>0</v>
      </c>
      <c r="H48" s="15">
        <f t="shared" si="91"/>
        <v>0</v>
      </c>
      <c r="I48" s="15">
        <f t="shared" si="91"/>
        <v>0</v>
      </c>
      <c r="J48" s="15">
        <f t="shared" si="91"/>
        <v>0</v>
      </c>
      <c r="K48" s="15">
        <f t="shared" si="91"/>
        <v>0</v>
      </c>
      <c r="L48" s="15">
        <f t="shared" si="91"/>
        <v>0</v>
      </c>
      <c r="M48" s="15">
        <f t="shared" si="91"/>
        <v>0</v>
      </c>
      <c r="N48" s="15">
        <f t="shared" si="91"/>
        <v>0</v>
      </c>
      <c r="O48" s="15">
        <f t="shared" si="91"/>
        <v>0</v>
      </c>
      <c r="P48" s="2">
        <f t="shared" si="12"/>
        <v>0</v>
      </c>
      <c r="Q48" s="2"/>
      <c r="R48" s="249">
        <v>0.5</v>
      </c>
      <c r="S48" s="3">
        <f t="shared" ref="S48" si="92">$R48*D48</f>
        <v>0</v>
      </c>
      <c r="T48" s="3">
        <f t="shared" ref="T48" si="93">$R48*E48</f>
        <v>0</v>
      </c>
      <c r="U48" s="3">
        <f t="shared" ref="U48" si="94">$R48*F48</f>
        <v>0</v>
      </c>
      <c r="V48" s="3">
        <f t="shared" ref="V48" si="95">$R48*G48</f>
        <v>0</v>
      </c>
      <c r="W48" s="3">
        <f t="shared" ref="W48" si="96">$R48*H48</f>
        <v>0</v>
      </c>
      <c r="X48" s="3">
        <f t="shared" ref="X48" si="97">$R48*I48</f>
        <v>0</v>
      </c>
      <c r="Y48" s="3">
        <f t="shared" ref="Y48" si="98">$R48*J48</f>
        <v>0</v>
      </c>
      <c r="Z48" s="3">
        <f t="shared" ref="Z48" si="99">$R48*K48</f>
        <v>0</v>
      </c>
      <c r="AA48" s="3">
        <f t="shared" ref="AA48" si="100">$R48*L48</f>
        <v>0</v>
      </c>
      <c r="AB48" s="3">
        <f t="shared" ref="AB48" si="101">$R48*M48</f>
        <v>0</v>
      </c>
      <c r="AC48" s="20">
        <f t="shared" ref="AC48" si="102">$R48*N48</f>
        <v>0</v>
      </c>
      <c r="AD48" s="20">
        <f t="shared" ref="AD48" si="103">$R48*O48</f>
        <v>0</v>
      </c>
      <c r="AE48" s="3">
        <f t="shared" si="13"/>
        <v>0</v>
      </c>
    </row>
    <row r="49" spans="1:32" x14ac:dyDescent="0.25">
      <c r="A49" t="s">
        <v>42</v>
      </c>
      <c r="B49" t="s">
        <v>14</v>
      </c>
      <c r="D49" s="10">
        <v>1158</v>
      </c>
      <c r="E49" s="10">
        <v>1213</v>
      </c>
      <c r="F49" s="10">
        <v>1341</v>
      </c>
      <c r="G49" s="10">
        <v>1240</v>
      </c>
      <c r="H49" s="10">
        <v>1221</v>
      </c>
      <c r="I49" s="10">
        <v>1263</v>
      </c>
      <c r="J49" s="10">
        <v>1254</v>
      </c>
      <c r="K49" s="10">
        <v>1253</v>
      </c>
      <c r="L49" s="10">
        <v>1225</v>
      </c>
      <c r="M49" s="10">
        <v>1242</v>
      </c>
      <c r="N49" s="10">
        <v>1246</v>
      </c>
      <c r="O49" s="10">
        <v>1246</v>
      </c>
      <c r="P49" s="2">
        <f t="shared" si="12"/>
        <v>14902</v>
      </c>
      <c r="Q49" s="2"/>
      <c r="R49" s="249">
        <v>20</v>
      </c>
      <c r="S49" s="3">
        <f t="shared" ref="S49:AD52" si="104">$R49*D49</f>
        <v>23160</v>
      </c>
      <c r="T49" s="3">
        <f t="shared" si="104"/>
        <v>24260</v>
      </c>
      <c r="U49" s="3">
        <f t="shared" si="104"/>
        <v>26820</v>
      </c>
      <c r="V49" s="3">
        <f t="shared" si="104"/>
        <v>24800</v>
      </c>
      <c r="W49" s="3">
        <f t="shared" si="104"/>
        <v>24420</v>
      </c>
      <c r="X49" s="3">
        <f t="shared" si="104"/>
        <v>25260</v>
      </c>
      <c r="Y49" s="3">
        <f t="shared" si="104"/>
        <v>25080</v>
      </c>
      <c r="Z49" s="3">
        <f t="shared" si="104"/>
        <v>25060</v>
      </c>
      <c r="AA49" s="3">
        <f t="shared" si="104"/>
        <v>24500</v>
      </c>
      <c r="AB49" s="3">
        <f t="shared" si="104"/>
        <v>24840</v>
      </c>
      <c r="AC49" s="20">
        <f t="shared" si="104"/>
        <v>24920</v>
      </c>
      <c r="AD49" s="20">
        <f t="shared" si="104"/>
        <v>24920</v>
      </c>
      <c r="AE49" s="3">
        <f t="shared" si="13"/>
        <v>298040</v>
      </c>
    </row>
    <row r="50" spans="1:32" x14ac:dyDescent="0.25">
      <c r="B50" t="s">
        <v>15</v>
      </c>
      <c r="D50" s="10">
        <v>130698.50867</v>
      </c>
      <c r="E50" s="10">
        <v>135586.49617</v>
      </c>
      <c r="F50" s="10">
        <v>156748.25734000001</v>
      </c>
      <c r="G50" s="10">
        <v>222833.05048999999</v>
      </c>
      <c r="H50" s="10">
        <v>374740.58299000002</v>
      </c>
      <c r="I50" s="10">
        <v>512916.01650000003</v>
      </c>
      <c r="J50" s="10">
        <v>571078.77783000004</v>
      </c>
      <c r="K50" s="10">
        <v>552411.34583999997</v>
      </c>
      <c r="L50" s="10">
        <v>444745.65932999999</v>
      </c>
      <c r="M50" s="10">
        <v>286208.65032999997</v>
      </c>
      <c r="N50" s="10">
        <v>165151.76500000001</v>
      </c>
      <c r="O50" s="10">
        <v>132828.06</v>
      </c>
      <c r="P50" s="2">
        <f t="shared" si="12"/>
        <v>3685947.1704900004</v>
      </c>
      <c r="Q50" s="2"/>
      <c r="R50" s="250">
        <v>0.10902000000000001</v>
      </c>
      <c r="S50" s="3">
        <f t="shared" si="104"/>
        <v>14248.7514152034</v>
      </c>
      <c r="T50" s="3">
        <f t="shared" si="104"/>
        <v>14781.639812453401</v>
      </c>
      <c r="U50" s="3">
        <f t="shared" si="104"/>
        <v>17088.695015206802</v>
      </c>
      <c r="V50" s="3">
        <f t="shared" si="104"/>
        <v>24293.2591644198</v>
      </c>
      <c r="W50" s="3">
        <f t="shared" si="104"/>
        <v>40854.218357569807</v>
      </c>
      <c r="X50" s="3">
        <f t="shared" si="104"/>
        <v>55918.104118830008</v>
      </c>
      <c r="Y50" s="3">
        <f t="shared" si="104"/>
        <v>62259.008359026608</v>
      </c>
      <c r="Z50" s="3">
        <f t="shared" si="104"/>
        <v>60223.884923476799</v>
      </c>
      <c r="AA50" s="3">
        <f t="shared" si="104"/>
        <v>48486.171780156605</v>
      </c>
      <c r="AB50" s="3">
        <f t="shared" si="104"/>
        <v>31202.467058976599</v>
      </c>
      <c r="AC50" s="20">
        <f t="shared" si="104"/>
        <v>18004.845420300004</v>
      </c>
      <c r="AD50" s="20">
        <f t="shared" si="104"/>
        <v>14480.9151012</v>
      </c>
      <c r="AE50" s="3">
        <f t="shared" si="13"/>
        <v>401841.96052681981</v>
      </c>
    </row>
    <row r="51" spans="1:32" x14ac:dyDescent="0.25">
      <c r="B51" t="s">
        <v>16</v>
      </c>
      <c r="D51" s="10">
        <v>76902.066330000001</v>
      </c>
      <c r="E51" s="10">
        <v>82258.027329999997</v>
      </c>
      <c r="F51" s="10">
        <v>90014.121660000004</v>
      </c>
      <c r="G51" s="10">
        <v>89288.492509999996</v>
      </c>
      <c r="H51" s="10">
        <v>202596.03401</v>
      </c>
      <c r="I51" s="10">
        <v>324910.245</v>
      </c>
      <c r="J51" s="10">
        <v>397120.79767</v>
      </c>
      <c r="K51" s="10">
        <v>377095.63215999998</v>
      </c>
      <c r="L51" s="10">
        <v>255416.17267</v>
      </c>
      <c r="M51" s="10">
        <v>129615.97398</v>
      </c>
      <c r="N51" s="10">
        <v>63102.51</v>
      </c>
      <c r="O51" s="10">
        <v>76502.721000000005</v>
      </c>
      <c r="P51" s="2">
        <f t="shared" si="12"/>
        <v>2164822.7943200003</v>
      </c>
      <c r="Q51" s="2"/>
      <c r="R51" s="250">
        <v>0.10902000000000001</v>
      </c>
      <c r="S51" s="3">
        <f t="shared" si="104"/>
        <v>8383.8632712966009</v>
      </c>
      <c r="T51" s="3">
        <f t="shared" si="104"/>
        <v>8967.7701395166005</v>
      </c>
      <c r="U51" s="3">
        <f t="shared" si="104"/>
        <v>9813.3395433732003</v>
      </c>
      <c r="V51" s="3">
        <f t="shared" si="104"/>
        <v>9734.2314534401994</v>
      </c>
      <c r="W51" s="3">
        <f t="shared" si="104"/>
        <v>22087.019627770202</v>
      </c>
      <c r="X51" s="3">
        <f t="shared" si="104"/>
        <v>35421.714909900002</v>
      </c>
      <c r="Y51" s="3">
        <f t="shared" si="104"/>
        <v>43294.109361983399</v>
      </c>
      <c r="Z51" s="3">
        <f t="shared" si="104"/>
        <v>41110.965818083198</v>
      </c>
      <c r="AA51" s="3">
        <f t="shared" si="104"/>
        <v>27845.471144483403</v>
      </c>
      <c r="AB51" s="3">
        <f t="shared" si="104"/>
        <v>14130.7334832996</v>
      </c>
      <c r="AC51" s="20">
        <f t="shared" si="104"/>
        <v>6879.4356402000003</v>
      </c>
      <c r="AD51" s="20">
        <f t="shared" si="104"/>
        <v>8340.3266434200013</v>
      </c>
      <c r="AE51" s="3">
        <f t="shared" si="13"/>
        <v>236008.98103676643</v>
      </c>
    </row>
    <row r="52" spans="1:32" x14ac:dyDescent="0.25">
      <c r="B52" t="s">
        <v>17</v>
      </c>
      <c r="D52" s="10">
        <v>122791.38499999999</v>
      </c>
      <c r="E52" s="10">
        <v>119680.62549999999</v>
      </c>
      <c r="F52" s="10">
        <v>121493.981</v>
      </c>
      <c r="G52" s="10">
        <v>182492.495</v>
      </c>
      <c r="H52" s="10">
        <v>356849.39199999999</v>
      </c>
      <c r="I52" s="10">
        <v>731878.43550000002</v>
      </c>
      <c r="J52" s="10">
        <v>1271519.23813</v>
      </c>
      <c r="K52" s="10">
        <v>1119083.4820000001</v>
      </c>
      <c r="L52" s="10">
        <v>539297.48400000005</v>
      </c>
      <c r="M52" s="10">
        <v>237784.48997</v>
      </c>
      <c r="N52" s="10">
        <v>108334.291</v>
      </c>
      <c r="O52" s="10">
        <v>131268.34899999999</v>
      </c>
      <c r="P52" s="2">
        <f t="shared" si="12"/>
        <v>5042473.6480999999</v>
      </c>
      <c r="Q52" s="2"/>
      <c r="R52" s="250">
        <v>7.9600000000000004E-2</v>
      </c>
      <c r="S52" s="3">
        <f t="shared" si="104"/>
        <v>9774.1942460000009</v>
      </c>
      <c r="T52" s="3">
        <f t="shared" si="104"/>
        <v>9526.5777897999997</v>
      </c>
      <c r="U52" s="3">
        <f t="shared" si="104"/>
        <v>9670.9208876000012</v>
      </c>
      <c r="V52" s="3">
        <f t="shared" si="104"/>
        <v>14526.402602</v>
      </c>
      <c r="W52" s="3">
        <f t="shared" si="104"/>
        <v>28405.211603200001</v>
      </c>
      <c r="X52" s="3">
        <f t="shared" si="104"/>
        <v>58257.523465800004</v>
      </c>
      <c r="Y52" s="3">
        <f t="shared" si="104"/>
        <v>101212.931355148</v>
      </c>
      <c r="Z52" s="3">
        <f t="shared" si="104"/>
        <v>89079.045167200005</v>
      </c>
      <c r="AA52" s="3">
        <f t="shared" si="104"/>
        <v>42928.079726400007</v>
      </c>
      <c r="AB52" s="3">
        <f t="shared" si="104"/>
        <v>18927.645401612001</v>
      </c>
      <c r="AC52" s="20">
        <f t="shared" si="104"/>
        <v>8623.4095636000002</v>
      </c>
      <c r="AD52" s="20">
        <f t="shared" si="104"/>
        <v>10448.9605804</v>
      </c>
      <c r="AE52" s="3">
        <f t="shared" si="13"/>
        <v>401380.90238876006</v>
      </c>
    </row>
    <row r="53" spans="1:32" x14ac:dyDescent="0.25">
      <c r="B53" t="s">
        <v>20</v>
      </c>
      <c r="D53" s="15">
        <f>D147/D148</f>
        <v>0</v>
      </c>
      <c r="E53" s="15">
        <f t="shared" ref="E53:O53" si="105">E147/E148</f>
        <v>0</v>
      </c>
      <c r="F53" s="15">
        <f t="shared" si="105"/>
        <v>0</v>
      </c>
      <c r="G53" s="15">
        <f t="shared" si="105"/>
        <v>0</v>
      </c>
      <c r="H53" s="15">
        <f t="shared" si="105"/>
        <v>0</v>
      </c>
      <c r="I53" s="15">
        <f t="shared" si="105"/>
        <v>0</v>
      </c>
      <c r="J53" s="15">
        <f t="shared" si="105"/>
        <v>0</v>
      </c>
      <c r="K53" s="15">
        <f t="shared" si="105"/>
        <v>0</v>
      </c>
      <c r="L53" s="15">
        <f t="shared" si="105"/>
        <v>0</v>
      </c>
      <c r="M53" s="15">
        <f t="shared" si="105"/>
        <v>0</v>
      </c>
      <c r="N53" s="15">
        <f t="shared" si="105"/>
        <v>0</v>
      </c>
      <c r="O53" s="15">
        <f t="shared" si="105"/>
        <v>0</v>
      </c>
      <c r="P53" s="2">
        <f t="shared" si="12"/>
        <v>0</v>
      </c>
      <c r="Q53" s="2"/>
      <c r="R53" s="249">
        <v>0.5</v>
      </c>
      <c r="S53" s="3">
        <f t="shared" ref="S53" si="106">$R53*D53</f>
        <v>0</v>
      </c>
      <c r="T53" s="3">
        <f t="shared" ref="T53" si="107">$R53*E53</f>
        <v>0</v>
      </c>
      <c r="U53" s="3">
        <f t="shared" ref="U53" si="108">$R53*F53</f>
        <v>0</v>
      </c>
      <c r="V53" s="3">
        <f t="shared" ref="V53" si="109">$R53*G53</f>
        <v>0</v>
      </c>
      <c r="W53" s="3">
        <f t="shared" ref="W53" si="110">$R53*H53</f>
        <v>0</v>
      </c>
      <c r="X53" s="3">
        <f t="shared" ref="X53" si="111">$R53*I53</f>
        <v>0</v>
      </c>
      <c r="Y53" s="3">
        <f t="shared" ref="Y53" si="112">$R53*J53</f>
        <v>0</v>
      </c>
      <c r="Z53" s="3">
        <f t="shared" ref="Z53" si="113">$R53*K53</f>
        <v>0</v>
      </c>
      <c r="AA53" s="3">
        <f t="shared" ref="AA53" si="114">$R53*L53</f>
        <v>0</v>
      </c>
      <c r="AB53" s="3">
        <f t="shared" ref="AB53" si="115">$R53*M53</f>
        <v>0</v>
      </c>
      <c r="AC53" s="20">
        <f t="shared" ref="AC53" si="116">$R53*N53</f>
        <v>0</v>
      </c>
      <c r="AD53" s="20">
        <f t="shared" ref="AD53" si="117">$R53*O53</f>
        <v>0</v>
      </c>
      <c r="AE53" s="3">
        <f t="shared" si="13"/>
        <v>0</v>
      </c>
    </row>
    <row r="54" spans="1:32" x14ac:dyDescent="0.25">
      <c r="A54" t="s">
        <v>32</v>
      </c>
      <c r="D54" s="10">
        <v>1367409.4060000002</v>
      </c>
      <c r="E54" s="10">
        <v>1307567.3510199999</v>
      </c>
      <c r="F54" s="10">
        <v>1624133.8885300001</v>
      </c>
      <c r="G54" s="10">
        <v>1369850.3106</v>
      </c>
      <c r="H54" s="10">
        <v>1370679.1269300003</v>
      </c>
      <c r="I54" s="10">
        <v>1441647.5807400001</v>
      </c>
      <c r="J54" s="10">
        <v>1425886.875</v>
      </c>
      <c r="K54" s="10">
        <v>1409719.08766</v>
      </c>
      <c r="L54" s="10">
        <v>1458852.825</v>
      </c>
      <c r="M54" s="10">
        <v>1380660.7832200001</v>
      </c>
      <c r="N54" s="10">
        <v>1388563.3329999999</v>
      </c>
      <c r="O54" s="10">
        <v>1468916.83971</v>
      </c>
      <c r="P54" s="2">
        <f t="shared" si="12"/>
        <v>17013887.407410003</v>
      </c>
      <c r="Q54" s="2"/>
      <c r="R54" s="238" t="s">
        <v>290</v>
      </c>
      <c r="S54" s="11">
        <v>507537.91</v>
      </c>
      <c r="T54" s="11">
        <v>554329.1</v>
      </c>
      <c r="U54" s="11">
        <v>555680.56000000006</v>
      </c>
      <c r="V54" s="11">
        <v>549966.18000000005</v>
      </c>
      <c r="W54" s="11">
        <v>556284.05000000005</v>
      </c>
      <c r="X54" s="11">
        <v>553640.88</v>
      </c>
      <c r="Y54" s="11">
        <v>561733.63</v>
      </c>
      <c r="Z54" s="11">
        <v>557835.01</v>
      </c>
      <c r="AA54" s="11">
        <v>561819.51</v>
      </c>
      <c r="AB54" s="11">
        <v>563001.84</v>
      </c>
      <c r="AC54" s="11">
        <v>541759.67999999993</v>
      </c>
      <c r="AD54" s="11">
        <v>563079.62</v>
      </c>
      <c r="AE54" s="3">
        <f t="shared" si="13"/>
        <v>6626667.9699999988</v>
      </c>
    </row>
    <row r="55" spans="1:32" x14ac:dyDescent="0.25"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32" x14ac:dyDescent="0.25">
      <c r="A56" t="s">
        <v>34</v>
      </c>
      <c r="B56" t="s">
        <v>26</v>
      </c>
      <c r="D56" s="10">
        <v>124982746</v>
      </c>
      <c r="E56" s="10">
        <v>116926382</v>
      </c>
      <c r="F56" s="10">
        <v>80053124</v>
      </c>
      <c r="G56" s="10">
        <v>63981548</v>
      </c>
      <c r="H56" s="10">
        <v>72781216</v>
      </c>
      <c r="I56" s="10">
        <v>98594747</v>
      </c>
      <c r="J56" s="10">
        <v>114322308</v>
      </c>
      <c r="K56" s="10">
        <v>95611507</v>
      </c>
      <c r="L56" s="10">
        <v>72836685</v>
      </c>
      <c r="M56" s="10">
        <v>84672353</v>
      </c>
      <c r="N56" s="10">
        <v>107320195</v>
      </c>
      <c r="O56" s="10">
        <v>133991605</v>
      </c>
      <c r="P56" s="2">
        <f t="shared" si="12"/>
        <v>1166074416</v>
      </c>
      <c r="Q56" s="2"/>
      <c r="S56" s="3">
        <f>SUM(S4:S6)/SUM(D4:D6)*D56</f>
        <v>11183360.456405787</v>
      </c>
      <c r="T56" s="3">
        <f>SUM(T4:T6)/SUM(E4:E6)*E56</f>
        <v>10404619.559356689</v>
      </c>
      <c r="U56" s="3">
        <f t="shared" ref="U56:AB56" si="118">SUM(U4:U6)/SUM(F4:F6)*F56</f>
        <v>7026390.342945626</v>
      </c>
      <c r="V56" s="3">
        <f t="shared" si="118"/>
        <v>5460307.1964974729</v>
      </c>
      <c r="W56" s="3">
        <f t="shared" si="118"/>
        <v>6078463.474184555</v>
      </c>
      <c r="X56" s="3">
        <f t="shared" si="118"/>
        <v>8288338.297530584</v>
      </c>
      <c r="Y56" s="3">
        <f t="shared" si="118"/>
        <v>9955920.0921356715</v>
      </c>
      <c r="Z56" s="3">
        <f t="shared" si="118"/>
        <v>8301343.1666952251</v>
      </c>
      <c r="AA56" s="3">
        <f t="shared" si="118"/>
        <v>6158465.472142919</v>
      </c>
      <c r="AB56" s="3">
        <f t="shared" si="118"/>
        <v>7063567.1473753611</v>
      </c>
      <c r="AC56" s="20">
        <f t="shared" ref="AC56" si="119">SUM(AC4:AC6)/SUM(N4:N6)*N56</f>
        <v>9125567.9960012399</v>
      </c>
      <c r="AD56" s="20">
        <f t="shared" ref="AD56" si="120">SUM(AD4:AD6)/SUM(O4:O6)*O56</f>
        <v>11805010.342983544</v>
      </c>
      <c r="AE56" s="3">
        <f t="shared" ref="AE56:AE86" si="121">SUM(S56:AD56)</f>
        <v>100851353.54425468</v>
      </c>
      <c r="AF56" t="s">
        <v>30</v>
      </c>
    </row>
    <row r="57" spans="1:32" x14ac:dyDescent="0.25">
      <c r="B57" t="s">
        <v>27</v>
      </c>
      <c r="D57" s="10">
        <v>-136611134</v>
      </c>
      <c r="E57" s="10">
        <v>-124982746</v>
      </c>
      <c r="F57" s="10">
        <v>-116926382</v>
      </c>
      <c r="G57" s="10">
        <v>-80053124</v>
      </c>
      <c r="H57" s="10">
        <v>-63981548</v>
      </c>
      <c r="I57" s="10">
        <v>-72781216</v>
      </c>
      <c r="J57" s="10">
        <v>-98594747</v>
      </c>
      <c r="K57" s="10">
        <v>-114322308</v>
      </c>
      <c r="L57" s="10">
        <v>-95611507</v>
      </c>
      <c r="M57" s="10">
        <v>-72836685</v>
      </c>
      <c r="N57" s="10">
        <v>-84672353</v>
      </c>
      <c r="O57" s="10">
        <v>-107320195</v>
      </c>
      <c r="P57" s="2">
        <f t="shared" si="12"/>
        <v>-1168693945</v>
      </c>
      <c r="Q57" s="2"/>
      <c r="S57" s="3">
        <f>SUM(S4:S6)/SUM(D4:D6)*D57</f>
        <v>-12223859.714846976</v>
      </c>
      <c r="T57" s="3">
        <f>-S56</f>
        <v>-11183360.456405787</v>
      </c>
      <c r="U57" s="3">
        <f t="shared" ref="U57:AB57" si="122">-T56</f>
        <v>-10404619.559356689</v>
      </c>
      <c r="V57" s="3">
        <f t="shared" si="122"/>
        <v>-7026390.342945626</v>
      </c>
      <c r="W57" s="3">
        <f t="shared" si="122"/>
        <v>-5460307.1964974729</v>
      </c>
      <c r="X57" s="3">
        <f t="shared" si="122"/>
        <v>-6078463.474184555</v>
      </c>
      <c r="Y57" s="3">
        <f t="shared" si="122"/>
        <v>-8288338.297530584</v>
      </c>
      <c r="Z57" s="3">
        <f t="shared" si="122"/>
        <v>-9955920.0921356715</v>
      </c>
      <c r="AA57" s="3">
        <f t="shared" si="122"/>
        <v>-8301343.1666952251</v>
      </c>
      <c r="AB57" s="3">
        <f t="shared" si="122"/>
        <v>-6158465.472142919</v>
      </c>
      <c r="AC57" s="20">
        <f t="shared" ref="AC57" si="123">-AB56</f>
        <v>-7063567.1473753611</v>
      </c>
      <c r="AD57" s="20">
        <f t="shared" ref="AD57" si="124">-AC56</f>
        <v>-9125567.9960012399</v>
      </c>
      <c r="AE57" s="3">
        <f t="shared" si="121"/>
        <v>-101270202.91611812</v>
      </c>
      <c r="AF57" t="s">
        <v>31</v>
      </c>
    </row>
    <row r="58" spans="1:32" x14ac:dyDescent="0.25">
      <c r="B58" t="s">
        <v>25</v>
      </c>
      <c r="D58" s="16">
        <f>D56+D57</f>
        <v>-11628388</v>
      </c>
      <c r="E58" s="16">
        <f t="shared" ref="E58:O58" si="125">E56+E57</f>
        <v>-8056364</v>
      </c>
      <c r="F58" s="16">
        <f t="shared" si="125"/>
        <v>-36873258</v>
      </c>
      <c r="G58" s="16">
        <f t="shared" si="125"/>
        <v>-16071576</v>
      </c>
      <c r="H58" s="16">
        <f t="shared" si="125"/>
        <v>8799668</v>
      </c>
      <c r="I58" s="16">
        <f t="shared" si="125"/>
        <v>25813531</v>
      </c>
      <c r="J58" s="16">
        <f t="shared" si="125"/>
        <v>15727561</v>
      </c>
      <c r="K58" s="16">
        <f t="shared" si="125"/>
        <v>-18710801</v>
      </c>
      <c r="L58" s="16">
        <f t="shared" si="125"/>
        <v>-22774822</v>
      </c>
      <c r="M58" s="16">
        <f t="shared" si="125"/>
        <v>11835668</v>
      </c>
      <c r="N58" s="16">
        <f t="shared" si="125"/>
        <v>22647842</v>
      </c>
      <c r="O58" s="16">
        <f t="shared" si="125"/>
        <v>26671410</v>
      </c>
      <c r="P58" s="2">
        <f t="shared" si="12"/>
        <v>-2619529</v>
      </c>
      <c r="Q58" s="2"/>
      <c r="R58" s="237">
        <f>ROUND(SUM(AE4:AE6)/SUM(P4:P6),5)</f>
        <v>8.6559999999999998E-2</v>
      </c>
      <c r="S58" s="3">
        <f t="shared" ref="S58:AD58" si="126">$R58*D58</f>
        <v>-1006553.2652799999</v>
      </c>
      <c r="T58" s="3">
        <f t="shared" si="126"/>
        <v>-697358.86783999996</v>
      </c>
      <c r="U58" s="3">
        <f t="shared" si="126"/>
        <v>-3191749.2124799998</v>
      </c>
      <c r="V58" s="3">
        <f t="shared" si="126"/>
        <v>-1391155.6185599999</v>
      </c>
      <c r="W58" s="3">
        <f t="shared" si="126"/>
        <v>761699.26208000001</v>
      </c>
      <c r="X58" s="3">
        <f t="shared" si="126"/>
        <v>2234419.2433599997</v>
      </c>
      <c r="Y58" s="3">
        <f t="shared" si="126"/>
        <v>1361377.68016</v>
      </c>
      <c r="Z58" s="3">
        <f t="shared" si="126"/>
        <v>-1619606.93456</v>
      </c>
      <c r="AA58" s="3">
        <f t="shared" si="126"/>
        <v>-1971388.5923200001</v>
      </c>
      <c r="AB58" s="3">
        <f t="shared" si="126"/>
        <v>1024495.4220799999</v>
      </c>
      <c r="AC58" s="20">
        <f t="shared" si="126"/>
        <v>1960397.20352</v>
      </c>
      <c r="AD58" s="20">
        <f t="shared" si="126"/>
        <v>2308677.2495999997</v>
      </c>
      <c r="AE58" s="3">
        <f t="shared" si="121"/>
        <v>-226746.43023999967</v>
      </c>
      <c r="AF58" t="s">
        <v>33</v>
      </c>
    </row>
    <row r="59" spans="1:32" x14ac:dyDescent="0.25">
      <c r="A59" t="s">
        <v>35</v>
      </c>
      <c r="B59" t="s">
        <v>26</v>
      </c>
      <c r="D59" s="10">
        <v>376025</v>
      </c>
      <c r="E59" s="10">
        <v>381104</v>
      </c>
      <c r="F59" s="10">
        <v>247024</v>
      </c>
      <c r="G59" s="10">
        <v>198362</v>
      </c>
      <c r="H59" s="10">
        <v>204789</v>
      </c>
      <c r="I59" s="10">
        <v>249435</v>
      </c>
      <c r="J59" s="10">
        <v>255935</v>
      </c>
      <c r="K59" s="10">
        <v>0</v>
      </c>
      <c r="L59" s="10">
        <v>176943</v>
      </c>
      <c r="M59" s="10">
        <v>272142</v>
      </c>
      <c r="N59" s="10">
        <v>408102</v>
      </c>
      <c r="O59" s="10">
        <v>532500</v>
      </c>
      <c r="P59" s="2">
        <f t="shared" si="12"/>
        <v>3302361</v>
      </c>
      <c r="Q59" s="2"/>
      <c r="S59" s="3">
        <f>SUM(S8:S10)/SUM(D8:D10)*D59</f>
        <v>23210.835988895506</v>
      </c>
      <c r="T59" s="3">
        <f>SUM(T8:T10)/SUM(E8:E10)*E59</f>
        <v>23382.25397006331</v>
      </c>
      <c r="U59" s="3">
        <f t="shared" ref="U59:AB59" si="127">SUM(U8:U10)/SUM(F8:F10)*F59</f>
        <v>14816.170685475707</v>
      </c>
      <c r="V59" s="3">
        <f t="shared" si="127"/>
        <v>11234.010201075749</v>
      </c>
      <c r="W59" s="3">
        <f t="shared" si="127"/>
        <v>10931.542985939039</v>
      </c>
      <c r="X59" s="3">
        <f t="shared" si="127"/>
        <v>13192.00914167006</v>
      </c>
      <c r="Y59" s="3">
        <f t="shared" si="127"/>
        <v>14075.339592558437</v>
      </c>
      <c r="Z59" s="3">
        <f t="shared" si="127"/>
        <v>0</v>
      </c>
      <c r="AA59" s="3">
        <f t="shared" si="127"/>
        <v>9467.2548391937635</v>
      </c>
      <c r="AB59" s="3">
        <f t="shared" si="127"/>
        <v>14499.50201463852</v>
      </c>
      <c r="AC59" s="20">
        <f t="shared" ref="AC59" si="128">SUM(AC8:AC10)/SUM(N8:N10)*N59</f>
        <v>23021.781117629645</v>
      </c>
      <c r="AD59" s="20">
        <f t="shared" ref="AD59" si="129">SUM(AD8:AD10)/SUM(O8:O10)*O59</f>
        <v>32184.647001172973</v>
      </c>
      <c r="AE59" s="3">
        <f t="shared" si="121"/>
        <v>190015.34753831269</v>
      </c>
      <c r="AF59" t="s">
        <v>30</v>
      </c>
    </row>
    <row r="60" spans="1:32" x14ac:dyDescent="0.25">
      <c r="B60" t="s">
        <v>27</v>
      </c>
      <c r="D60" s="10">
        <v>-382397</v>
      </c>
      <c r="E60" s="10">
        <v>-376025</v>
      </c>
      <c r="F60" s="10">
        <v>-381104</v>
      </c>
      <c r="G60" s="10">
        <v>-247024</v>
      </c>
      <c r="H60" s="10">
        <v>-198362</v>
      </c>
      <c r="I60" s="10">
        <v>-204789</v>
      </c>
      <c r="J60" s="10">
        <v>-249435</v>
      </c>
      <c r="K60" s="10">
        <v>-255935</v>
      </c>
      <c r="L60" s="10">
        <v>0</v>
      </c>
      <c r="M60" s="10">
        <v>-176943</v>
      </c>
      <c r="N60" s="10">
        <v>-272142</v>
      </c>
      <c r="O60" s="10">
        <v>-408102</v>
      </c>
      <c r="P60" s="2">
        <f t="shared" si="12"/>
        <v>-3152258</v>
      </c>
      <c r="Q60" s="2"/>
      <c r="S60" s="3">
        <f>SUM(S8:S10)/SUM(D8:D10)*D60</f>
        <v>-23604.159429946612</v>
      </c>
      <c r="T60" s="3">
        <f>-S59</f>
        <v>-23210.835988895506</v>
      </c>
      <c r="U60" s="3">
        <f t="shared" ref="U60:AB60" si="130">-T59</f>
        <v>-23382.25397006331</v>
      </c>
      <c r="V60" s="3">
        <f t="shared" si="130"/>
        <v>-14816.170685475707</v>
      </c>
      <c r="W60" s="3">
        <f t="shared" si="130"/>
        <v>-11234.010201075749</v>
      </c>
      <c r="X60" s="3">
        <f t="shared" si="130"/>
        <v>-10931.542985939039</v>
      </c>
      <c r="Y60" s="3">
        <f t="shared" si="130"/>
        <v>-13192.00914167006</v>
      </c>
      <c r="Z60" s="3">
        <f t="shared" si="130"/>
        <v>-14075.339592558437</v>
      </c>
      <c r="AA60" s="3">
        <f t="shared" si="130"/>
        <v>0</v>
      </c>
      <c r="AB60" s="3">
        <f t="shared" si="130"/>
        <v>-9467.2548391937635</v>
      </c>
      <c r="AC60" s="20">
        <f t="shared" ref="AC60" si="131">-AB59</f>
        <v>-14499.50201463852</v>
      </c>
      <c r="AD60" s="20">
        <f t="shared" ref="AD60" si="132">-AC59</f>
        <v>-23021.781117629645</v>
      </c>
      <c r="AE60" s="3">
        <f t="shared" si="121"/>
        <v>-181434.85996708635</v>
      </c>
      <c r="AF60" t="s">
        <v>31</v>
      </c>
    </row>
    <row r="61" spans="1:32" x14ac:dyDescent="0.25">
      <c r="B61" t="s">
        <v>25</v>
      </c>
      <c r="D61" s="16">
        <f>D59+D60</f>
        <v>-6372</v>
      </c>
      <c r="E61" s="16">
        <f t="shared" ref="E61:O61" si="133">E59+E60</f>
        <v>5079</v>
      </c>
      <c r="F61" s="16">
        <f t="shared" si="133"/>
        <v>-134080</v>
      </c>
      <c r="G61" s="16">
        <f t="shared" si="133"/>
        <v>-48662</v>
      </c>
      <c r="H61" s="16">
        <f t="shared" si="133"/>
        <v>6427</v>
      </c>
      <c r="I61" s="16">
        <f t="shared" si="133"/>
        <v>44646</v>
      </c>
      <c r="J61" s="16">
        <f t="shared" si="133"/>
        <v>6500</v>
      </c>
      <c r="K61" s="16">
        <f t="shared" si="133"/>
        <v>-255935</v>
      </c>
      <c r="L61" s="16">
        <f t="shared" si="133"/>
        <v>176943</v>
      </c>
      <c r="M61" s="16">
        <f t="shared" si="133"/>
        <v>95199</v>
      </c>
      <c r="N61" s="16">
        <f t="shared" si="133"/>
        <v>135960</v>
      </c>
      <c r="O61" s="16">
        <f t="shared" si="133"/>
        <v>124398</v>
      </c>
      <c r="P61" s="2">
        <f t="shared" si="12"/>
        <v>150103</v>
      </c>
      <c r="Q61" s="2"/>
      <c r="R61" s="237">
        <f>ROUND(SUM(AE8:AE10)/SUM(P8:P10),5)</f>
        <v>5.7500000000000002E-2</v>
      </c>
      <c r="S61" s="3">
        <f t="shared" ref="S61:AD61" si="134">$R61*D61</f>
        <v>-366.39000000000004</v>
      </c>
      <c r="T61" s="3">
        <f t="shared" si="134"/>
        <v>292.04250000000002</v>
      </c>
      <c r="U61" s="3">
        <f t="shared" si="134"/>
        <v>-7709.6</v>
      </c>
      <c r="V61" s="3">
        <f t="shared" si="134"/>
        <v>-2798.0650000000001</v>
      </c>
      <c r="W61" s="3">
        <f t="shared" si="134"/>
        <v>369.55250000000001</v>
      </c>
      <c r="X61" s="3">
        <f t="shared" si="134"/>
        <v>2567.145</v>
      </c>
      <c r="Y61" s="3">
        <f t="shared" si="134"/>
        <v>373.75</v>
      </c>
      <c r="Z61" s="3">
        <f t="shared" si="134"/>
        <v>-14716.262500000001</v>
      </c>
      <c r="AA61" s="3">
        <f t="shared" si="134"/>
        <v>10174.2225</v>
      </c>
      <c r="AB61" s="3">
        <f t="shared" si="134"/>
        <v>5473.9425000000001</v>
      </c>
      <c r="AC61" s="20">
        <f t="shared" si="134"/>
        <v>7817.7000000000007</v>
      </c>
      <c r="AD61" s="20">
        <f t="shared" si="134"/>
        <v>7152.8850000000002</v>
      </c>
      <c r="AE61" s="3">
        <f t="shared" si="121"/>
        <v>8630.9225000000006</v>
      </c>
      <c r="AF61" t="s">
        <v>33</v>
      </c>
    </row>
    <row r="62" spans="1:32" x14ac:dyDescent="0.25">
      <c r="A62" t="s">
        <v>294</v>
      </c>
      <c r="B62" t="s">
        <v>26</v>
      </c>
      <c r="D62" s="10">
        <v>24722190</v>
      </c>
      <c r="E62" s="10">
        <v>23226839</v>
      </c>
      <c r="F62" s="10">
        <v>16832797</v>
      </c>
      <c r="G62" s="10">
        <v>15065503</v>
      </c>
      <c r="H62" s="10">
        <v>19536845</v>
      </c>
      <c r="I62" s="10">
        <v>26351097</v>
      </c>
      <c r="J62" s="10">
        <v>24973929</v>
      </c>
      <c r="K62" s="10">
        <v>22853486</v>
      </c>
      <c r="L62" s="10">
        <v>19654342</v>
      </c>
      <c r="M62" s="10">
        <v>23315080</v>
      </c>
      <c r="N62" s="10">
        <v>25432534</v>
      </c>
      <c r="O62" s="10">
        <v>28369606</v>
      </c>
      <c r="P62" s="2">
        <f t="shared" si="12"/>
        <v>270334248</v>
      </c>
      <c r="Q62" s="2"/>
      <c r="S62" s="3">
        <f>SUM(S12:S13)/SUM(D12:D13)*D62</f>
        <v>2910022.084935334</v>
      </c>
      <c r="T62" s="3">
        <f>SUM(T12:T13)/SUM(E12:E13)*E62</f>
        <v>2740247.8490969692</v>
      </c>
      <c r="U62" s="3">
        <f t="shared" ref="U62:AB62" si="135">SUM(U12:U13)/SUM(F12:F13)*F62</f>
        <v>1992760.4534866156</v>
      </c>
      <c r="V62" s="3">
        <f t="shared" si="135"/>
        <v>1795076.5287482308</v>
      </c>
      <c r="W62" s="3">
        <f t="shared" si="135"/>
        <v>2328984.8929453464</v>
      </c>
      <c r="X62" s="3">
        <f t="shared" si="135"/>
        <v>3113516.4701190214</v>
      </c>
      <c r="Y62" s="3">
        <f t="shared" si="135"/>
        <v>2939579.9816273358</v>
      </c>
      <c r="Z62" s="3">
        <f t="shared" si="135"/>
        <v>2662580.7431064527</v>
      </c>
      <c r="AA62" s="3">
        <f t="shared" si="135"/>
        <v>2315401.8092043111</v>
      </c>
      <c r="AB62" s="3">
        <f t="shared" si="135"/>
        <v>2772357.8810429196</v>
      </c>
      <c r="AC62" s="20">
        <f t="shared" ref="AC62" si="136">SUM(AC12:AC13)/SUM(N12:N13)*N62</f>
        <v>3039004.1862028628</v>
      </c>
      <c r="AD62" s="20">
        <f t="shared" ref="AD62" si="137">SUM(AD12:AD13)/SUM(O12:O13)*O62</f>
        <v>3349610.0672832853</v>
      </c>
      <c r="AE62" s="3">
        <f t="shared" si="121"/>
        <v>31959142.947798681</v>
      </c>
      <c r="AF62" t="s">
        <v>30</v>
      </c>
    </row>
    <row r="63" spans="1:32" x14ac:dyDescent="0.25">
      <c r="B63" t="s">
        <v>27</v>
      </c>
      <c r="D63" s="10">
        <v>-27078217</v>
      </c>
      <c r="E63" s="10">
        <v>-24722190</v>
      </c>
      <c r="F63" s="10">
        <v>-23226839</v>
      </c>
      <c r="G63" s="10">
        <v>-16832797</v>
      </c>
      <c r="H63" s="10">
        <v>-15065503</v>
      </c>
      <c r="I63" s="10">
        <v>-19536845</v>
      </c>
      <c r="J63" s="10">
        <v>-26351097</v>
      </c>
      <c r="K63" s="10">
        <v>-24973929</v>
      </c>
      <c r="L63" s="10">
        <v>-22853486</v>
      </c>
      <c r="M63" s="10">
        <v>-19654342</v>
      </c>
      <c r="N63" s="10">
        <v>-23315080</v>
      </c>
      <c r="O63" s="10">
        <v>-25432534</v>
      </c>
      <c r="P63" s="2">
        <f t="shared" si="12"/>
        <v>-269042859</v>
      </c>
      <c r="Q63" s="2"/>
      <c r="S63" s="3">
        <f>SUM(S12:S13)/SUM(D12:D13)*D63</f>
        <v>-3187347.4595362064</v>
      </c>
      <c r="T63" s="3">
        <f>-S62</f>
        <v>-2910022.084935334</v>
      </c>
      <c r="U63" s="3">
        <f t="shared" ref="U63:AB63" si="138">-T62</f>
        <v>-2740247.8490969692</v>
      </c>
      <c r="V63" s="3">
        <f t="shared" si="138"/>
        <v>-1992760.4534866156</v>
      </c>
      <c r="W63" s="3">
        <f t="shared" si="138"/>
        <v>-1795076.5287482308</v>
      </c>
      <c r="X63" s="3">
        <f t="shared" si="138"/>
        <v>-2328984.8929453464</v>
      </c>
      <c r="Y63" s="3">
        <f t="shared" si="138"/>
        <v>-3113516.4701190214</v>
      </c>
      <c r="Z63" s="3">
        <f t="shared" si="138"/>
        <v>-2939579.9816273358</v>
      </c>
      <c r="AA63" s="3">
        <f t="shared" si="138"/>
        <v>-2662580.7431064527</v>
      </c>
      <c r="AB63" s="3">
        <f t="shared" si="138"/>
        <v>-2315401.8092043111</v>
      </c>
      <c r="AC63" s="20">
        <f t="shared" ref="AC63" si="139">-AB62</f>
        <v>-2772357.8810429196</v>
      </c>
      <c r="AD63" s="20">
        <f t="shared" ref="AD63" si="140">-AC62</f>
        <v>-3039004.1862028628</v>
      </c>
      <c r="AE63" s="3">
        <f t="shared" si="121"/>
        <v>-31796880.340051606</v>
      </c>
      <c r="AF63" t="s">
        <v>31</v>
      </c>
    </row>
    <row r="64" spans="1:32" x14ac:dyDescent="0.25">
      <c r="B64" t="s">
        <v>25</v>
      </c>
      <c r="D64" s="16">
        <f>D62+D63</f>
        <v>-2356027</v>
      </c>
      <c r="E64" s="16">
        <f t="shared" ref="E64:O64" si="141">E62+E63</f>
        <v>-1495351</v>
      </c>
      <c r="F64" s="16">
        <f t="shared" si="141"/>
        <v>-6394042</v>
      </c>
      <c r="G64" s="16">
        <f t="shared" si="141"/>
        <v>-1767294</v>
      </c>
      <c r="H64" s="16">
        <f t="shared" si="141"/>
        <v>4471342</v>
      </c>
      <c r="I64" s="16">
        <f t="shared" si="141"/>
        <v>6814252</v>
      </c>
      <c r="J64" s="16">
        <f t="shared" si="141"/>
        <v>-1377168</v>
      </c>
      <c r="K64" s="16">
        <f t="shared" si="141"/>
        <v>-2120443</v>
      </c>
      <c r="L64" s="16">
        <f t="shared" si="141"/>
        <v>-3199144</v>
      </c>
      <c r="M64" s="16">
        <f t="shared" si="141"/>
        <v>3660738</v>
      </c>
      <c r="N64" s="16">
        <f t="shared" si="141"/>
        <v>2117454</v>
      </c>
      <c r="O64" s="16">
        <f t="shared" si="141"/>
        <v>2937072</v>
      </c>
      <c r="P64" s="2">
        <f t="shared" si="12"/>
        <v>1291389</v>
      </c>
      <c r="Q64" s="2"/>
      <c r="R64" s="237">
        <f>ROUND(SUM(AE12:AE13)/SUM(P12:P13),5)</f>
        <v>0.1182</v>
      </c>
      <c r="S64" s="3">
        <f t="shared" ref="S64:AD64" si="142">$R64*D64</f>
        <v>-278482.39140000002</v>
      </c>
      <c r="T64" s="3">
        <f t="shared" si="142"/>
        <v>-176750.48819999999</v>
      </c>
      <c r="U64" s="3">
        <f t="shared" si="142"/>
        <v>-755775.76439999999</v>
      </c>
      <c r="V64" s="3">
        <f t="shared" si="142"/>
        <v>-208894.1508</v>
      </c>
      <c r="W64" s="3">
        <f t="shared" si="142"/>
        <v>528512.62439999997</v>
      </c>
      <c r="X64" s="3">
        <f t="shared" si="142"/>
        <v>805444.58640000003</v>
      </c>
      <c r="Y64" s="3">
        <f t="shared" si="142"/>
        <v>-162781.25760000001</v>
      </c>
      <c r="Z64" s="3">
        <f t="shared" si="142"/>
        <v>-250636.36259999999</v>
      </c>
      <c r="AA64" s="3">
        <f t="shared" si="142"/>
        <v>-378138.82079999999</v>
      </c>
      <c r="AB64" s="3">
        <f t="shared" si="142"/>
        <v>432699.2316</v>
      </c>
      <c r="AC64" s="20">
        <f t="shared" si="142"/>
        <v>250283.06279999999</v>
      </c>
      <c r="AD64" s="20">
        <f t="shared" si="142"/>
        <v>347161.91039999999</v>
      </c>
      <c r="AE64" s="3">
        <f t="shared" si="121"/>
        <v>152642.17980000019</v>
      </c>
      <c r="AF64" t="s">
        <v>33</v>
      </c>
    </row>
    <row r="65" spans="1:32" x14ac:dyDescent="0.25">
      <c r="A65" t="s">
        <v>37</v>
      </c>
      <c r="B65" t="s">
        <v>26</v>
      </c>
      <c r="D65" s="10">
        <v>3283372</v>
      </c>
      <c r="E65" s="10">
        <v>3015938</v>
      </c>
      <c r="F65" s="10">
        <v>2181620</v>
      </c>
      <c r="G65" s="10">
        <v>1695529</v>
      </c>
      <c r="H65" s="10">
        <v>1872487</v>
      </c>
      <c r="I65" s="10">
        <v>2353512</v>
      </c>
      <c r="J65" s="10">
        <v>2152958</v>
      </c>
      <c r="K65" s="10">
        <v>1887000</v>
      </c>
      <c r="L65" s="10">
        <v>1731473</v>
      </c>
      <c r="M65" s="10">
        <v>2225536</v>
      </c>
      <c r="N65" s="10">
        <v>2781319</v>
      </c>
      <c r="O65" s="10">
        <v>3596851</v>
      </c>
      <c r="P65" s="2">
        <f t="shared" si="12"/>
        <v>28777595</v>
      </c>
      <c r="Q65" s="2"/>
      <c r="S65" s="3">
        <f>SUM(S17:S18)/SUM(D17:D18)*D65</f>
        <v>396430.38090605737</v>
      </c>
      <c r="T65" s="3">
        <f>SUM(T17:T18)/SUM(E17:E18)*E65</f>
        <v>364803.64512802189</v>
      </c>
      <c r="U65" s="3">
        <f t="shared" ref="U65:AB65" si="143">SUM(U17:U18)/SUM(F17:F18)*F65</f>
        <v>263531.26936397533</v>
      </c>
      <c r="V65" s="3">
        <f t="shared" si="143"/>
        <v>205792.15835971115</v>
      </c>
      <c r="W65" s="3">
        <f t="shared" si="143"/>
        <v>228362.32244434074</v>
      </c>
      <c r="X65" s="3">
        <f t="shared" si="143"/>
        <v>284160.20439565694</v>
      </c>
      <c r="Y65" s="3">
        <f t="shared" si="143"/>
        <v>258817.44078627822</v>
      </c>
      <c r="Z65" s="3">
        <f t="shared" si="143"/>
        <v>226430.16517732642</v>
      </c>
      <c r="AA65" s="3">
        <f t="shared" si="143"/>
        <v>208268.83891718002</v>
      </c>
      <c r="AB65" s="3">
        <f t="shared" si="143"/>
        <v>269034.44939355919</v>
      </c>
      <c r="AC65" s="20">
        <f t="shared" ref="AC65" si="144">SUM(AC17:AC18)/SUM(N17:N18)*N65</f>
        <v>335672.23901471833</v>
      </c>
      <c r="AD65" s="20">
        <f t="shared" ref="AD65" si="145">SUM(AD17:AD18)/SUM(O17:O18)*O65</f>
        <v>431835.00105928176</v>
      </c>
      <c r="AE65" s="3">
        <f t="shared" si="121"/>
        <v>3473138.1149461069</v>
      </c>
      <c r="AF65" t="s">
        <v>30</v>
      </c>
    </row>
    <row r="66" spans="1:32" x14ac:dyDescent="0.25">
      <c r="B66" t="s">
        <v>27</v>
      </c>
      <c r="D66" s="10">
        <v>-3483601</v>
      </c>
      <c r="E66" s="10">
        <v>-3283372</v>
      </c>
      <c r="F66" s="10">
        <v>-3015938</v>
      </c>
      <c r="G66" s="10">
        <v>-2181620</v>
      </c>
      <c r="H66" s="10">
        <v>-1695529</v>
      </c>
      <c r="I66" s="10">
        <v>-1872487</v>
      </c>
      <c r="J66" s="10">
        <v>-2353512</v>
      </c>
      <c r="K66" s="10">
        <v>-2152958</v>
      </c>
      <c r="L66" s="10">
        <v>-1887000</v>
      </c>
      <c r="M66" s="10">
        <v>-1731473</v>
      </c>
      <c r="N66" s="10">
        <v>-2225536</v>
      </c>
      <c r="O66" s="10">
        <v>-2781319</v>
      </c>
      <c r="P66" s="2">
        <f t="shared" si="12"/>
        <v>-28664345</v>
      </c>
      <c r="Q66" s="2"/>
      <c r="S66" s="3">
        <f>SUM(S17:S18)/SUM(D17:D18)*D66</f>
        <v>-420605.7892175247</v>
      </c>
      <c r="T66" s="3">
        <f>-S65</f>
        <v>-396430.38090605737</v>
      </c>
      <c r="U66" s="3">
        <f t="shared" ref="U66:AB66" si="146">-T65</f>
        <v>-364803.64512802189</v>
      </c>
      <c r="V66" s="3">
        <f t="shared" si="146"/>
        <v>-263531.26936397533</v>
      </c>
      <c r="W66" s="3">
        <f t="shared" si="146"/>
        <v>-205792.15835971115</v>
      </c>
      <c r="X66" s="3">
        <f t="shared" si="146"/>
        <v>-228362.32244434074</v>
      </c>
      <c r="Y66" s="3">
        <f t="shared" si="146"/>
        <v>-284160.20439565694</v>
      </c>
      <c r="Z66" s="3">
        <f t="shared" si="146"/>
        <v>-258817.44078627822</v>
      </c>
      <c r="AA66" s="3">
        <f t="shared" si="146"/>
        <v>-226430.16517732642</v>
      </c>
      <c r="AB66" s="3">
        <f t="shared" si="146"/>
        <v>-208268.83891718002</v>
      </c>
      <c r="AC66" s="20">
        <f t="shared" ref="AC66" si="147">-AB65</f>
        <v>-269034.44939355919</v>
      </c>
      <c r="AD66" s="20">
        <f t="shared" ref="AD66" si="148">-AC65</f>
        <v>-335672.23901471833</v>
      </c>
      <c r="AE66" s="3">
        <f t="shared" si="121"/>
        <v>-3461908.9031043504</v>
      </c>
      <c r="AF66" t="s">
        <v>31</v>
      </c>
    </row>
    <row r="67" spans="1:32" x14ac:dyDescent="0.25">
      <c r="B67" t="s">
        <v>25</v>
      </c>
      <c r="D67" s="16">
        <f>D65+D66</f>
        <v>-200229</v>
      </c>
      <c r="E67" s="16">
        <f t="shared" ref="E67:O67" si="149">E65+E66</f>
        <v>-267434</v>
      </c>
      <c r="F67" s="16">
        <f t="shared" si="149"/>
        <v>-834318</v>
      </c>
      <c r="G67" s="16">
        <f t="shared" si="149"/>
        <v>-486091</v>
      </c>
      <c r="H67" s="16">
        <f t="shared" si="149"/>
        <v>176958</v>
      </c>
      <c r="I67" s="16">
        <f t="shared" si="149"/>
        <v>481025</v>
      </c>
      <c r="J67" s="16">
        <f t="shared" si="149"/>
        <v>-200554</v>
      </c>
      <c r="K67" s="16">
        <f t="shared" si="149"/>
        <v>-265958</v>
      </c>
      <c r="L67" s="16">
        <f t="shared" si="149"/>
        <v>-155527</v>
      </c>
      <c r="M67" s="16">
        <f t="shared" si="149"/>
        <v>494063</v>
      </c>
      <c r="N67" s="16">
        <f t="shared" si="149"/>
        <v>555783</v>
      </c>
      <c r="O67" s="16">
        <f t="shared" si="149"/>
        <v>815532</v>
      </c>
      <c r="P67" s="2">
        <f t="shared" si="12"/>
        <v>113250</v>
      </c>
      <c r="Q67" s="2"/>
      <c r="R67" s="237">
        <f>ROUND(SUM(AE17:AE18)/SUM(P17:P18),5)</f>
        <v>0.12071</v>
      </c>
      <c r="S67" s="3">
        <f t="shared" ref="S67:AD67" si="150">$R67*D67</f>
        <v>-24169.642589999999</v>
      </c>
      <c r="T67" s="3">
        <f t="shared" si="150"/>
        <v>-32281.958139999999</v>
      </c>
      <c r="U67" s="3">
        <f t="shared" si="150"/>
        <v>-100710.52578</v>
      </c>
      <c r="V67" s="3">
        <f t="shared" si="150"/>
        <v>-58676.044609999997</v>
      </c>
      <c r="W67" s="3">
        <f t="shared" si="150"/>
        <v>21360.600180000001</v>
      </c>
      <c r="X67" s="3">
        <f t="shared" si="150"/>
        <v>58064.527750000001</v>
      </c>
      <c r="Y67" s="3">
        <f t="shared" si="150"/>
        <v>-24208.873339999998</v>
      </c>
      <c r="Z67" s="3">
        <f t="shared" si="150"/>
        <v>-32103.79018</v>
      </c>
      <c r="AA67" s="3">
        <f t="shared" si="150"/>
        <v>-18773.66417</v>
      </c>
      <c r="AB67" s="3">
        <f t="shared" si="150"/>
        <v>59638.344729999997</v>
      </c>
      <c r="AC67" s="20">
        <f t="shared" si="150"/>
        <v>67088.565929999997</v>
      </c>
      <c r="AD67" s="20">
        <f t="shared" si="150"/>
        <v>98442.867719999995</v>
      </c>
      <c r="AE67" s="3">
        <f t="shared" si="121"/>
        <v>13670.407500000001</v>
      </c>
      <c r="AF67" t="s">
        <v>33</v>
      </c>
    </row>
    <row r="68" spans="1:32" x14ac:dyDescent="0.25">
      <c r="A68" t="s">
        <v>295</v>
      </c>
      <c r="B68" t="s">
        <v>26</v>
      </c>
      <c r="D68" s="10">
        <v>50907879</v>
      </c>
      <c r="E68" s="10">
        <v>46440782</v>
      </c>
      <c r="F68" s="10">
        <v>34637872</v>
      </c>
      <c r="G68" s="10">
        <v>33007907</v>
      </c>
      <c r="H68" s="10">
        <v>44769147</v>
      </c>
      <c r="I68" s="10">
        <v>61643136</v>
      </c>
      <c r="J68" s="10">
        <v>58358513</v>
      </c>
      <c r="K68" s="10">
        <v>48341458</v>
      </c>
      <c r="L68" s="10">
        <v>44179689</v>
      </c>
      <c r="M68" s="10">
        <v>54391609</v>
      </c>
      <c r="N68" s="10">
        <v>58233216</v>
      </c>
      <c r="O68" s="10">
        <v>58763945</v>
      </c>
      <c r="P68" s="2">
        <f t="shared" ref="P68:P83" si="151">SUM(D68:O68)</f>
        <v>593675153</v>
      </c>
      <c r="Q68" s="2"/>
      <c r="S68" s="3">
        <f>SUM(S22:S23)/SUM(D22:D23)*D68</f>
        <v>4342052.4520769203</v>
      </c>
      <c r="T68" s="3">
        <f>SUM(T22:T23)/SUM(E22:E23)*E68</f>
        <v>3964188.3862601961</v>
      </c>
      <c r="U68" s="3">
        <f t="shared" ref="U68:AB68" si="152">SUM(U22:U23)/SUM(F22:F23)*F68</f>
        <v>2959488.9020956764</v>
      </c>
      <c r="V68" s="3">
        <f t="shared" si="152"/>
        <v>2820429.8142017955</v>
      </c>
      <c r="W68" s="3">
        <f t="shared" si="152"/>
        <v>3823011.6799165569</v>
      </c>
      <c r="X68" s="3">
        <f t="shared" si="152"/>
        <v>5261351.7518223012</v>
      </c>
      <c r="Y68" s="3">
        <f t="shared" si="152"/>
        <v>4969925.97499392</v>
      </c>
      <c r="Z68" s="3">
        <f t="shared" si="152"/>
        <v>4116274.0747497631</v>
      </c>
      <c r="AA68" s="3">
        <f t="shared" si="152"/>
        <v>3767262.7825389891</v>
      </c>
      <c r="AB68" s="3">
        <f t="shared" si="152"/>
        <v>4643330.9995761039</v>
      </c>
      <c r="AC68" s="20">
        <f t="shared" ref="AC68" si="153">SUM(AC22:AC23)/SUM(N22:N23)*N68</f>
        <v>4971598.5007273396</v>
      </c>
      <c r="AD68" s="20">
        <f t="shared" ref="AD68" si="154">SUM(AD22:AD23)/SUM(O22:O23)*O68</f>
        <v>5013387.1687982948</v>
      </c>
      <c r="AE68" s="3">
        <f t="shared" si="121"/>
        <v>50652302.487757862</v>
      </c>
      <c r="AF68" t="s">
        <v>30</v>
      </c>
    </row>
    <row r="69" spans="1:32" x14ac:dyDescent="0.25">
      <c r="B69" t="s">
        <v>27</v>
      </c>
      <c r="D69" s="10">
        <v>-55604776</v>
      </c>
      <c r="E69" s="10">
        <v>-50907879</v>
      </c>
      <c r="F69" s="10">
        <v>-46440782</v>
      </c>
      <c r="G69" s="10">
        <v>-34637872</v>
      </c>
      <c r="H69" s="10">
        <v>-33007907</v>
      </c>
      <c r="I69" s="10">
        <v>-44769147</v>
      </c>
      <c r="J69" s="10">
        <v>-61643136</v>
      </c>
      <c r="K69" s="10">
        <v>-58358513</v>
      </c>
      <c r="L69" s="10">
        <v>-48341458</v>
      </c>
      <c r="M69" s="10">
        <v>-85197228</v>
      </c>
      <c r="N69" s="10">
        <v>-54391609</v>
      </c>
      <c r="O69" s="10">
        <v>-58233216</v>
      </c>
      <c r="P69" s="2">
        <f t="shared" si="151"/>
        <v>-631533523</v>
      </c>
      <c r="Q69" s="2"/>
      <c r="S69" s="3">
        <f>SUM(S22:S23)/SUM(D22:D23)*D69</f>
        <v>-4742661.8181831511</v>
      </c>
      <c r="T69" s="3">
        <f>-S68</f>
        <v>-4342052.4520769203</v>
      </c>
      <c r="U69" s="3">
        <f t="shared" ref="U69:AB69" si="155">-T68</f>
        <v>-3964188.3862601961</v>
      </c>
      <c r="V69" s="3">
        <f t="shared" si="155"/>
        <v>-2959488.9020956764</v>
      </c>
      <c r="W69" s="3">
        <f t="shared" si="155"/>
        <v>-2820429.8142017955</v>
      </c>
      <c r="X69" s="3">
        <f t="shared" si="155"/>
        <v>-3823011.6799165569</v>
      </c>
      <c r="Y69" s="3">
        <f t="shared" si="155"/>
        <v>-5261351.7518223012</v>
      </c>
      <c r="Z69" s="3">
        <f t="shared" si="155"/>
        <v>-4969925.97499392</v>
      </c>
      <c r="AA69" s="3">
        <f t="shared" si="155"/>
        <v>-4116274.0747497631</v>
      </c>
      <c r="AB69" s="3">
        <f t="shared" si="155"/>
        <v>-3767262.7825389891</v>
      </c>
      <c r="AC69" s="20">
        <f t="shared" ref="AC69" si="156">-AB68</f>
        <v>-4643330.9995761039</v>
      </c>
      <c r="AD69" s="20">
        <f t="shared" ref="AD69" si="157">-AC68</f>
        <v>-4971598.5007273396</v>
      </c>
      <c r="AE69" s="3">
        <f t="shared" si="121"/>
        <v>-50381577.13714271</v>
      </c>
      <c r="AF69" t="s">
        <v>31</v>
      </c>
    </row>
    <row r="70" spans="1:32" x14ac:dyDescent="0.25">
      <c r="B70" t="s">
        <v>25</v>
      </c>
      <c r="D70" s="16">
        <f>D68+D69</f>
        <v>-4696897</v>
      </c>
      <c r="E70" s="16">
        <f t="shared" ref="E70:O70" si="158">E68+E69</f>
        <v>-4467097</v>
      </c>
      <c r="F70" s="16">
        <f t="shared" si="158"/>
        <v>-11802910</v>
      </c>
      <c r="G70" s="16">
        <f t="shared" si="158"/>
        <v>-1629965</v>
      </c>
      <c r="H70" s="16">
        <f t="shared" si="158"/>
        <v>11761240</v>
      </c>
      <c r="I70" s="16">
        <f t="shared" si="158"/>
        <v>16873989</v>
      </c>
      <c r="J70" s="16">
        <f t="shared" si="158"/>
        <v>-3284623</v>
      </c>
      <c r="K70" s="16">
        <f t="shared" si="158"/>
        <v>-10017055</v>
      </c>
      <c r="L70" s="16">
        <f t="shared" si="158"/>
        <v>-4161769</v>
      </c>
      <c r="M70" s="16">
        <f t="shared" si="158"/>
        <v>-30805619</v>
      </c>
      <c r="N70" s="16">
        <f t="shared" si="158"/>
        <v>3841607</v>
      </c>
      <c r="O70" s="16">
        <f t="shared" si="158"/>
        <v>530729</v>
      </c>
      <c r="P70" s="2">
        <f t="shared" si="151"/>
        <v>-37858370</v>
      </c>
      <c r="Q70" s="2"/>
      <c r="R70" s="237">
        <f>ROUND(SUM(AE22:AE23)/SUM(P22:P23),5)</f>
        <v>8.5319999999999993E-2</v>
      </c>
      <c r="S70" s="3">
        <f t="shared" ref="S70:AD70" si="159">$R70*D70</f>
        <v>-400739.25203999999</v>
      </c>
      <c r="T70" s="3">
        <f t="shared" si="159"/>
        <v>-381132.71603999997</v>
      </c>
      <c r="U70" s="3">
        <f t="shared" si="159"/>
        <v>-1007024.2812</v>
      </c>
      <c r="V70" s="3">
        <f t="shared" si="159"/>
        <v>-139068.61379999999</v>
      </c>
      <c r="W70" s="3">
        <f t="shared" si="159"/>
        <v>1003468.9968</v>
      </c>
      <c r="X70" s="3">
        <f t="shared" si="159"/>
        <v>1439688.7414799999</v>
      </c>
      <c r="Y70" s="3">
        <f t="shared" si="159"/>
        <v>-280244.03435999999</v>
      </c>
      <c r="Z70" s="3">
        <f t="shared" si="159"/>
        <v>-854655.1325999999</v>
      </c>
      <c r="AA70" s="3">
        <f t="shared" si="159"/>
        <v>-355082.13107999996</v>
      </c>
      <c r="AB70" s="3">
        <f t="shared" si="159"/>
        <v>-2628335.4130799999</v>
      </c>
      <c r="AC70" s="20">
        <f t="shared" si="159"/>
        <v>327765.90923999995</v>
      </c>
      <c r="AD70" s="20">
        <f t="shared" si="159"/>
        <v>45281.798279999995</v>
      </c>
      <c r="AE70" s="3">
        <f t="shared" si="121"/>
        <v>-3230076.1283999998</v>
      </c>
      <c r="AF70" t="s">
        <v>33</v>
      </c>
    </row>
    <row r="71" spans="1:32" x14ac:dyDescent="0.25">
      <c r="A71" t="s">
        <v>39</v>
      </c>
      <c r="B71" t="s">
        <v>26</v>
      </c>
      <c r="D71" s="10">
        <v>1668401</v>
      </c>
      <c r="E71" s="10">
        <v>1485025</v>
      </c>
      <c r="F71" s="10">
        <v>950721</v>
      </c>
      <c r="G71" s="10">
        <v>863173</v>
      </c>
      <c r="H71" s="10">
        <v>924648</v>
      </c>
      <c r="I71" s="10">
        <v>1283086</v>
      </c>
      <c r="J71" s="10">
        <v>1247914</v>
      </c>
      <c r="K71" s="10">
        <v>1075450</v>
      </c>
      <c r="L71" s="10">
        <v>926219</v>
      </c>
      <c r="M71" s="10">
        <v>1144373</v>
      </c>
      <c r="N71" s="10">
        <v>1296384</v>
      </c>
      <c r="O71" s="10">
        <v>1601412</v>
      </c>
      <c r="P71" s="2">
        <f t="shared" si="151"/>
        <v>14466806</v>
      </c>
      <c r="Q71" s="2"/>
      <c r="S71" s="3">
        <f>SUM(S28:S29)/SUM(D28:D29)*D71</f>
        <v>136846.14944109804</v>
      </c>
      <c r="T71" s="3">
        <f>SUM(T28:T29)/SUM(E28:E29)*E71</f>
        <v>121863.42465209014</v>
      </c>
      <c r="U71" s="3">
        <f t="shared" ref="U71:AB71" si="160">SUM(U28:U29)/SUM(F28:F29)*F71</f>
        <v>77932.953368648814</v>
      </c>
      <c r="V71" s="3">
        <f t="shared" si="160"/>
        <v>70866.503300000011</v>
      </c>
      <c r="W71" s="3">
        <f t="shared" si="160"/>
        <v>75913.6008</v>
      </c>
      <c r="X71" s="3">
        <f t="shared" si="160"/>
        <v>105341.36060000001</v>
      </c>
      <c r="Y71" s="3">
        <f t="shared" si="160"/>
        <v>102343.90178383347</v>
      </c>
      <c r="Z71" s="3">
        <f t="shared" si="160"/>
        <v>88288.791039468197</v>
      </c>
      <c r="AA71" s="3">
        <f t="shared" si="160"/>
        <v>76042.579900000012</v>
      </c>
      <c r="AB71" s="3">
        <f t="shared" si="160"/>
        <v>93953.023300000001</v>
      </c>
      <c r="AC71" s="20">
        <f t="shared" ref="AC71" si="161">SUM(AC28:AC29)/SUM(N28:N29)*N71</f>
        <v>106433.12640000001</v>
      </c>
      <c r="AD71" s="20">
        <f t="shared" ref="AD71" si="162">SUM(AD28:AD29)/SUM(O28:O29)*O71</f>
        <v>131475.9252</v>
      </c>
      <c r="AE71" s="3">
        <f t="shared" si="121"/>
        <v>1187301.3397851386</v>
      </c>
      <c r="AF71" t="s">
        <v>30</v>
      </c>
    </row>
    <row r="72" spans="1:32" x14ac:dyDescent="0.25">
      <c r="B72" t="s">
        <v>27</v>
      </c>
      <c r="D72" s="10">
        <v>-1655745</v>
      </c>
      <c r="E72" s="10">
        <v>-1668401</v>
      </c>
      <c r="F72" s="10">
        <v>-1485025</v>
      </c>
      <c r="G72" s="10">
        <v>-950721</v>
      </c>
      <c r="H72" s="10">
        <v>-863173</v>
      </c>
      <c r="I72" s="10">
        <v>-924648</v>
      </c>
      <c r="J72" s="10">
        <v>-1283086</v>
      </c>
      <c r="K72" s="10">
        <v>-1247914</v>
      </c>
      <c r="L72" s="10">
        <v>-1075450</v>
      </c>
      <c r="M72" s="10">
        <v>-926219</v>
      </c>
      <c r="N72" s="10">
        <v>-1144373</v>
      </c>
      <c r="O72" s="10">
        <v>-1296384</v>
      </c>
      <c r="P72" s="2">
        <f t="shared" si="151"/>
        <v>-14521139</v>
      </c>
      <c r="Q72" s="2"/>
      <c r="S72" s="3">
        <f>SUM(S28:S29)/SUM(D28:D29)*D72</f>
        <v>-135808.0747412348</v>
      </c>
      <c r="T72" s="3">
        <f>-S71</f>
        <v>-136846.14944109804</v>
      </c>
      <c r="U72" s="3">
        <f t="shared" ref="U72:AB72" si="163">-T71</f>
        <v>-121863.42465209014</v>
      </c>
      <c r="V72" s="3">
        <f t="shared" si="163"/>
        <v>-77932.953368648814</v>
      </c>
      <c r="W72" s="3">
        <f t="shared" si="163"/>
        <v>-70866.503300000011</v>
      </c>
      <c r="X72" s="3">
        <f t="shared" si="163"/>
        <v>-75913.6008</v>
      </c>
      <c r="Y72" s="3">
        <f t="shared" si="163"/>
        <v>-105341.36060000001</v>
      </c>
      <c r="Z72" s="3">
        <f t="shared" si="163"/>
        <v>-102343.90178383347</v>
      </c>
      <c r="AA72" s="3">
        <f t="shared" si="163"/>
        <v>-88288.791039468197</v>
      </c>
      <c r="AB72" s="3">
        <f t="shared" si="163"/>
        <v>-76042.579900000012</v>
      </c>
      <c r="AC72" s="20">
        <f t="shared" ref="AC72" si="164">-AB71</f>
        <v>-93953.023300000001</v>
      </c>
      <c r="AD72" s="20">
        <f t="shared" ref="AD72" si="165">-AC71</f>
        <v>-106433.12640000001</v>
      </c>
      <c r="AE72" s="3">
        <f t="shared" si="121"/>
        <v>-1191633.4893263734</v>
      </c>
      <c r="AF72" t="s">
        <v>31</v>
      </c>
    </row>
    <row r="73" spans="1:32" x14ac:dyDescent="0.25">
      <c r="B73" t="s">
        <v>25</v>
      </c>
      <c r="D73" s="16">
        <f>D71+D72</f>
        <v>12656</v>
      </c>
      <c r="E73" s="16">
        <f t="shared" ref="E73:O73" si="166">E71+E72</f>
        <v>-183376</v>
      </c>
      <c r="F73" s="16">
        <f t="shared" si="166"/>
        <v>-534304</v>
      </c>
      <c r="G73" s="16">
        <f t="shared" si="166"/>
        <v>-87548</v>
      </c>
      <c r="H73" s="16">
        <f t="shared" si="166"/>
        <v>61475</v>
      </c>
      <c r="I73" s="16">
        <f t="shared" si="166"/>
        <v>358438</v>
      </c>
      <c r="J73" s="16">
        <f t="shared" si="166"/>
        <v>-35172</v>
      </c>
      <c r="K73" s="16">
        <f t="shared" si="166"/>
        <v>-172464</v>
      </c>
      <c r="L73" s="16">
        <f t="shared" si="166"/>
        <v>-149231</v>
      </c>
      <c r="M73" s="16">
        <f t="shared" si="166"/>
        <v>218154</v>
      </c>
      <c r="N73" s="16">
        <f t="shared" si="166"/>
        <v>152011</v>
      </c>
      <c r="O73" s="16">
        <f t="shared" si="166"/>
        <v>305028</v>
      </c>
      <c r="P73" s="2">
        <f t="shared" si="151"/>
        <v>-54333</v>
      </c>
      <c r="Q73" s="2"/>
      <c r="R73" s="237">
        <f>ROUND(SUM(AE28:AE29)/SUM(P28:P29),5)</f>
        <v>8.2070000000000004E-2</v>
      </c>
      <c r="S73" s="3">
        <f t="shared" ref="S73:AD73" si="167">$R73*D73</f>
        <v>1038.6779200000001</v>
      </c>
      <c r="T73" s="3">
        <f t="shared" si="167"/>
        <v>-15049.668320000001</v>
      </c>
      <c r="U73" s="3">
        <f t="shared" si="167"/>
        <v>-43850.329280000005</v>
      </c>
      <c r="V73" s="3">
        <f t="shared" si="167"/>
        <v>-7185.0643600000003</v>
      </c>
      <c r="W73" s="3">
        <f t="shared" si="167"/>
        <v>5045.2532500000007</v>
      </c>
      <c r="X73" s="3">
        <f t="shared" si="167"/>
        <v>29417.006660000003</v>
      </c>
      <c r="Y73" s="3">
        <f t="shared" si="167"/>
        <v>-2886.5660400000002</v>
      </c>
      <c r="Z73" s="3">
        <f t="shared" si="167"/>
        <v>-14154.120480000001</v>
      </c>
      <c r="AA73" s="3">
        <f t="shared" si="167"/>
        <v>-12247.38817</v>
      </c>
      <c r="AB73" s="3">
        <f t="shared" si="167"/>
        <v>17903.89878</v>
      </c>
      <c r="AC73" s="20">
        <f t="shared" si="167"/>
        <v>12475.54277</v>
      </c>
      <c r="AD73" s="20">
        <f t="shared" si="167"/>
        <v>25033.647960000002</v>
      </c>
      <c r="AE73" s="3">
        <f t="shared" si="121"/>
        <v>-4459.1093099999998</v>
      </c>
      <c r="AF73" t="s">
        <v>33</v>
      </c>
    </row>
    <row r="74" spans="1:32" x14ac:dyDescent="0.25">
      <c r="A74" t="s">
        <v>299</v>
      </c>
      <c r="B74" t="s">
        <v>26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2">
        <f t="shared" si="151"/>
        <v>0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168">SUM(U34:U36)/SUM(F34:F36)*F74</f>
        <v>0</v>
      </c>
      <c r="V74" s="3">
        <f t="shared" si="168"/>
        <v>0</v>
      </c>
      <c r="W74" s="3">
        <f t="shared" si="168"/>
        <v>0</v>
      </c>
      <c r="X74" s="3">
        <f t="shared" si="168"/>
        <v>0</v>
      </c>
      <c r="Y74" s="3">
        <f t="shared" si="168"/>
        <v>0</v>
      </c>
      <c r="Z74" s="3">
        <f t="shared" si="168"/>
        <v>0</v>
      </c>
      <c r="AA74" s="3">
        <f t="shared" si="168"/>
        <v>0</v>
      </c>
      <c r="AB74" s="3">
        <f t="shared" si="168"/>
        <v>0</v>
      </c>
      <c r="AC74" s="20">
        <f t="shared" ref="AC74" si="169">SUM(AC34:AC36)/SUM(N34:N36)*N74</f>
        <v>0</v>
      </c>
      <c r="AD74" s="20">
        <f t="shared" ref="AD74" si="170">SUM(AD34:AD36)/SUM(O34:O36)*O74</f>
        <v>0</v>
      </c>
      <c r="AE74" s="3">
        <f t="shared" si="121"/>
        <v>0</v>
      </c>
      <c r="AF74" t="s">
        <v>30</v>
      </c>
    </row>
    <row r="75" spans="1:32" x14ac:dyDescent="0.25">
      <c r="B75" t="s">
        <v>27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2">
        <f t="shared" si="151"/>
        <v>0</v>
      </c>
      <c r="Q75" s="2"/>
      <c r="S75" s="3">
        <f>SUM(S34:S36)/SUM(D34:D36)*D75</f>
        <v>0</v>
      </c>
      <c r="T75" s="3">
        <f>-S74</f>
        <v>0</v>
      </c>
      <c r="U75" s="3">
        <f t="shared" ref="U75:AB75" si="171">-T74</f>
        <v>0</v>
      </c>
      <c r="V75" s="3">
        <f t="shared" si="171"/>
        <v>0</v>
      </c>
      <c r="W75" s="3">
        <f t="shared" si="171"/>
        <v>0</v>
      </c>
      <c r="X75" s="3">
        <f t="shared" si="171"/>
        <v>0</v>
      </c>
      <c r="Y75" s="3">
        <f t="shared" si="171"/>
        <v>0</v>
      </c>
      <c r="Z75" s="3">
        <f t="shared" si="171"/>
        <v>0</v>
      </c>
      <c r="AA75" s="3">
        <f t="shared" si="171"/>
        <v>0</v>
      </c>
      <c r="AB75" s="3">
        <f t="shared" si="171"/>
        <v>0</v>
      </c>
      <c r="AC75" s="20">
        <f t="shared" ref="AC75" si="172">-AB74</f>
        <v>0</v>
      </c>
      <c r="AD75" s="20">
        <f t="shared" ref="AD75" si="173">-AC74</f>
        <v>0</v>
      </c>
      <c r="AE75" s="3">
        <f t="shared" si="121"/>
        <v>0</v>
      </c>
      <c r="AF75" t="s">
        <v>31</v>
      </c>
    </row>
    <row r="76" spans="1:32" x14ac:dyDescent="0.25">
      <c r="B76" t="s">
        <v>25</v>
      </c>
      <c r="D76" s="16">
        <f t="shared" ref="D76" si="174">D74+D75</f>
        <v>0</v>
      </c>
      <c r="E76" s="16">
        <f t="shared" ref="E76" si="175">E74+E75</f>
        <v>0</v>
      </c>
      <c r="F76" s="16">
        <f t="shared" ref="F76" si="176">F74+F75</f>
        <v>0</v>
      </c>
      <c r="G76" s="16">
        <f t="shared" ref="G76" si="177">G74+G75</f>
        <v>0</v>
      </c>
      <c r="H76" s="16">
        <f t="shared" ref="H76" si="178">H74+H75</f>
        <v>0</v>
      </c>
      <c r="I76" s="16">
        <f t="shared" ref="I76" si="179">I74+I75</f>
        <v>0</v>
      </c>
      <c r="J76" s="16">
        <f t="shared" ref="J76" si="180">J74+J75</f>
        <v>0</v>
      </c>
      <c r="K76" s="16">
        <f t="shared" ref="K76" si="181">K74+K75</f>
        <v>0</v>
      </c>
      <c r="L76" s="16">
        <f t="shared" ref="L76" si="182">L74+L75</f>
        <v>0</v>
      </c>
      <c r="M76" s="16">
        <f t="shared" ref="M76" si="183">M74+M75</f>
        <v>0</v>
      </c>
      <c r="N76" s="16">
        <f t="shared" ref="N76" si="184">N74+N75</f>
        <v>0</v>
      </c>
      <c r="O76" s="16">
        <f t="shared" ref="O76" si="185">O74+O75</f>
        <v>0</v>
      </c>
      <c r="P76" s="2">
        <f t="shared" si="151"/>
        <v>0</v>
      </c>
      <c r="Q76" s="2"/>
      <c r="R76" s="237">
        <f>ROUND(SUM(AE34:AE36)/SUM(P34:P36),5)</f>
        <v>4.9849999999999998E-2</v>
      </c>
      <c r="S76" s="3">
        <f t="shared" ref="S76:AD76" si="186">$R76*D76</f>
        <v>0</v>
      </c>
      <c r="T76" s="3">
        <f t="shared" si="186"/>
        <v>0</v>
      </c>
      <c r="U76" s="3">
        <f t="shared" si="186"/>
        <v>0</v>
      </c>
      <c r="V76" s="3">
        <f t="shared" si="186"/>
        <v>0</v>
      </c>
      <c r="W76" s="3">
        <f t="shared" si="186"/>
        <v>0</v>
      </c>
      <c r="X76" s="3">
        <f t="shared" si="186"/>
        <v>0</v>
      </c>
      <c r="Y76" s="3">
        <f t="shared" si="186"/>
        <v>0</v>
      </c>
      <c r="Z76" s="3">
        <f t="shared" si="186"/>
        <v>0</v>
      </c>
      <c r="AA76" s="3">
        <f t="shared" si="186"/>
        <v>0</v>
      </c>
      <c r="AB76" s="3">
        <f t="shared" si="186"/>
        <v>0</v>
      </c>
      <c r="AC76" s="20">
        <f t="shared" si="186"/>
        <v>0</v>
      </c>
      <c r="AD76" s="20">
        <f t="shared" si="186"/>
        <v>0</v>
      </c>
      <c r="AE76" s="3">
        <f t="shared" si="121"/>
        <v>0</v>
      </c>
      <c r="AF76" t="s">
        <v>33</v>
      </c>
    </row>
    <row r="77" spans="1:32" x14ac:dyDescent="0.25">
      <c r="A77" t="s">
        <v>41</v>
      </c>
      <c r="B77" t="s">
        <v>26</v>
      </c>
      <c r="D77" s="10">
        <v>1500953</v>
      </c>
      <c r="E77" s="10">
        <v>1677482</v>
      </c>
      <c r="F77" s="10">
        <v>1383352</v>
      </c>
      <c r="G77" s="10">
        <v>1396566</v>
      </c>
      <c r="H77" s="10">
        <v>3175628</v>
      </c>
      <c r="I77" s="10">
        <v>6559713</v>
      </c>
      <c r="J77" s="10">
        <v>7265086</v>
      </c>
      <c r="K77" s="10">
        <v>7055042</v>
      </c>
      <c r="L77" s="10">
        <v>5844965</v>
      </c>
      <c r="M77" s="10">
        <v>4102601</v>
      </c>
      <c r="N77" s="10">
        <v>2145124</v>
      </c>
      <c r="O77" s="10">
        <v>2064812</v>
      </c>
      <c r="P77" s="2">
        <f t="shared" si="151"/>
        <v>44171324</v>
      </c>
      <c r="Q77" s="2"/>
      <c r="S77" s="3">
        <f>SUM(S45:S47)/SUM(D45:D47)*D77</f>
        <v>149205.51656617</v>
      </c>
      <c r="T77" s="3">
        <f>SUM(T45:T47)/SUM(E45:E47)*E77</f>
        <v>164835.66323617168</v>
      </c>
      <c r="U77" s="3">
        <f t="shared" ref="U77:AB77" si="187">SUM(U45:U47)/SUM(F45:F47)*F77</f>
        <v>136610.05542089781</v>
      </c>
      <c r="V77" s="3">
        <f t="shared" si="187"/>
        <v>141142.22537741339</v>
      </c>
      <c r="W77" s="3">
        <f t="shared" si="187"/>
        <v>311840.21451757877</v>
      </c>
      <c r="X77" s="3">
        <f t="shared" si="187"/>
        <v>625087.9946401359</v>
      </c>
      <c r="Y77" s="3">
        <f t="shared" si="187"/>
        <v>674130.8248935974</v>
      </c>
      <c r="Z77" s="3">
        <f t="shared" si="187"/>
        <v>651299.51625704858</v>
      </c>
      <c r="AA77" s="3">
        <f t="shared" si="187"/>
        <v>547183.76822986209</v>
      </c>
      <c r="AB77" s="3">
        <f t="shared" si="187"/>
        <v>398592.80672388588</v>
      </c>
      <c r="AC77" s="20">
        <f t="shared" ref="AC77" si="188">SUM(AC45:AC47)/SUM(N45:N47)*N77</f>
        <v>213175.74150200136</v>
      </c>
      <c r="AD77" s="20">
        <f t="shared" ref="AD77" si="189">SUM(AD45:AD47)/SUM(O45:O47)*O77</f>
        <v>203115.21782186846</v>
      </c>
      <c r="AE77" s="3">
        <f t="shared" si="121"/>
        <v>4216219.5451866314</v>
      </c>
      <c r="AF77" t="s">
        <v>30</v>
      </c>
    </row>
    <row r="78" spans="1:32" x14ac:dyDescent="0.25">
      <c r="B78" t="s">
        <v>27</v>
      </c>
      <c r="D78" s="10">
        <v>-1936911</v>
      </c>
      <c r="E78" s="10">
        <v>-1500953</v>
      </c>
      <c r="F78" s="10">
        <v>-1677482</v>
      </c>
      <c r="G78" s="10">
        <v>-1383352</v>
      </c>
      <c r="H78" s="10">
        <v>-1396566</v>
      </c>
      <c r="I78" s="10">
        <v>-3175628</v>
      </c>
      <c r="J78" s="10">
        <v>-6559713</v>
      </c>
      <c r="K78" s="10">
        <v>-7265086</v>
      </c>
      <c r="L78" s="10">
        <v>-7055042</v>
      </c>
      <c r="M78" s="10">
        <v>-5844965</v>
      </c>
      <c r="N78" s="10">
        <v>-4102601</v>
      </c>
      <c r="O78" s="10">
        <v>-2145124</v>
      </c>
      <c r="P78" s="2">
        <f t="shared" si="151"/>
        <v>-44043423</v>
      </c>
      <c r="Q78" s="2"/>
      <c r="S78" s="3">
        <f>SUM(S45:S47)/SUM(D45:D47)*D78</f>
        <v>-192542.87529169593</v>
      </c>
      <c r="T78" s="3">
        <f>-S77</f>
        <v>-149205.51656617</v>
      </c>
      <c r="U78" s="3">
        <f t="shared" ref="U78:AB78" si="190">-T77</f>
        <v>-164835.66323617168</v>
      </c>
      <c r="V78" s="3">
        <f t="shared" si="190"/>
        <v>-136610.05542089781</v>
      </c>
      <c r="W78" s="3">
        <f t="shared" si="190"/>
        <v>-141142.22537741339</v>
      </c>
      <c r="X78" s="3">
        <f t="shared" si="190"/>
        <v>-311840.21451757877</v>
      </c>
      <c r="Y78" s="3">
        <f t="shared" si="190"/>
        <v>-625087.9946401359</v>
      </c>
      <c r="Z78" s="3">
        <f t="shared" si="190"/>
        <v>-674130.8248935974</v>
      </c>
      <c r="AA78" s="3">
        <f t="shared" si="190"/>
        <v>-651299.51625704858</v>
      </c>
      <c r="AB78" s="3">
        <f t="shared" si="190"/>
        <v>-547183.76822986209</v>
      </c>
      <c r="AC78" s="20">
        <f t="shared" ref="AC78" si="191">-AB77</f>
        <v>-398592.80672388588</v>
      </c>
      <c r="AD78" s="20">
        <f t="shared" ref="AD78" si="192">-AC77</f>
        <v>-213175.74150200136</v>
      </c>
      <c r="AE78" s="3">
        <f t="shared" si="121"/>
        <v>-4205647.2026564581</v>
      </c>
      <c r="AF78" t="s">
        <v>31</v>
      </c>
    </row>
    <row r="79" spans="1:32" x14ac:dyDescent="0.25">
      <c r="B79" t="s">
        <v>25</v>
      </c>
      <c r="D79" s="16">
        <f t="shared" ref="D79" si="193">D77+D78</f>
        <v>-435958</v>
      </c>
      <c r="E79" s="16">
        <f t="shared" ref="E79" si="194">E77+E78</f>
        <v>176529</v>
      </c>
      <c r="F79" s="16">
        <f t="shared" ref="F79" si="195">F77+F78</f>
        <v>-294130</v>
      </c>
      <c r="G79" s="16">
        <f t="shared" ref="G79" si="196">G77+G78</f>
        <v>13214</v>
      </c>
      <c r="H79" s="16">
        <f t="shared" ref="H79" si="197">H77+H78</f>
        <v>1779062</v>
      </c>
      <c r="I79" s="16">
        <f t="shared" ref="I79" si="198">I77+I78</f>
        <v>3384085</v>
      </c>
      <c r="J79" s="16">
        <f t="shared" ref="J79" si="199">J77+J78</f>
        <v>705373</v>
      </c>
      <c r="K79" s="16">
        <f t="shared" ref="K79" si="200">K77+K78</f>
        <v>-210044</v>
      </c>
      <c r="L79" s="16">
        <f t="shared" ref="L79" si="201">L77+L78</f>
        <v>-1210077</v>
      </c>
      <c r="M79" s="16">
        <f t="shared" ref="M79" si="202">M77+M78</f>
        <v>-1742364</v>
      </c>
      <c r="N79" s="16">
        <f t="shared" ref="N79" si="203">N77+N78</f>
        <v>-1957477</v>
      </c>
      <c r="O79" s="16">
        <f t="shared" ref="O79" si="204">O77+O78</f>
        <v>-80312</v>
      </c>
      <c r="P79" s="2">
        <f t="shared" si="151"/>
        <v>127901</v>
      </c>
      <c r="Q79" s="2"/>
      <c r="R79" s="237">
        <f>ROUND(SUM(AE45:AE47)/SUM(P45:P47),5)</f>
        <v>9.5350000000000004E-2</v>
      </c>
      <c r="S79" s="3">
        <f t="shared" ref="S79:AD79" si="205">$R79*D79</f>
        <v>-41568.595300000001</v>
      </c>
      <c r="T79" s="3">
        <f t="shared" si="205"/>
        <v>16832.040150000001</v>
      </c>
      <c r="U79" s="3">
        <f t="shared" si="205"/>
        <v>-28045.2955</v>
      </c>
      <c r="V79" s="3">
        <f t="shared" si="205"/>
        <v>1259.9549</v>
      </c>
      <c r="W79" s="3">
        <f t="shared" si="205"/>
        <v>169633.56170000002</v>
      </c>
      <c r="X79" s="3">
        <f t="shared" si="205"/>
        <v>322672.50475000002</v>
      </c>
      <c r="Y79" s="3">
        <f t="shared" si="205"/>
        <v>67257.315549999999</v>
      </c>
      <c r="Z79" s="3">
        <f t="shared" si="205"/>
        <v>-20027.695400000001</v>
      </c>
      <c r="AA79" s="3">
        <f t="shared" si="205"/>
        <v>-115380.84195</v>
      </c>
      <c r="AB79" s="3">
        <f t="shared" si="205"/>
        <v>-166134.4074</v>
      </c>
      <c r="AC79" s="20">
        <f t="shared" si="205"/>
        <v>-186645.43195</v>
      </c>
      <c r="AD79" s="20">
        <f t="shared" si="205"/>
        <v>-7657.7492000000002</v>
      </c>
      <c r="AE79" s="3">
        <f t="shared" si="121"/>
        <v>12195.360349999964</v>
      </c>
      <c r="AF79" t="s">
        <v>33</v>
      </c>
    </row>
    <row r="80" spans="1:32" x14ac:dyDescent="0.25">
      <c r="A80" t="s">
        <v>42</v>
      </c>
      <c r="B80" t="s">
        <v>26</v>
      </c>
      <c r="D80" s="10">
        <v>145341</v>
      </c>
      <c r="E80" s="10">
        <v>148175</v>
      </c>
      <c r="F80" s="10">
        <v>103939</v>
      </c>
      <c r="G80" s="10">
        <v>106407</v>
      </c>
      <c r="H80" s="10">
        <v>260896</v>
      </c>
      <c r="I80" s="10">
        <v>617006</v>
      </c>
      <c r="J80" s="10">
        <v>804209</v>
      </c>
      <c r="K80" s="10">
        <v>607526</v>
      </c>
      <c r="L80" s="10">
        <v>362226</v>
      </c>
      <c r="M80" s="10">
        <v>247488</v>
      </c>
      <c r="N80" s="10">
        <v>156007</v>
      </c>
      <c r="O80" s="10">
        <v>171479</v>
      </c>
      <c r="P80" s="2">
        <f t="shared" si="151"/>
        <v>3730699</v>
      </c>
      <c r="Q80" s="2"/>
      <c r="S80" s="3">
        <f>SUM(S50:S52)/SUM(D50:D52)*D80</f>
        <v>14255.909910938763</v>
      </c>
      <c r="T80" s="3">
        <f>SUM(T50:T52)/SUM(E50:E52)*E80</f>
        <v>14608.302516849702</v>
      </c>
      <c r="U80" s="3">
        <f t="shared" ref="U80:AB80" si="206">SUM(U50:U52)/SUM(F50:F52)*F80</f>
        <v>10322.581845213761</v>
      </c>
      <c r="V80" s="3">
        <f t="shared" si="206"/>
        <v>10445.465997561603</v>
      </c>
      <c r="W80" s="3">
        <f t="shared" si="206"/>
        <v>25510.897275546471</v>
      </c>
      <c r="X80" s="3">
        <f t="shared" si="206"/>
        <v>58802.434674233496</v>
      </c>
      <c r="Y80" s="3">
        <f t="shared" si="206"/>
        <v>74242.854303655389</v>
      </c>
      <c r="Z80" s="3">
        <f t="shared" si="206"/>
        <v>56468.774401041257</v>
      </c>
      <c r="AA80" s="3">
        <f t="shared" si="206"/>
        <v>34853.078063431662</v>
      </c>
      <c r="AB80" s="3">
        <f t="shared" si="206"/>
        <v>24332.26204086862</v>
      </c>
      <c r="AC80" s="20">
        <f t="shared" ref="AC80" si="207">SUM(AC50:AC52)/SUM(N50:N52)*N80</f>
        <v>15530.635378725163</v>
      </c>
      <c r="AD80" s="20">
        <f t="shared" ref="AD80" si="208">SUM(AD50:AD52)/SUM(O50:O52)*O80</f>
        <v>16750.310033064688</v>
      </c>
      <c r="AE80" s="3">
        <f t="shared" si="121"/>
        <v>356123.50644113059</v>
      </c>
      <c r="AF80" t="s">
        <v>30</v>
      </c>
    </row>
    <row r="81" spans="1:34" x14ac:dyDescent="0.25">
      <c r="B81" t="s">
        <v>27</v>
      </c>
      <c r="D81" s="10">
        <v>-154834</v>
      </c>
      <c r="E81" s="10">
        <v>-145341</v>
      </c>
      <c r="F81" s="10">
        <v>-148175</v>
      </c>
      <c r="G81" s="10">
        <v>-103939</v>
      </c>
      <c r="H81" s="10">
        <v>-106407</v>
      </c>
      <c r="I81" s="10">
        <v>-260896</v>
      </c>
      <c r="J81" s="10">
        <v>-617006</v>
      </c>
      <c r="K81" s="10">
        <v>-804209</v>
      </c>
      <c r="L81" s="10">
        <v>-607526</v>
      </c>
      <c r="M81" s="10">
        <v>-362226</v>
      </c>
      <c r="N81" s="10">
        <v>-247488</v>
      </c>
      <c r="O81" s="10">
        <v>-156007</v>
      </c>
      <c r="P81" s="2">
        <f t="shared" si="151"/>
        <v>-3714054</v>
      </c>
      <c r="Q81" s="2"/>
      <c r="S81" s="3">
        <f>SUM(S50:S52)/SUM(D50:D52)*D81</f>
        <v>-15187.039824621354</v>
      </c>
      <c r="T81" s="3">
        <f>-S80</f>
        <v>-14255.909910938763</v>
      </c>
      <c r="U81" s="3">
        <f t="shared" ref="U81:AB81" si="209">-T80</f>
        <v>-14608.302516849702</v>
      </c>
      <c r="V81" s="3">
        <f t="shared" si="209"/>
        <v>-10322.581845213761</v>
      </c>
      <c r="W81" s="3">
        <f t="shared" si="209"/>
        <v>-10445.465997561603</v>
      </c>
      <c r="X81" s="3">
        <f t="shared" si="209"/>
        <v>-25510.897275546471</v>
      </c>
      <c r="Y81" s="3">
        <f t="shared" si="209"/>
        <v>-58802.434674233496</v>
      </c>
      <c r="Z81" s="3">
        <f t="shared" si="209"/>
        <v>-74242.854303655389</v>
      </c>
      <c r="AA81" s="3">
        <f t="shared" si="209"/>
        <v>-56468.774401041257</v>
      </c>
      <c r="AB81" s="3">
        <f t="shared" si="209"/>
        <v>-34853.078063431662</v>
      </c>
      <c r="AC81" s="20">
        <f t="shared" ref="AC81" si="210">-AB80</f>
        <v>-24332.26204086862</v>
      </c>
      <c r="AD81" s="20">
        <f t="shared" ref="AD81" si="211">-AC80</f>
        <v>-15530.635378725163</v>
      </c>
      <c r="AE81" s="3">
        <f t="shared" si="121"/>
        <v>-354560.23623268725</v>
      </c>
      <c r="AF81" t="s">
        <v>31</v>
      </c>
    </row>
    <row r="82" spans="1:34" x14ac:dyDescent="0.25">
      <c r="B82" t="s">
        <v>25</v>
      </c>
      <c r="D82" s="6">
        <f t="shared" ref="D82" si="212">D80+D81</f>
        <v>-9493</v>
      </c>
      <c r="E82" s="6">
        <f t="shared" ref="E82" si="213">E80+E81</f>
        <v>2834</v>
      </c>
      <c r="F82" s="6">
        <f t="shared" ref="F82" si="214">F80+F81</f>
        <v>-44236</v>
      </c>
      <c r="G82" s="6">
        <f t="shared" ref="G82" si="215">G80+G81</f>
        <v>2468</v>
      </c>
      <c r="H82" s="6">
        <f t="shared" ref="H82" si="216">H80+H81</f>
        <v>154489</v>
      </c>
      <c r="I82" s="6">
        <f t="shared" ref="I82" si="217">I80+I81</f>
        <v>356110</v>
      </c>
      <c r="J82" s="6">
        <f t="shared" ref="J82" si="218">J80+J81</f>
        <v>187203</v>
      </c>
      <c r="K82" s="6">
        <f t="shared" ref="K82" si="219">K80+K81</f>
        <v>-196683</v>
      </c>
      <c r="L82" s="6">
        <f t="shared" ref="L82" si="220">L80+L81</f>
        <v>-245300</v>
      </c>
      <c r="M82" s="6">
        <f t="shared" ref="M82" si="221">M80+M81</f>
        <v>-114738</v>
      </c>
      <c r="N82" s="16">
        <f t="shared" ref="N82" si="222">N80+N81</f>
        <v>-91481</v>
      </c>
      <c r="O82" s="16">
        <f t="shared" ref="O82" si="223">O80+O81</f>
        <v>15472</v>
      </c>
      <c r="P82" s="2">
        <f t="shared" si="151"/>
        <v>16645</v>
      </c>
      <c r="Q82" s="2"/>
      <c r="R82" s="237">
        <f>ROUND(SUM(AE50:AE52)/SUM(P50:P52),5)</f>
        <v>9.5399999999999999E-2</v>
      </c>
      <c r="S82" s="3">
        <f t="shared" ref="S82:AD82" si="224">$R82*D82</f>
        <v>-905.63220000000001</v>
      </c>
      <c r="T82" s="3">
        <f t="shared" si="224"/>
        <v>270.36360000000002</v>
      </c>
      <c r="U82" s="3">
        <f t="shared" si="224"/>
        <v>-4220.1144000000004</v>
      </c>
      <c r="V82" s="3">
        <f t="shared" si="224"/>
        <v>235.44720000000001</v>
      </c>
      <c r="W82" s="3">
        <f t="shared" si="224"/>
        <v>14738.250599999999</v>
      </c>
      <c r="X82" s="3">
        <f t="shared" si="224"/>
        <v>33972.894</v>
      </c>
      <c r="Y82" s="3">
        <f t="shared" si="224"/>
        <v>17859.1662</v>
      </c>
      <c r="Z82" s="3">
        <f t="shared" si="224"/>
        <v>-18763.558199999999</v>
      </c>
      <c r="AA82" s="3">
        <f t="shared" si="224"/>
        <v>-23401.62</v>
      </c>
      <c r="AB82" s="3">
        <f t="shared" si="224"/>
        <v>-10946.0052</v>
      </c>
      <c r="AC82" s="20">
        <f t="shared" si="224"/>
        <v>-8727.2873999999993</v>
      </c>
      <c r="AD82" s="20">
        <f t="shared" si="224"/>
        <v>1476.0288</v>
      </c>
      <c r="AE82" s="3">
        <f t="shared" si="121"/>
        <v>1587.9330000000027</v>
      </c>
      <c r="AF82" t="s">
        <v>33</v>
      </c>
    </row>
    <row r="83" spans="1:34" x14ac:dyDescent="0.25">
      <c r="D83" s="6">
        <f>D58+D61+D64+D67+D70+D73+D76+D79+D82</f>
        <v>-19320708</v>
      </c>
      <c r="E83" s="6">
        <f t="shared" ref="E83:O83" si="225">E58+E61+E64+E67+E70+E73+E76+E79+E82</f>
        <v>-14285180</v>
      </c>
      <c r="F83" s="6">
        <f t="shared" si="225"/>
        <v>-56911278</v>
      </c>
      <c r="G83" s="6">
        <f t="shared" si="225"/>
        <v>-20075454</v>
      </c>
      <c r="H83" s="6">
        <f t="shared" si="225"/>
        <v>27210661</v>
      </c>
      <c r="I83" s="6">
        <f t="shared" si="225"/>
        <v>54126076</v>
      </c>
      <c r="J83" s="6">
        <f t="shared" si="225"/>
        <v>11729120</v>
      </c>
      <c r="K83" s="6">
        <f t="shared" si="225"/>
        <v>-31949383</v>
      </c>
      <c r="L83" s="6">
        <f t="shared" si="225"/>
        <v>-31718927</v>
      </c>
      <c r="M83" s="6">
        <f t="shared" si="225"/>
        <v>-16358899</v>
      </c>
      <c r="N83" s="6">
        <f t="shared" si="225"/>
        <v>27401699</v>
      </c>
      <c r="O83" s="6">
        <f t="shared" si="225"/>
        <v>31319329</v>
      </c>
      <c r="P83" s="2">
        <f t="shared" si="151"/>
        <v>-38832944</v>
      </c>
    </row>
    <row r="84" spans="1:34" x14ac:dyDescent="0.25">
      <c r="A84" t="s">
        <v>34</v>
      </c>
      <c r="B84" t="s">
        <v>28</v>
      </c>
      <c r="D84" s="10">
        <v>15928420</v>
      </c>
      <c r="E84" s="10">
        <v>-10019490</v>
      </c>
      <c r="F84" s="10">
        <v>6294295</v>
      </c>
      <c r="G84" s="10">
        <v>6781339</v>
      </c>
      <c r="H84" s="10">
        <v>4062595</v>
      </c>
      <c r="I84" s="10">
        <v>-55605403</v>
      </c>
      <c r="J84" s="10">
        <v>-53236329</v>
      </c>
      <c r="K84" s="10">
        <v>-6327174</v>
      </c>
      <c r="L84" s="10">
        <v>0</v>
      </c>
      <c r="M84" s="10">
        <v>3337516</v>
      </c>
      <c r="N84" s="10">
        <v>12145302</v>
      </c>
      <c r="O84" s="10">
        <v>-4409522</v>
      </c>
      <c r="P84" s="2">
        <f t="shared" ref="P84:P87" si="226">SUM(D84:O84)</f>
        <v>-81048451</v>
      </c>
      <c r="Q84" s="2"/>
      <c r="R84" s="237">
        <f>ROUND((Q4*R4+Q5*R5+Q6*R6)/SUM(Q4:Q6),5)</f>
        <v>9.6659999999999996E-2</v>
      </c>
      <c r="S84" s="3">
        <f t="shared" ref="S84:AD86" si="227">$R84*D84</f>
        <v>1539641.0771999999</v>
      </c>
      <c r="T84" s="3">
        <f t="shared" si="227"/>
        <v>-968483.90339999995</v>
      </c>
      <c r="U84" s="3">
        <f t="shared" si="227"/>
        <v>608406.55469999998</v>
      </c>
      <c r="V84" s="3">
        <f t="shared" si="227"/>
        <v>655484.22774</v>
      </c>
      <c r="W84" s="3">
        <f t="shared" si="227"/>
        <v>392690.4327</v>
      </c>
      <c r="X84" s="3">
        <f t="shared" si="227"/>
        <v>-5374818.2539799996</v>
      </c>
      <c r="Y84" s="3">
        <f t="shared" si="227"/>
        <v>-5145823.5611399999</v>
      </c>
      <c r="Z84" s="3">
        <f t="shared" si="227"/>
        <v>-611584.63884000003</v>
      </c>
      <c r="AA84" s="3">
        <f t="shared" si="227"/>
        <v>0</v>
      </c>
      <c r="AB84" s="3">
        <f t="shared" si="227"/>
        <v>322604.29655999999</v>
      </c>
      <c r="AC84" s="20">
        <f t="shared" si="227"/>
        <v>1173964.8913199999</v>
      </c>
      <c r="AD84" s="20">
        <f t="shared" si="227"/>
        <v>-426224.39652000001</v>
      </c>
      <c r="AE84" s="3">
        <f t="shared" si="121"/>
        <v>-7834143.2736599986</v>
      </c>
    </row>
    <row r="85" spans="1:34" x14ac:dyDescent="0.25">
      <c r="A85" t="s">
        <v>36</v>
      </c>
      <c r="B85" t="s">
        <v>28</v>
      </c>
      <c r="D85" s="10">
        <v>2022195</v>
      </c>
      <c r="E85" s="10">
        <v>-1272026</v>
      </c>
      <c r="F85" s="10">
        <v>799094</v>
      </c>
      <c r="G85" s="10">
        <v>492321</v>
      </c>
      <c r="H85" s="10">
        <v>371931</v>
      </c>
      <c r="I85" s="10">
        <v>-7223652</v>
      </c>
      <c r="J85" s="10">
        <v>-6627799</v>
      </c>
      <c r="K85" s="10">
        <v>-786254</v>
      </c>
      <c r="L85" s="10">
        <v>0</v>
      </c>
      <c r="M85" s="10">
        <v>259904</v>
      </c>
      <c r="N85" s="10">
        <v>884037</v>
      </c>
      <c r="O85" s="10">
        <v>-563660</v>
      </c>
      <c r="P85" s="2">
        <f t="shared" si="226"/>
        <v>-11643909</v>
      </c>
      <c r="Q85" s="2"/>
      <c r="R85" s="237">
        <f>ROUND((Q12*R12+Q13*R13)/SUM(Q12:Q13),5)</f>
        <v>9.8369999999999999E-2</v>
      </c>
      <c r="S85" s="3">
        <f t="shared" si="227"/>
        <v>198923.32214999999</v>
      </c>
      <c r="T85" s="3">
        <f t="shared" si="227"/>
        <v>-125129.19761999999</v>
      </c>
      <c r="U85" s="3">
        <f t="shared" si="227"/>
        <v>78606.876780000006</v>
      </c>
      <c r="V85" s="3">
        <f t="shared" si="227"/>
        <v>48429.616770000001</v>
      </c>
      <c r="W85" s="3">
        <f t="shared" si="227"/>
        <v>36586.852469999998</v>
      </c>
      <c r="X85" s="3">
        <f t="shared" si="227"/>
        <v>-710590.64723999996</v>
      </c>
      <c r="Y85" s="3">
        <f t="shared" si="227"/>
        <v>-651976.58762999997</v>
      </c>
      <c r="Z85" s="3">
        <f t="shared" si="227"/>
        <v>-77343.805980000005</v>
      </c>
      <c r="AA85" s="3">
        <f t="shared" si="227"/>
        <v>0</v>
      </c>
      <c r="AB85" s="3">
        <f t="shared" si="227"/>
        <v>25566.75648</v>
      </c>
      <c r="AC85" s="20">
        <f t="shared" si="227"/>
        <v>86962.719689999998</v>
      </c>
      <c r="AD85" s="20">
        <f t="shared" si="227"/>
        <v>-55447.234199999999</v>
      </c>
      <c r="AE85" s="3">
        <f t="shared" si="121"/>
        <v>-1145411.3283299999</v>
      </c>
    </row>
    <row r="86" spans="1:34" x14ac:dyDescent="0.25">
      <c r="A86" t="s">
        <v>43</v>
      </c>
      <c r="B86" t="s">
        <v>28</v>
      </c>
      <c r="D86" s="10">
        <v>1414630</v>
      </c>
      <c r="E86" s="10">
        <v>-889848</v>
      </c>
      <c r="F86" s="10">
        <v>559007</v>
      </c>
      <c r="G86" s="10">
        <v>62615</v>
      </c>
      <c r="H86" s="10">
        <v>242976</v>
      </c>
      <c r="I86" s="10">
        <v>-9132228</v>
      </c>
      <c r="J86" s="10">
        <v>-7921847</v>
      </c>
      <c r="K86" s="10">
        <v>-920105</v>
      </c>
      <c r="L86" s="10">
        <v>0</v>
      </c>
      <c r="M86" s="10">
        <v>67758</v>
      </c>
      <c r="N86" s="10">
        <v>96055</v>
      </c>
      <c r="O86" s="10">
        <v>-363250</v>
      </c>
      <c r="P86" s="2">
        <f t="shared" si="226"/>
        <v>-16784237</v>
      </c>
      <c r="Q86" s="2"/>
      <c r="R86" s="237">
        <f>ROUND((Q22*R22+Q23*R23)/SUM(Q22:Q23),5)</f>
        <v>7.825E-2</v>
      </c>
      <c r="S86" s="3">
        <f>$R86*D86</f>
        <v>110694.7975</v>
      </c>
      <c r="T86" s="3">
        <f t="shared" si="227"/>
        <v>-69630.606</v>
      </c>
      <c r="U86" s="3">
        <f t="shared" si="227"/>
        <v>43742.297749999998</v>
      </c>
      <c r="V86" s="3">
        <f t="shared" si="227"/>
        <v>4899.6237499999997</v>
      </c>
      <c r="W86" s="3">
        <f t="shared" si="227"/>
        <v>19012.871999999999</v>
      </c>
      <c r="X86" s="3">
        <f t="shared" si="227"/>
        <v>-714596.84100000001</v>
      </c>
      <c r="Y86" s="3">
        <f t="shared" si="227"/>
        <v>-619884.52775000001</v>
      </c>
      <c r="Z86" s="3">
        <f t="shared" si="227"/>
        <v>-71998.216249999998</v>
      </c>
      <c r="AA86" s="3">
        <f t="shared" si="227"/>
        <v>0</v>
      </c>
      <c r="AB86" s="3">
        <f t="shared" si="227"/>
        <v>5302.0635000000002</v>
      </c>
      <c r="AC86" s="20">
        <f t="shared" si="227"/>
        <v>7516.30375</v>
      </c>
      <c r="AD86" s="20">
        <f t="shared" si="227"/>
        <v>-28424.3125</v>
      </c>
      <c r="AE86" s="3">
        <f t="shared" si="121"/>
        <v>-1313366.5452500002</v>
      </c>
    </row>
    <row r="87" spans="1:34" x14ac:dyDescent="0.25">
      <c r="A87" t="s">
        <v>41</v>
      </c>
      <c r="B87" t="s">
        <v>28</v>
      </c>
      <c r="D87" s="10">
        <v>0</v>
      </c>
      <c r="E87" s="10">
        <v>0</v>
      </c>
      <c r="F87" s="10">
        <v>0</v>
      </c>
      <c r="G87" s="10">
        <v>0</v>
      </c>
      <c r="H87" s="10">
        <v>195689</v>
      </c>
      <c r="I87" s="10">
        <v>-8171521</v>
      </c>
      <c r="J87" s="10">
        <v>-7063716</v>
      </c>
      <c r="K87" s="10">
        <v>-841039</v>
      </c>
      <c r="L87" s="10">
        <v>0</v>
      </c>
      <c r="M87" s="10">
        <v>39735</v>
      </c>
      <c r="N87" s="10">
        <v>0</v>
      </c>
      <c r="O87" s="10">
        <v>0</v>
      </c>
      <c r="P87" s="2">
        <f t="shared" si="226"/>
        <v>-15840852</v>
      </c>
      <c r="Q87" s="2"/>
      <c r="R87" s="237">
        <f>ROUND((Q45*R45+Q46*R46+Q47*R47)/SUM(Q45:Q47),5)</f>
        <v>9.0340000000000004E-2</v>
      </c>
      <c r="S87" s="3">
        <f>$R87*D87</f>
        <v>0</v>
      </c>
      <c r="T87" s="3">
        <f t="shared" ref="T87" si="228">$R87*E87</f>
        <v>0</v>
      </c>
      <c r="U87" s="3">
        <f t="shared" ref="U87" si="229">$R87*F87</f>
        <v>0</v>
      </c>
      <c r="V87" s="3">
        <f t="shared" ref="V87" si="230">$R87*G87</f>
        <v>0</v>
      </c>
      <c r="W87" s="3">
        <f t="shared" ref="W87" si="231">$R87*H87</f>
        <v>17678.544260000002</v>
      </c>
      <c r="X87" s="3">
        <f t="shared" ref="X87" si="232">$R87*I87</f>
        <v>-738215.20714000007</v>
      </c>
      <c r="Y87" s="3">
        <f t="shared" ref="Y87" si="233">$R87*J87</f>
        <v>-638136.10343999998</v>
      </c>
      <c r="Z87" s="3">
        <f t="shared" ref="Z87" si="234">$R87*K87</f>
        <v>-75979.463260000004</v>
      </c>
      <c r="AA87" s="3">
        <f t="shared" ref="AA87" si="235">$R87*L87</f>
        <v>0</v>
      </c>
      <c r="AB87" s="3">
        <f t="shared" ref="AB87" si="236">$R87*M87</f>
        <v>3589.6599000000001</v>
      </c>
      <c r="AC87" s="20">
        <f t="shared" ref="AC87" si="237">$R87*N87</f>
        <v>0</v>
      </c>
      <c r="AD87" s="20">
        <f t="shared" ref="AD87" si="238">$R87*O87</f>
        <v>0</v>
      </c>
      <c r="AE87" s="3">
        <f t="shared" ref="AE87" si="239">SUM(S87:AD87)</f>
        <v>-1431062.56968</v>
      </c>
    </row>
    <row r="89" spans="1:34" x14ac:dyDescent="0.25">
      <c r="A89" t="s">
        <v>45</v>
      </c>
      <c r="C89" t="s">
        <v>53</v>
      </c>
    </row>
    <row r="90" spans="1:34" x14ac:dyDescent="0.25">
      <c r="A90" t="s">
        <v>46</v>
      </c>
      <c r="D90" s="2">
        <f>SUM(D4:D6,D8:D10)+D58+D61+D84</f>
        <v>268635456.26100004</v>
      </c>
      <c r="E90" s="2">
        <f t="shared" ref="E90:O90" si="240">SUM(E4:E6,E8:E10)+E58+E61+E84</f>
        <v>233160373.33700001</v>
      </c>
      <c r="F90" s="2">
        <f t="shared" si="240"/>
        <v>236515907.92900002</v>
      </c>
      <c r="G90" s="2">
        <f t="shared" si="240"/>
        <v>181995250.61200002</v>
      </c>
      <c r="H90" s="2">
        <f t="shared" si="240"/>
        <v>169231812.59300002</v>
      </c>
      <c r="I90" s="2">
        <f t="shared" si="240"/>
        <v>139812845.39500001</v>
      </c>
      <c r="J90" s="2">
        <f t="shared" si="240"/>
        <v>199021607.56387001</v>
      </c>
      <c r="K90" s="2">
        <f t="shared" si="240"/>
        <v>206976888.88211003</v>
      </c>
      <c r="L90" s="2">
        <f t="shared" si="240"/>
        <v>155388556.86899003</v>
      </c>
      <c r="M90" s="2">
        <f t="shared" si="240"/>
        <v>172496758.04615</v>
      </c>
      <c r="N90" s="15">
        <f t="shared" si="240"/>
        <v>223559040.87005997</v>
      </c>
      <c r="O90" s="15">
        <f t="shared" si="240"/>
        <v>275213169.90802997</v>
      </c>
      <c r="P90" s="6">
        <f>SUM(D90:O90)</f>
        <v>2462007668.2662101</v>
      </c>
      <c r="S90" s="3">
        <f>SUM(S3:S10)+S58+S61+S84</f>
        <v>26045610.254322257</v>
      </c>
      <c r="T90" s="3">
        <f t="shared" ref="T90:AD90" si="241">SUM(T3:T10)+T58+T61+T84</f>
        <v>22562771.822629485</v>
      </c>
      <c r="U90" s="3">
        <f t="shared" si="241"/>
        <v>23096134.986477014</v>
      </c>
      <c r="V90" s="3">
        <f t="shared" si="241"/>
        <v>17589942.246700305</v>
      </c>
      <c r="W90" s="3">
        <f t="shared" si="241"/>
        <v>16213166.19228846</v>
      </c>
      <c r="X90" s="3">
        <f t="shared" si="241"/>
        <v>13116775.228034206</v>
      </c>
      <c r="Y90" s="3">
        <f t="shared" si="241"/>
        <v>18812612.166774273</v>
      </c>
      <c r="Z90" s="3">
        <f t="shared" si="241"/>
        <v>19924404.139512625</v>
      </c>
      <c r="AA90" s="3">
        <f t="shared" si="241"/>
        <v>15096002.49845075</v>
      </c>
      <c r="AB90" s="3">
        <f t="shared" si="241"/>
        <v>16477896.85633648</v>
      </c>
      <c r="AC90" s="20">
        <f t="shared" si="241"/>
        <v>21185876.35883759</v>
      </c>
      <c r="AD90" s="20">
        <f t="shared" si="241"/>
        <v>26166635.132989708</v>
      </c>
      <c r="AE90" s="3">
        <f>SUM(S90:AD90)</f>
        <v>236287827.88335317</v>
      </c>
      <c r="AF90" s="3">
        <f>AE90</f>
        <v>236287827.88335317</v>
      </c>
      <c r="AH90" t="s">
        <v>109</v>
      </c>
    </row>
    <row r="91" spans="1:34" x14ac:dyDescent="0.25">
      <c r="A91" t="s">
        <v>296</v>
      </c>
      <c r="D91" s="2">
        <f>SUM(D12:D13,D17:D18)+D64+D67+D85</f>
        <v>58762651.553999998</v>
      </c>
      <c r="E91" s="2">
        <f t="shared" ref="E91:O91" si="242">SUM(E12:E13,E17:E18)+E64+E67+E85</f>
        <v>53408991.884999998</v>
      </c>
      <c r="F91" s="2">
        <f t="shared" si="242"/>
        <v>57096381.821999997</v>
      </c>
      <c r="G91" s="2">
        <f t="shared" si="242"/>
        <v>48416233.672999993</v>
      </c>
      <c r="H91" s="2">
        <f t="shared" si="242"/>
        <v>51044879.298</v>
      </c>
      <c r="I91" s="2">
        <f t="shared" si="242"/>
        <v>52352978.305</v>
      </c>
      <c r="J91" s="2">
        <f t="shared" si="242"/>
        <v>47950531.786260009</v>
      </c>
      <c r="K91" s="2">
        <f t="shared" si="242"/>
        <v>57112353.262349993</v>
      </c>
      <c r="L91" s="2">
        <f t="shared" si="242"/>
        <v>48972822.871010005</v>
      </c>
      <c r="M91" s="2">
        <f t="shared" si="242"/>
        <v>51831128.182659999</v>
      </c>
      <c r="N91" s="15">
        <f t="shared" si="242"/>
        <v>53155961.638080008</v>
      </c>
      <c r="O91" s="15">
        <f t="shared" si="242"/>
        <v>63515238.534980007</v>
      </c>
      <c r="P91" s="6">
        <f t="shared" ref="P91:P95" si="243">SUM(D91:O91)</f>
        <v>643620152.81234002</v>
      </c>
      <c r="S91" s="3">
        <f>SUM(S11:S20)+S64+S67+S85</f>
        <v>7788241.1853599036</v>
      </c>
      <c r="T91" s="3">
        <f t="shared" ref="T91:AD91" si="244">SUM(T11:T20)+T64+T67+T85</f>
        <v>7245752.5353008518</v>
      </c>
      <c r="U91" s="3">
        <f t="shared" si="244"/>
        <v>7822686.5699778907</v>
      </c>
      <c r="V91" s="3">
        <f t="shared" si="244"/>
        <v>6723672.6428073794</v>
      </c>
      <c r="W91" s="3">
        <f t="shared" si="244"/>
        <v>7038099.8504250217</v>
      </c>
      <c r="X91" s="3">
        <f t="shared" si="244"/>
        <v>7352208.2830912089</v>
      </c>
      <c r="Y91" s="3">
        <f t="shared" si="244"/>
        <v>6801855.6319466215</v>
      </c>
      <c r="Z91" s="3">
        <f t="shared" si="244"/>
        <v>7744659.0679618428</v>
      </c>
      <c r="AA91" s="3">
        <f t="shared" si="244"/>
        <v>6789095.7811345113</v>
      </c>
      <c r="AB91" s="3">
        <f t="shared" si="244"/>
        <v>7140173.3181515103</v>
      </c>
      <c r="AC91" s="20">
        <f t="shared" si="244"/>
        <v>7293388.5174780171</v>
      </c>
      <c r="AD91" s="20">
        <f t="shared" si="244"/>
        <v>8492159.5504865199</v>
      </c>
      <c r="AE91" s="3">
        <f t="shared" ref="AE91:AE94" si="245">SUM(S91:AD91)</f>
        <v>88231992.934121281</v>
      </c>
    </row>
    <row r="92" spans="1:34" x14ac:dyDescent="0.25">
      <c r="A92" t="s">
        <v>297</v>
      </c>
      <c r="D92" s="2">
        <f>SUM(D22:D23,D28:D29)+D70+D73+D86</f>
        <v>111817370.345</v>
      </c>
      <c r="E92" s="2">
        <f t="shared" ref="E92:O92" si="246">SUM(E22:E23,E28:E29)+E70+E73+E86</f>
        <v>101016625.774</v>
      </c>
      <c r="F92" s="2">
        <f t="shared" si="246"/>
        <v>110485753.67600001</v>
      </c>
      <c r="G92" s="2">
        <f t="shared" si="246"/>
        <v>102520576.928</v>
      </c>
      <c r="H92" s="2">
        <f t="shared" si="246"/>
        <v>112521729.52300002</v>
      </c>
      <c r="I92" s="2">
        <f t="shared" si="246"/>
        <v>118864973.39299999</v>
      </c>
      <c r="J92" s="2">
        <f t="shared" si="246"/>
        <v>114969330.14708</v>
      </c>
      <c r="K92" s="2">
        <f t="shared" si="246"/>
        <v>112185609.60000001</v>
      </c>
      <c r="L92" s="2">
        <f t="shared" si="246"/>
        <v>108530588.51499999</v>
      </c>
      <c r="M92" s="2">
        <f t="shared" si="246"/>
        <v>74986034.213019997</v>
      </c>
      <c r="N92" s="15">
        <f t="shared" si="246"/>
        <v>111216533.656</v>
      </c>
      <c r="O92" s="15">
        <f t="shared" si="246"/>
        <v>117657455.98399998</v>
      </c>
      <c r="P92" s="6">
        <f t="shared" si="243"/>
        <v>1296772581.7541001</v>
      </c>
      <c r="S92" s="3">
        <f>SUM(S21:S32)+S70+S73+S86</f>
        <v>11866616.776129901</v>
      </c>
      <c r="T92" s="3">
        <f t="shared" ref="T92:AD92" si="247">SUM(T21:T32)+T70+T73+T86</f>
        <v>10891374.181439919</v>
      </c>
      <c r="U92" s="3">
        <f t="shared" si="247"/>
        <v>12186132.605107784</v>
      </c>
      <c r="V92" s="3">
        <f t="shared" si="247"/>
        <v>11210235.733103245</v>
      </c>
      <c r="W92" s="3">
        <f t="shared" si="247"/>
        <v>12063550.945857543</v>
      </c>
      <c r="X92" s="3">
        <f t="shared" si="247"/>
        <v>12859953.376031138</v>
      </c>
      <c r="Y92" s="3">
        <f t="shared" si="247"/>
        <v>12763598.164563175</v>
      </c>
      <c r="Z92" s="3">
        <f t="shared" si="247"/>
        <v>12287813.800313896</v>
      </c>
      <c r="AA92" s="3">
        <f t="shared" si="247"/>
        <v>11843188.989102999</v>
      </c>
      <c r="AB92" s="3">
        <f t="shared" si="247"/>
        <v>8910370.6349772606</v>
      </c>
      <c r="AC92" s="20">
        <f t="shared" si="247"/>
        <v>11931365.727280173</v>
      </c>
      <c r="AD92" s="20">
        <f t="shared" si="247"/>
        <v>12483580.437012019</v>
      </c>
      <c r="AE92" s="3">
        <f t="shared" si="245"/>
        <v>141297781.37091905</v>
      </c>
      <c r="AF92" s="3">
        <f>AE91+AE92+AE94</f>
        <v>245165869.25646645</v>
      </c>
      <c r="AH92" t="s">
        <v>110</v>
      </c>
    </row>
    <row r="93" spans="1:34" x14ac:dyDescent="0.25">
      <c r="A93" t="s">
        <v>298</v>
      </c>
      <c r="D93" s="2">
        <f>SUM(D34:D36)+D76</f>
        <v>84550821.570000008</v>
      </c>
      <c r="E93" s="2">
        <f t="shared" ref="E93:O93" si="248">SUM(E34:E36)+E76</f>
        <v>79534755.620000005</v>
      </c>
      <c r="F93" s="2">
        <f t="shared" si="248"/>
        <v>88913578.342000023</v>
      </c>
      <c r="G93" s="2">
        <f t="shared" si="248"/>
        <v>83737853.36499998</v>
      </c>
      <c r="H93" s="2">
        <f t="shared" si="248"/>
        <v>81398172.859999999</v>
      </c>
      <c r="I93" s="2">
        <f t="shared" si="248"/>
        <v>87645833.030000001</v>
      </c>
      <c r="J93" s="2">
        <f t="shared" si="248"/>
        <v>89295175.189999983</v>
      </c>
      <c r="K93" s="2">
        <f t="shared" si="248"/>
        <v>91978388.570000008</v>
      </c>
      <c r="L93" s="2">
        <f t="shared" si="248"/>
        <v>88302109.879999995</v>
      </c>
      <c r="M93" s="2">
        <f t="shared" si="248"/>
        <v>88954601.505000025</v>
      </c>
      <c r="N93" s="15">
        <f t="shared" si="248"/>
        <v>85883758.59799999</v>
      </c>
      <c r="O93" s="15">
        <f t="shared" si="248"/>
        <v>84390765.531000003</v>
      </c>
      <c r="P93" s="6">
        <f t="shared" si="243"/>
        <v>1034585814.061</v>
      </c>
      <c r="S93" s="3">
        <f>SUM(S33:S40)+S76</f>
        <v>5544863.4418684002</v>
      </c>
      <c r="T93" s="3">
        <f t="shared" ref="T93:AD93" si="249">SUM(T33:T40)+T76</f>
        <v>5289554.9258343987</v>
      </c>
      <c r="U93" s="3">
        <f t="shared" si="249"/>
        <v>5746469.9604050415</v>
      </c>
      <c r="V93" s="3">
        <f t="shared" si="249"/>
        <v>5525687.1142638</v>
      </c>
      <c r="W93" s="3">
        <f t="shared" si="249"/>
        <v>5428070.6638031993</v>
      </c>
      <c r="X93" s="3">
        <f t="shared" si="249"/>
        <v>5868334.3179236008</v>
      </c>
      <c r="Y93" s="3">
        <f t="shared" si="249"/>
        <v>5900709.6002027988</v>
      </c>
      <c r="Z93" s="3">
        <f t="shared" si="249"/>
        <v>6075476.7736084014</v>
      </c>
      <c r="AA93" s="3">
        <f t="shared" si="249"/>
        <v>5876768.8237255998</v>
      </c>
      <c r="AB93" s="3">
        <f t="shared" si="249"/>
        <v>5879716.5379206017</v>
      </c>
      <c r="AC93" s="20">
        <f t="shared" si="249"/>
        <v>5669304.6236077612</v>
      </c>
      <c r="AD93" s="20">
        <f t="shared" si="249"/>
        <v>5647705.9378757197</v>
      </c>
      <c r="AE93" s="3">
        <f t="shared" si="245"/>
        <v>68452662.721039325</v>
      </c>
    </row>
    <row r="94" spans="1:34" x14ac:dyDescent="0.25">
      <c r="A94" t="s">
        <v>50</v>
      </c>
      <c r="D94" s="2">
        <f>SUM(D42,D45:D47,D50:D52)+D79+D82+D87</f>
        <v>3284190.5759999994</v>
      </c>
      <c r="E94" s="2">
        <f t="shared" ref="E94:O94" si="250">SUM(E42,E45:E47,E50:E52)+E79+E82+E87</f>
        <v>4320663.0010000002</v>
      </c>
      <c r="F94" s="2">
        <f t="shared" si="250"/>
        <v>5154506.5809999993</v>
      </c>
      <c r="G94" s="2">
        <f t="shared" si="250"/>
        <v>7877959.0250000004</v>
      </c>
      <c r="H94" s="2">
        <f t="shared" si="250"/>
        <v>17044669.368000001</v>
      </c>
      <c r="I94" s="2">
        <f t="shared" si="250"/>
        <v>17937001.243000001</v>
      </c>
      <c r="J94" s="2">
        <f t="shared" si="250"/>
        <v>22022358.984250002</v>
      </c>
      <c r="K94" s="2">
        <f t="shared" si="250"/>
        <v>28659286.382009998</v>
      </c>
      <c r="L94" s="2">
        <f t="shared" si="250"/>
        <v>22084324.129000001</v>
      </c>
      <c r="M94" s="2">
        <f t="shared" si="250"/>
        <v>10273066.449660001</v>
      </c>
      <c r="N94" s="2">
        <f t="shared" si="250"/>
        <v>3097636.3180100005</v>
      </c>
      <c r="O94" s="2">
        <f t="shared" si="250"/>
        <v>4388693.2050000001</v>
      </c>
      <c r="P94" s="6">
        <f t="shared" si="243"/>
        <v>146144355.26193002</v>
      </c>
      <c r="S94" s="3">
        <f>SUM(S41:S53)+S79+S82</f>
        <v>374920.09035576001</v>
      </c>
      <c r="T94" s="3">
        <f t="shared" ref="T94:AD94" si="251">SUM(T41:T53)+T79+T82</f>
        <v>473047.2468803901</v>
      </c>
      <c r="U94" s="3">
        <f t="shared" si="251"/>
        <v>561370.36199351004</v>
      </c>
      <c r="V94" s="3">
        <f t="shared" si="251"/>
        <v>807627.28575365152</v>
      </c>
      <c r="W94" s="3">
        <f t="shared" si="251"/>
        <v>1630865.6887194584</v>
      </c>
      <c r="X94" s="3">
        <f t="shared" si="251"/>
        <v>2466973.5522419587</v>
      </c>
      <c r="Y94" s="3">
        <f t="shared" si="251"/>
        <v>2690180.4585189</v>
      </c>
      <c r="Z94" s="3">
        <f t="shared" si="251"/>
        <v>2715764.5815412942</v>
      </c>
      <c r="AA94" s="3">
        <f t="shared" si="251"/>
        <v>2064005.4826859694</v>
      </c>
      <c r="AB94" s="3">
        <f t="shared" si="251"/>
        <v>1012381.1967589784</v>
      </c>
      <c r="AC94" s="20">
        <f t="shared" si="251"/>
        <v>356898.42381775781</v>
      </c>
      <c r="AD94" s="20">
        <f t="shared" si="251"/>
        <v>482060.58215848997</v>
      </c>
      <c r="AE94" s="3">
        <f t="shared" si="245"/>
        <v>15636094.951426119</v>
      </c>
      <c r="AF94" s="3">
        <f>AE93+AE95</f>
        <v>75079330.691039324</v>
      </c>
      <c r="AH94" t="s">
        <v>111</v>
      </c>
    </row>
    <row r="95" spans="1:34" x14ac:dyDescent="0.25">
      <c r="A95" t="s">
        <v>51</v>
      </c>
      <c r="D95" s="2">
        <f>D54</f>
        <v>1367409.4060000002</v>
      </c>
      <c r="E95" s="2">
        <f t="shared" ref="E95:O95" si="252">E54</f>
        <v>1307567.3510199999</v>
      </c>
      <c r="F95" s="2">
        <f t="shared" si="252"/>
        <v>1624133.8885300001</v>
      </c>
      <c r="G95" s="2">
        <f t="shared" si="252"/>
        <v>1369850.3106</v>
      </c>
      <c r="H95" s="2">
        <f t="shared" si="252"/>
        <v>1370679.1269300003</v>
      </c>
      <c r="I95" s="2">
        <f t="shared" si="252"/>
        <v>1441647.5807400001</v>
      </c>
      <c r="J95" s="2">
        <f t="shared" si="252"/>
        <v>1425886.875</v>
      </c>
      <c r="K95" s="2">
        <f t="shared" si="252"/>
        <v>1409719.08766</v>
      </c>
      <c r="L95" s="2">
        <f t="shared" si="252"/>
        <v>1458852.825</v>
      </c>
      <c r="M95" s="2">
        <f t="shared" si="252"/>
        <v>1380660.7832200001</v>
      </c>
      <c r="N95" s="15">
        <f t="shared" si="252"/>
        <v>1388563.3329999999</v>
      </c>
      <c r="O95" s="15">
        <f t="shared" si="252"/>
        <v>1468916.83971</v>
      </c>
      <c r="P95" s="6">
        <f t="shared" si="243"/>
        <v>17013887.407410003</v>
      </c>
      <c r="S95" s="3">
        <f>S54</f>
        <v>507537.91</v>
      </c>
      <c r="T95" s="3">
        <f t="shared" ref="T95:AD95" si="253">T54</f>
        <v>554329.1</v>
      </c>
      <c r="U95" s="3">
        <f t="shared" si="253"/>
        <v>555680.56000000006</v>
      </c>
      <c r="V95" s="3">
        <f t="shared" si="253"/>
        <v>549966.18000000005</v>
      </c>
      <c r="W95" s="3">
        <f t="shared" si="253"/>
        <v>556284.05000000005</v>
      </c>
      <c r="X95" s="3">
        <f t="shared" si="253"/>
        <v>553640.88</v>
      </c>
      <c r="Y95" s="3">
        <f t="shared" si="253"/>
        <v>561733.63</v>
      </c>
      <c r="Z95" s="3">
        <f t="shared" si="253"/>
        <v>557835.01</v>
      </c>
      <c r="AA95" s="3">
        <f t="shared" si="253"/>
        <v>561819.51</v>
      </c>
      <c r="AB95" s="3">
        <f>AB54</f>
        <v>563001.84</v>
      </c>
      <c r="AC95" s="20">
        <f t="shared" si="253"/>
        <v>541759.67999999993</v>
      </c>
      <c r="AD95" s="20">
        <f t="shared" si="253"/>
        <v>563079.62</v>
      </c>
      <c r="AE95" s="3">
        <f>SUM(S95:AD95)</f>
        <v>6626667.9699999988</v>
      </c>
    </row>
    <row r="96" spans="1:34" x14ac:dyDescent="0.25">
      <c r="A96" t="s">
        <v>52</v>
      </c>
      <c r="D96" s="8">
        <f>SUM(D90:D95)</f>
        <v>528417899.71200007</v>
      </c>
      <c r="E96" s="8">
        <f t="shared" ref="E96:P96" si="254">SUM(E90:E95)</f>
        <v>472748976.96801996</v>
      </c>
      <c r="F96" s="8">
        <f t="shared" si="254"/>
        <v>499790262.23853004</v>
      </c>
      <c r="G96" s="8">
        <f t="shared" si="254"/>
        <v>425917723.91360003</v>
      </c>
      <c r="H96" s="8">
        <f t="shared" si="254"/>
        <v>432611942.76893008</v>
      </c>
      <c r="I96" s="8">
        <f t="shared" si="254"/>
        <v>418055278.94674003</v>
      </c>
      <c r="J96" s="8">
        <f t="shared" si="254"/>
        <v>474684890.54646003</v>
      </c>
      <c r="K96" s="8">
        <f t="shared" si="254"/>
        <v>498322245.78413004</v>
      </c>
      <c r="L96" s="8">
        <f t="shared" si="254"/>
        <v>424737255.08899999</v>
      </c>
      <c r="M96" s="8">
        <f t="shared" si="254"/>
        <v>399922249.17971003</v>
      </c>
      <c r="N96" s="18">
        <f t="shared" si="254"/>
        <v>478301494.41314995</v>
      </c>
      <c r="O96" s="18">
        <f t="shared" si="254"/>
        <v>546634240.00272</v>
      </c>
      <c r="P96" s="8">
        <f t="shared" si="254"/>
        <v>5600144459.5629902</v>
      </c>
      <c r="Q96" s="25"/>
      <c r="S96" s="7">
        <f>SUM(S90:S95)</f>
        <v>52127789.658036225</v>
      </c>
      <c r="T96" s="7">
        <f t="shared" ref="T96:AD96" si="255">SUM(T90:T95)</f>
        <v>47016829.812085047</v>
      </c>
      <c r="U96" s="7">
        <f t="shared" si="255"/>
        <v>49968475.043961242</v>
      </c>
      <c r="V96" s="7">
        <f t="shared" si="255"/>
        <v>42407131.202628382</v>
      </c>
      <c r="W96" s="7">
        <f t="shared" si="255"/>
        <v>42930037.391093679</v>
      </c>
      <c r="X96" s="7">
        <f t="shared" si="255"/>
        <v>42217885.637322113</v>
      </c>
      <c r="Y96" s="7">
        <f t="shared" si="255"/>
        <v>47530689.652005777</v>
      </c>
      <c r="Z96" s="7">
        <f t="shared" si="255"/>
        <v>49305953.372938052</v>
      </c>
      <c r="AA96" s="7">
        <f t="shared" si="255"/>
        <v>42230881.085099824</v>
      </c>
      <c r="AB96" s="7">
        <f t="shared" si="255"/>
        <v>39983540.384144835</v>
      </c>
      <c r="AC96" s="21">
        <f t="shared" si="255"/>
        <v>46978593.331021301</v>
      </c>
      <c r="AD96" s="21">
        <f t="shared" si="255"/>
        <v>53835221.260522448</v>
      </c>
      <c r="AE96" s="7">
        <f>SUM(AE90:AE95)</f>
        <v>556533027.83085907</v>
      </c>
      <c r="AF96" s="3">
        <f>SUM(AF90:AF95)</f>
        <v>556533027.83085895</v>
      </c>
    </row>
    <row r="97" spans="1:31" x14ac:dyDescent="0.25">
      <c r="D97" s="33">
        <f>D96/$P$96</f>
        <v>9.4357905144688961E-2</v>
      </c>
      <c r="E97" s="33">
        <f t="shared" ref="E97:O97" si="256">E96/$P$96</f>
        <v>8.4417282515049819E-2</v>
      </c>
      <c r="F97" s="33">
        <f t="shared" si="256"/>
        <v>8.9245958893983859E-2</v>
      </c>
      <c r="G97" s="33">
        <f t="shared" si="256"/>
        <v>7.6054774477520654E-2</v>
      </c>
      <c r="H97" s="33">
        <f t="shared" si="256"/>
        <v>7.7250139865622167E-2</v>
      </c>
      <c r="I97" s="33">
        <f t="shared" si="256"/>
        <v>7.4650802665073249E-2</v>
      </c>
      <c r="J97" s="33">
        <f t="shared" si="256"/>
        <v>8.4762972450803942E-2</v>
      </c>
      <c r="K97" s="33">
        <f t="shared" si="256"/>
        <v>8.8983819860785671E-2</v>
      </c>
      <c r="L97" s="33">
        <f t="shared" si="256"/>
        <v>7.584398191080674E-2</v>
      </c>
      <c r="M97" s="33">
        <f t="shared" si="256"/>
        <v>7.1412845162733204E-2</v>
      </c>
      <c r="N97" s="33">
        <f t="shared" si="256"/>
        <v>8.5408777910431694E-2</v>
      </c>
      <c r="O97" s="33">
        <f t="shared" si="256"/>
        <v>9.7610739142500055E-2</v>
      </c>
      <c r="P97" s="34">
        <f>SUM(D97:O97)</f>
        <v>1</v>
      </c>
      <c r="AE97" s="3"/>
    </row>
    <row r="98" spans="1:31" x14ac:dyDescent="0.25">
      <c r="A98" t="s">
        <v>54</v>
      </c>
      <c r="C98" t="s">
        <v>55</v>
      </c>
      <c r="R98" s="236" t="s">
        <v>56</v>
      </c>
    </row>
    <row r="99" spans="1:31" x14ac:dyDescent="0.25">
      <c r="A99" t="s">
        <v>46</v>
      </c>
      <c r="D99" s="2">
        <f>D90/(D3+D7)</f>
        <v>1284.7961444989671</v>
      </c>
      <c r="E99" s="2">
        <f t="shared" ref="E99:M99" si="257">E90/(E3+E7)</f>
        <v>1107.2241718721064</v>
      </c>
      <c r="F99" s="2">
        <f t="shared" si="257"/>
        <v>943.99816373375063</v>
      </c>
      <c r="G99" s="2">
        <f t="shared" si="257"/>
        <v>812.2503519635103</v>
      </c>
      <c r="H99" s="2">
        <f t="shared" si="257"/>
        <v>756.75253474728243</v>
      </c>
      <c r="I99" s="2">
        <f t="shared" si="257"/>
        <v>624.80603027662335</v>
      </c>
      <c r="J99" s="2">
        <f t="shared" si="257"/>
        <v>888.65594247077581</v>
      </c>
      <c r="K99" s="2">
        <f t="shared" si="257"/>
        <v>922.57068876080928</v>
      </c>
      <c r="L99" s="2">
        <f t="shared" si="257"/>
        <v>691.79339439574937</v>
      </c>
      <c r="M99" s="2">
        <f t="shared" si="257"/>
        <v>766.97609233298499</v>
      </c>
      <c r="N99" s="15">
        <f t="shared" ref="N99:O99" si="258">N90/(N3+N7)</f>
        <v>993.73706869448085</v>
      </c>
      <c r="O99" s="15">
        <f t="shared" si="258"/>
        <v>1220.154506676967</v>
      </c>
      <c r="P99" s="2">
        <f t="shared" ref="P99" si="259">P90/(P3+P7)</f>
        <v>915.23427927056946</v>
      </c>
      <c r="S99" s="3">
        <f>S90/(D3+D7)</f>
        <v>124.56769520164838</v>
      </c>
      <c r="T99" s="3">
        <f t="shared" ref="T99:AE99" si="260">T90/(E3+E7)</f>
        <v>107.1453351566831</v>
      </c>
      <c r="U99" s="3">
        <f t="shared" si="260"/>
        <v>92.182843883490975</v>
      </c>
      <c r="V99" s="3">
        <f t="shared" si="260"/>
        <v>78.504448510911246</v>
      </c>
      <c r="W99" s="3">
        <f t="shared" si="260"/>
        <v>72.500284812293842</v>
      </c>
      <c r="X99" s="3">
        <f t="shared" si="260"/>
        <v>58.617219591697754</v>
      </c>
      <c r="Y99" s="3">
        <f t="shared" si="260"/>
        <v>84.000625861877111</v>
      </c>
      <c r="Z99" s="3">
        <f t="shared" si="260"/>
        <v>88.810259683672797</v>
      </c>
      <c r="AA99" s="3">
        <f t="shared" si="260"/>
        <v>67.20774695793618</v>
      </c>
      <c r="AB99" s="3">
        <f t="shared" si="260"/>
        <v>73.266031685985098</v>
      </c>
      <c r="AC99" s="20">
        <f t="shared" si="260"/>
        <v>94.17284395486287</v>
      </c>
      <c r="AD99" s="20">
        <f t="shared" si="260"/>
        <v>116.00948382215374</v>
      </c>
      <c r="AE99" s="3">
        <f t="shared" si="260"/>
        <v>87.838361610596607</v>
      </c>
    </row>
    <row r="100" spans="1:31" x14ac:dyDescent="0.25">
      <c r="A100" t="s">
        <v>296</v>
      </c>
      <c r="D100" s="2">
        <f>D91/(D11+D16)</f>
        <v>1849.8017299083954</v>
      </c>
      <c r="E100" s="2">
        <f t="shared" ref="E100:M100" si="261">E91/(E11+E16)</f>
        <v>1687.9145403261487</v>
      </c>
      <c r="F100" s="2">
        <f t="shared" si="261"/>
        <v>1536.8319827196381</v>
      </c>
      <c r="G100" s="2">
        <f t="shared" si="261"/>
        <v>1440.9164510877649</v>
      </c>
      <c r="H100" s="2">
        <f t="shared" si="261"/>
        <v>1522.1828382537126</v>
      </c>
      <c r="I100" s="2">
        <f t="shared" si="261"/>
        <v>1574.573018887786</v>
      </c>
      <c r="J100" s="2">
        <f t="shared" si="261"/>
        <v>1418.990642349077</v>
      </c>
      <c r="K100" s="2">
        <f t="shared" si="261"/>
        <v>1689.5146509984024</v>
      </c>
      <c r="L100" s="2">
        <f t="shared" si="261"/>
        <v>1445.8202311942018</v>
      </c>
      <c r="M100" s="2">
        <f t="shared" si="261"/>
        <v>1523.6831049963253</v>
      </c>
      <c r="N100" s="15">
        <f t="shared" ref="N100:O100" si="262">N91/(N11+N16)</f>
        <v>1570.7098173299453</v>
      </c>
      <c r="O100" s="15">
        <f t="shared" si="262"/>
        <v>1862.3985026677224</v>
      </c>
      <c r="P100" s="2">
        <f t="shared" ref="P100" si="263">P91/(P11+P16)</f>
        <v>1591.6378638008684</v>
      </c>
      <c r="S100" s="3">
        <f>S91/(D11+D16)</f>
        <v>245.16766409670109</v>
      </c>
      <c r="T100" s="3">
        <f t="shared" ref="T100:AE100" si="264">T91/(E11+E16)</f>
        <v>228.99161036915655</v>
      </c>
      <c r="U100" s="3">
        <f t="shared" si="264"/>
        <v>210.55896237020593</v>
      </c>
      <c r="V100" s="3">
        <f t="shared" si="264"/>
        <v>200.10334938863068</v>
      </c>
      <c r="W100" s="3">
        <f t="shared" si="264"/>
        <v>209.87952079754942</v>
      </c>
      <c r="X100" s="3">
        <f t="shared" si="264"/>
        <v>221.12569650489365</v>
      </c>
      <c r="Y100" s="3">
        <f t="shared" si="264"/>
        <v>201.28597395675371</v>
      </c>
      <c r="Z100" s="3">
        <f t="shared" si="264"/>
        <v>229.10481209211463</v>
      </c>
      <c r="AA100" s="3">
        <f t="shared" si="264"/>
        <v>200.43386222055122</v>
      </c>
      <c r="AB100" s="3">
        <f t="shared" si="264"/>
        <v>209.90014751893202</v>
      </c>
      <c r="AC100" s="20">
        <f t="shared" si="264"/>
        <v>215.51292823940716</v>
      </c>
      <c r="AD100" s="20">
        <f t="shared" si="264"/>
        <v>249.0077278467781</v>
      </c>
      <c r="AE100" s="3">
        <f t="shared" si="264"/>
        <v>218.19295144647873</v>
      </c>
    </row>
    <row r="101" spans="1:31" x14ac:dyDescent="0.25">
      <c r="A101" t="s">
        <v>297</v>
      </c>
      <c r="D101" s="2">
        <f>D92/(D21+D27)</f>
        <v>61202.720495347567</v>
      </c>
      <c r="E101" s="2">
        <f t="shared" ref="E101:M101" si="265">E92/(E21+E27)</f>
        <v>57822.911147109335</v>
      </c>
      <c r="F101" s="2">
        <f t="shared" si="265"/>
        <v>52387.744749170226</v>
      </c>
      <c r="G101" s="2">
        <f t="shared" si="265"/>
        <v>53064.480811594207</v>
      </c>
      <c r="H101" s="2">
        <f t="shared" si="265"/>
        <v>61219.656976605016</v>
      </c>
      <c r="I101" s="2">
        <f t="shared" si="265"/>
        <v>63496.246470619655</v>
      </c>
      <c r="J101" s="2">
        <f t="shared" si="265"/>
        <v>62044.970397776582</v>
      </c>
      <c r="K101" s="2">
        <f t="shared" si="265"/>
        <v>61878.438830667408</v>
      </c>
      <c r="L101" s="2">
        <f t="shared" si="265"/>
        <v>59697.793462596252</v>
      </c>
      <c r="M101" s="2">
        <f t="shared" si="265"/>
        <v>41337.394825259093</v>
      </c>
      <c r="N101" s="15">
        <f t="shared" ref="N101:O101" si="266">N92/(N21+N27)</f>
        <v>62271.295440089591</v>
      </c>
      <c r="O101" s="15">
        <f t="shared" si="266"/>
        <v>66360.663273547645</v>
      </c>
      <c r="P101" s="2">
        <f t="shared" ref="P101" si="267">P92/(P21+P27)</f>
        <v>58460.57982842395</v>
      </c>
      <c r="S101" s="3">
        <f>S92/(D21+D27)</f>
        <v>6495.1378085002198</v>
      </c>
      <c r="T101" s="3">
        <f t="shared" ref="T101:AE101" si="268">T92/(E21+E27)</f>
        <v>6234.3298119289748</v>
      </c>
      <c r="U101" s="3">
        <f t="shared" si="268"/>
        <v>5778.1567591786552</v>
      </c>
      <c r="V101" s="3">
        <f t="shared" si="268"/>
        <v>5802.399447776007</v>
      </c>
      <c r="W101" s="3">
        <f t="shared" si="268"/>
        <v>6563.4118312609053</v>
      </c>
      <c r="X101" s="3">
        <f t="shared" si="268"/>
        <v>6869.6332136918472</v>
      </c>
      <c r="Y101" s="3">
        <f t="shared" si="268"/>
        <v>6888.0724039736506</v>
      </c>
      <c r="Z101" s="3">
        <f t="shared" si="268"/>
        <v>6777.6137894726398</v>
      </c>
      <c r="AA101" s="3">
        <f t="shared" si="268"/>
        <v>6514.4053845451035</v>
      </c>
      <c r="AB101" s="3">
        <f t="shared" si="268"/>
        <v>4912.0014525784236</v>
      </c>
      <c r="AC101" s="20">
        <f t="shared" si="268"/>
        <v>6680.4959279284285</v>
      </c>
      <c r="AD101" s="20">
        <f t="shared" si="268"/>
        <v>7040.9365126971343</v>
      </c>
      <c r="AE101" s="3">
        <f t="shared" si="268"/>
        <v>6369.9297345108216</v>
      </c>
    </row>
    <row r="102" spans="1:31" x14ac:dyDescent="0.25">
      <c r="A102" t="s">
        <v>298</v>
      </c>
      <c r="D102" s="2">
        <f>D93/(D33)</f>
        <v>3676122.6769565223</v>
      </c>
      <c r="E102" s="2">
        <f t="shared" ref="E102:M102" si="269">E93/(E33)</f>
        <v>3458032.8530434784</v>
      </c>
      <c r="F102" s="2">
        <f t="shared" si="269"/>
        <v>3865807.7540000011</v>
      </c>
      <c r="G102" s="2">
        <f t="shared" si="269"/>
        <v>3640776.2332608686</v>
      </c>
      <c r="H102" s="2">
        <f t="shared" si="269"/>
        <v>3539050.9939130433</v>
      </c>
      <c r="I102" s="2">
        <f t="shared" si="269"/>
        <v>3810688.3926086957</v>
      </c>
      <c r="J102" s="2">
        <f t="shared" si="269"/>
        <v>3882398.921304347</v>
      </c>
      <c r="K102" s="2">
        <f t="shared" si="269"/>
        <v>3999060.3726086961</v>
      </c>
      <c r="L102" s="2">
        <f t="shared" si="269"/>
        <v>3839222.1686956519</v>
      </c>
      <c r="M102" s="2">
        <f t="shared" si="269"/>
        <v>3867591.3697826099</v>
      </c>
      <c r="N102" s="15">
        <f t="shared" ref="N102:O102" si="270">N93/(N33)</f>
        <v>3734076.4607826085</v>
      </c>
      <c r="O102" s="15">
        <f t="shared" si="270"/>
        <v>3669163.7187391305</v>
      </c>
      <c r="P102" s="2">
        <f t="shared" ref="P102" si="271">P93/(P33)</f>
        <v>3748499.326307971</v>
      </c>
      <c r="S102" s="3">
        <f>S93/(D33)</f>
        <v>241081.01921166957</v>
      </c>
      <c r="T102" s="3">
        <f t="shared" ref="T102:AE102" si="272">T93/(E33)</f>
        <v>229980.64894932168</v>
      </c>
      <c r="U102" s="3">
        <f t="shared" si="272"/>
        <v>249846.52001761048</v>
      </c>
      <c r="V102" s="3">
        <f t="shared" si="272"/>
        <v>240247.26583755651</v>
      </c>
      <c r="W102" s="3">
        <f t="shared" si="272"/>
        <v>236003.07233926954</v>
      </c>
      <c r="X102" s="3">
        <f t="shared" si="272"/>
        <v>255144.97034450437</v>
      </c>
      <c r="Y102" s="3">
        <f t="shared" si="272"/>
        <v>256552.59131316518</v>
      </c>
      <c r="Z102" s="3">
        <f t="shared" si="272"/>
        <v>264151.1640699305</v>
      </c>
      <c r="AA102" s="3">
        <f t="shared" si="272"/>
        <v>255511.68798806955</v>
      </c>
      <c r="AB102" s="3">
        <f t="shared" si="272"/>
        <v>255639.84947480875</v>
      </c>
      <c r="AC102" s="20">
        <f t="shared" si="272"/>
        <v>246491.5053742505</v>
      </c>
      <c r="AD102" s="20">
        <f t="shared" si="272"/>
        <v>245552.43208155304</v>
      </c>
      <c r="AE102" s="3">
        <f t="shared" si="272"/>
        <v>248016.89391680915</v>
      </c>
    </row>
    <row r="103" spans="1:31" x14ac:dyDescent="0.25">
      <c r="A103" t="s">
        <v>50</v>
      </c>
      <c r="D103" s="2">
        <f>D94/(D41+D44+D49)</f>
        <v>1388.6640913319236</v>
      </c>
      <c r="E103" s="2">
        <f t="shared" ref="E103:M103" si="273">E94/(E41+E44+E49)</f>
        <v>1762.0974718597065</v>
      </c>
      <c r="F103" s="2">
        <f t="shared" si="273"/>
        <v>1876.4130254823442</v>
      </c>
      <c r="G103" s="2">
        <f t="shared" si="273"/>
        <v>3105.2262613322823</v>
      </c>
      <c r="H103" s="2">
        <f t="shared" si="273"/>
        <v>6845.2487421686747</v>
      </c>
      <c r="I103" s="2">
        <f t="shared" si="273"/>
        <v>7003.9052100741901</v>
      </c>
      <c r="J103" s="2">
        <f t="shared" si="273"/>
        <v>8673.6348894249713</v>
      </c>
      <c r="K103" s="2">
        <f t="shared" si="273"/>
        <v>11247.757606754316</v>
      </c>
      <c r="L103" s="2">
        <f t="shared" si="273"/>
        <v>8788.0318857938728</v>
      </c>
      <c r="M103" s="2">
        <f t="shared" si="273"/>
        <v>4063.7129943275322</v>
      </c>
      <c r="N103" s="15">
        <f t="shared" ref="N103:O103" si="274">N94/(N41+N44+N49)</f>
        <v>1232.6447743772385</v>
      </c>
      <c r="O103" s="15">
        <f t="shared" si="274"/>
        <v>1736.0337045094936</v>
      </c>
      <c r="P103" s="2">
        <f t="shared" ref="P103" si="275">P94/(P41+P44+P49)</f>
        <v>4819.9055196705258</v>
      </c>
      <c r="S103" s="3">
        <f>S94/(D41+D44+D49)</f>
        <v>158.52857943161101</v>
      </c>
      <c r="T103" s="3">
        <f t="shared" ref="T103:AE103" si="276">T94/(E41+E44+E49)</f>
        <v>192.92302075056693</v>
      </c>
      <c r="U103" s="3">
        <f t="shared" si="276"/>
        <v>204.35761266600292</v>
      </c>
      <c r="V103" s="3">
        <f t="shared" si="276"/>
        <v>318.33948985165608</v>
      </c>
      <c r="W103" s="3">
        <f t="shared" si="276"/>
        <v>654.96614004797527</v>
      </c>
      <c r="X103" s="3">
        <f t="shared" si="276"/>
        <v>963.28526053961684</v>
      </c>
      <c r="Y103" s="3">
        <f t="shared" si="276"/>
        <v>1059.5433078057897</v>
      </c>
      <c r="Z103" s="3">
        <f t="shared" si="276"/>
        <v>1065.8416725044326</v>
      </c>
      <c r="AA103" s="3">
        <f t="shared" si="276"/>
        <v>821.33127046795437</v>
      </c>
      <c r="AB103" s="3">
        <f t="shared" si="276"/>
        <v>400.46724555339335</v>
      </c>
      <c r="AC103" s="20">
        <f t="shared" si="276"/>
        <v>142.02086104964496</v>
      </c>
      <c r="AD103" s="20">
        <f t="shared" si="276"/>
        <v>190.68852142345332</v>
      </c>
      <c r="AE103" s="3">
        <f t="shared" si="276"/>
        <v>515.68533199518879</v>
      </c>
    </row>
    <row r="104" spans="1:31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9"/>
      <c r="O104" s="19"/>
      <c r="S104" s="9"/>
    </row>
    <row r="106" spans="1:31" x14ac:dyDescent="0.25">
      <c r="A106" t="s">
        <v>116</v>
      </c>
    </row>
    <row r="107" spans="1:31" x14ac:dyDescent="0.25">
      <c r="A107" t="s">
        <v>113</v>
      </c>
    </row>
    <row r="108" spans="1:31" x14ac:dyDescent="0.25">
      <c r="B108" t="s">
        <v>114</v>
      </c>
      <c r="D108" s="30">
        <v>245103.55</v>
      </c>
      <c r="E108" s="30">
        <v>258004.24</v>
      </c>
      <c r="F108" s="30">
        <v>307184.59000000003</v>
      </c>
      <c r="G108" s="30">
        <v>272079.98</v>
      </c>
      <c r="H108" s="30">
        <v>276441.92</v>
      </c>
      <c r="I108" s="30">
        <v>331450.92</v>
      </c>
      <c r="J108" s="30">
        <v>335700.08</v>
      </c>
      <c r="K108" s="30">
        <v>380171.99</v>
      </c>
      <c r="L108" s="30">
        <v>325668.44</v>
      </c>
      <c r="M108" s="30">
        <v>288135.13</v>
      </c>
      <c r="N108" s="30">
        <v>269357.56</v>
      </c>
      <c r="O108" s="30">
        <v>270775.28999999998</v>
      </c>
      <c r="P108" s="28">
        <f>SUM(D108:O108)</f>
        <v>3560073.6899999995</v>
      </c>
    </row>
    <row r="109" spans="1:31" x14ac:dyDescent="0.25">
      <c r="B109" t="s">
        <v>117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265">
        <f>SUM(D109:O109)</f>
        <v>0</v>
      </c>
    </row>
    <row r="110" spans="1:31" x14ac:dyDescent="0.25">
      <c r="B110" t="s">
        <v>115</v>
      </c>
      <c r="D110" s="30">
        <v>7</v>
      </c>
      <c r="E110" s="234">
        <f>D110</f>
        <v>7</v>
      </c>
      <c r="F110" s="234">
        <f t="shared" ref="F110:O111" si="277">E110</f>
        <v>7</v>
      </c>
      <c r="G110" s="234">
        <f t="shared" si="277"/>
        <v>7</v>
      </c>
      <c r="H110" s="234">
        <f t="shared" si="277"/>
        <v>7</v>
      </c>
      <c r="I110" s="234">
        <f t="shared" si="277"/>
        <v>7</v>
      </c>
      <c r="J110" s="234">
        <f t="shared" si="277"/>
        <v>7</v>
      </c>
      <c r="K110" s="234">
        <f t="shared" si="277"/>
        <v>7</v>
      </c>
      <c r="L110" s="234">
        <f t="shared" si="277"/>
        <v>7</v>
      </c>
      <c r="M110" s="30">
        <v>7</v>
      </c>
      <c r="N110" s="234">
        <f t="shared" si="277"/>
        <v>7</v>
      </c>
      <c r="O110" s="234">
        <f t="shared" si="277"/>
        <v>7</v>
      </c>
      <c r="P110" s="14"/>
    </row>
    <row r="111" spans="1:31" x14ac:dyDescent="0.25">
      <c r="B111" t="s">
        <v>118</v>
      </c>
      <c r="D111" s="30">
        <v>0.5</v>
      </c>
      <c r="E111" s="234">
        <f>D111</f>
        <v>0.5</v>
      </c>
      <c r="F111" s="234">
        <f t="shared" si="277"/>
        <v>0.5</v>
      </c>
      <c r="G111" s="234">
        <f t="shared" si="277"/>
        <v>0.5</v>
      </c>
      <c r="H111" s="234">
        <f t="shared" si="277"/>
        <v>0.5</v>
      </c>
      <c r="I111" s="234">
        <f t="shared" si="277"/>
        <v>0.5</v>
      </c>
      <c r="J111" s="234">
        <f t="shared" si="277"/>
        <v>0.5</v>
      </c>
      <c r="K111" s="234">
        <f t="shared" si="277"/>
        <v>0.5</v>
      </c>
      <c r="L111" s="234">
        <f t="shared" si="277"/>
        <v>0.5</v>
      </c>
      <c r="M111" s="30">
        <v>0.5</v>
      </c>
      <c r="N111" s="234">
        <f t="shared" si="277"/>
        <v>0.5</v>
      </c>
      <c r="O111" s="234">
        <f t="shared" si="277"/>
        <v>0.5</v>
      </c>
      <c r="P111" s="14"/>
    </row>
    <row r="112" spans="1:31" x14ac:dyDescent="0.25">
      <c r="A112" t="s">
        <v>119</v>
      </c>
      <c r="N112"/>
      <c r="O112"/>
      <c r="P112" s="14"/>
    </row>
    <row r="113" spans="1:16" x14ac:dyDescent="0.25">
      <c r="B113" t="s">
        <v>114</v>
      </c>
      <c r="D113" s="30">
        <v>10797.72</v>
      </c>
      <c r="E113" s="30">
        <v>10707.35</v>
      </c>
      <c r="F113" s="30">
        <v>12318.62</v>
      </c>
      <c r="G113" s="30">
        <v>8780.3799999999992</v>
      </c>
      <c r="H113" s="30">
        <v>6906.83</v>
      </c>
      <c r="I113" s="30">
        <v>7662.45</v>
      </c>
      <c r="J113" s="30">
        <v>8230.5499999999993</v>
      </c>
      <c r="K113" s="30">
        <v>8902.6</v>
      </c>
      <c r="L113" s="30">
        <v>7941.18</v>
      </c>
      <c r="M113" s="30">
        <v>7441.63</v>
      </c>
      <c r="N113" s="30">
        <v>10350.1</v>
      </c>
      <c r="O113" s="30">
        <v>12954.28</v>
      </c>
      <c r="P113" s="265">
        <f t="shared" ref="P113:P114" si="278">SUM(D113:O113)</f>
        <v>112993.69</v>
      </c>
    </row>
    <row r="114" spans="1:16" x14ac:dyDescent="0.25">
      <c r="B114" t="s">
        <v>117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265">
        <f t="shared" si="278"/>
        <v>0</v>
      </c>
    </row>
    <row r="115" spans="1:16" x14ac:dyDescent="0.25">
      <c r="B115" t="s">
        <v>115</v>
      </c>
      <c r="D115" s="30">
        <v>7</v>
      </c>
      <c r="E115" s="234">
        <f>D115</f>
        <v>7</v>
      </c>
      <c r="F115" s="234">
        <f t="shared" ref="F115:O116" si="279">E115</f>
        <v>7</v>
      </c>
      <c r="G115" s="234">
        <f t="shared" si="279"/>
        <v>7</v>
      </c>
      <c r="H115" s="234">
        <f t="shared" si="279"/>
        <v>7</v>
      </c>
      <c r="I115" s="234">
        <f t="shared" si="279"/>
        <v>7</v>
      </c>
      <c r="J115" s="234">
        <f t="shared" si="279"/>
        <v>7</v>
      </c>
      <c r="K115" s="234">
        <f t="shared" si="279"/>
        <v>7</v>
      </c>
      <c r="L115" s="234">
        <f t="shared" si="279"/>
        <v>7</v>
      </c>
      <c r="M115" s="30">
        <v>7</v>
      </c>
      <c r="N115" s="234">
        <f t="shared" si="279"/>
        <v>7</v>
      </c>
      <c r="O115" s="234">
        <f t="shared" si="279"/>
        <v>7</v>
      </c>
      <c r="P115" s="14"/>
    </row>
    <row r="116" spans="1:16" x14ac:dyDescent="0.25">
      <c r="B116" t="s">
        <v>118</v>
      </c>
      <c r="D116" s="30">
        <v>0.5</v>
      </c>
      <c r="E116" s="234">
        <f>D116</f>
        <v>0.5</v>
      </c>
      <c r="F116" s="234">
        <f t="shared" si="279"/>
        <v>0.5</v>
      </c>
      <c r="G116" s="234">
        <f t="shared" si="279"/>
        <v>0.5</v>
      </c>
      <c r="H116" s="234">
        <f t="shared" si="279"/>
        <v>0.5</v>
      </c>
      <c r="I116" s="234">
        <f t="shared" si="279"/>
        <v>0.5</v>
      </c>
      <c r="J116" s="234">
        <f t="shared" si="279"/>
        <v>0.5</v>
      </c>
      <c r="K116" s="234">
        <f t="shared" si="279"/>
        <v>0.5</v>
      </c>
      <c r="L116" s="234">
        <f t="shared" si="279"/>
        <v>0.5</v>
      </c>
      <c r="M116" s="30">
        <v>0.5</v>
      </c>
      <c r="N116" s="234">
        <f t="shared" si="279"/>
        <v>0.5</v>
      </c>
      <c r="O116" s="234">
        <f t="shared" si="279"/>
        <v>0.5</v>
      </c>
      <c r="P116" s="14"/>
    </row>
    <row r="117" spans="1:16" x14ac:dyDescent="0.25">
      <c r="A117" t="s">
        <v>120</v>
      </c>
      <c r="N117"/>
      <c r="O117"/>
      <c r="P117" s="14"/>
    </row>
    <row r="118" spans="1:16" x14ac:dyDescent="0.25">
      <c r="B118" t="s">
        <v>114</v>
      </c>
      <c r="D118" s="240">
        <v>1306632.17</v>
      </c>
      <c r="E118" s="240">
        <v>1268545.44</v>
      </c>
      <c r="F118" s="240">
        <v>1554125.82</v>
      </c>
      <c r="G118" s="240">
        <v>1359088.71</v>
      </c>
      <c r="H118" s="240">
        <v>1421000.03</v>
      </c>
      <c r="I118" s="240">
        <v>1593822.03</v>
      </c>
      <c r="J118" s="240">
        <v>1865695.92</v>
      </c>
      <c r="K118" s="240">
        <v>1702451.88</v>
      </c>
      <c r="L118" s="240">
        <v>1560680.26</v>
      </c>
      <c r="M118" s="240">
        <v>1482803.61</v>
      </c>
      <c r="N118" s="240">
        <v>1428384.74</v>
      </c>
      <c r="O118" s="240">
        <v>1440864.56</v>
      </c>
      <c r="P118" s="28">
        <f t="shared" ref="P118:P120" si="280">SUM(D118:O118)</f>
        <v>17984095.169999998</v>
      </c>
    </row>
    <row r="119" spans="1:16" x14ac:dyDescent="0.25">
      <c r="B119" t="s">
        <v>117</v>
      </c>
      <c r="D119" s="30">
        <v>11297.8</v>
      </c>
      <c r="E119" s="30">
        <v>11222.08</v>
      </c>
      <c r="F119" s="30">
        <v>14187.22</v>
      </c>
      <c r="G119" s="30">
        <v>13606.19</v>
      </c>
      <c r="H119" s="30">
        <v>16251.77</v>
      </c>
      <c r="I119" s="30">
        <v>15920.15</v>
      </c>
      <c r="J119" s="30">
        <v>16629.54</v>
      </c>
      <c r="K119" s="30">
        <v>16910.59</v>
      </c>
      <c r="L119" s="30">
        <v>16810.29</v>
      </c>
      <c r="M119" s="30">
        <v>18010.36</v>
      </c>
      <c r="N119" s="30">
        <v>14216.72</v>
      </c>
      <c r="O119" s="30">
        <v>12459.73</v>
      </c>
      <c r="P119" s="265">
        <f t="shared" si="280"/>
        <v>177522.44</v>
      </c>
    </row>
    <row r="120" spans="1:16" x14ac:dyDescent="0.25">
      <c r="B120" t="s">
        <v>121</v>
      </c>
      <c r="D120" s="30">
        <v>-3894.86</v>
      </c>
      <c r="E120" s="30">
        <v>-4875.96</v>
      </c>
      <c r="F120" s="30">
        <v>-5098.18</v>
      </c>
      <c r="G120" s="30">
        <v>-4195.1899999999996</v>
      </c>
      <c r="H120" s="30">
        <v>-4974.09</v>
      </c>
      <c r="I120" s="30">
        <v>-5098.93</v>
      </c>
      <c r="J120" s="30">
        <v>-6345.9</v>
      </c>
      <c r="K120" s="30">
        <v>-6099.51</v>
      </c>
      <c r="L120" s="30">
        <v>-5453.15</v>
      </c>
      <c r="M120" s="30">
        <v>-4850.97</v>
      </c>
      <c r="N120" s="30">
        <v>-4494.59</v>
      </c>
      <c r="O120" s="30">
        <v>-4932.4799999999996</v>
      </c>
      <c r="P120" s="265">
        <f t="shared" si="280"/>
        <v>-60313.81</v>
      </c>
    </row>
    <row r="121" spans="1:16" x14ac:dyDescent="0.25">
      <c r="B121" t="s">
        <v>115</v>
      </c>
      <c r="D121" s="30">
        <v>7</v>
      </c>
      <c r="E121" s="234">
        <f>D121</f>
        <v>7</v>
      </c>
      <c r="F121" s="234">
        <f t="shared" ref="F121:O123" si="281">E121</f>
        <v>7</v>
      </c>
      <c r="G121" s="234">
        <f t="shared" si="281"/>
        <v>7</v>
      </c>
      <c r="H121" s="234">
        <f t="shared" si="281"/>
        <v>7</v>
      </c>
      <c r="I121" s="234">
        <f t="shared" si="281"/>
        <v>7</v>
      </c>
      <c r="J121" s="234">
        <f t="shared" si="281"/>
        <v>7</v>
      </c>
      <c r="K121" s="234">
        <f t="shared" si="281"/>
        <v>7</v>
      </c>
      <c r="L121" s="234">
        <f t="shared" si="281"/>
        <v>7</v>
      </c>
      <c r="M121" s="30">
        <v>7</v>
      </c>
      <c r="N121" s="234">
        <f>M121</f>
        <v>7</v>
      </c>
      <c r="O121" s="234">
        <f t="shared" si="281"/>
        <v>7</v>
      </c>
      <c r="P121" s="14"/>
    </row>
    <row r="122" spans="1:16" x14ac:dyDescent="0.25">
      <c r="B122" t="s">
        <v>118</v>
      </c>
      <c r="D122" s="30">
        <v>0.5</v>
      </c>
      <c r="E122" s="234">
        <f>D122</f>
        <v>0.5</v>
      </c>
      <c r="F122" s="234">
        <f t="shared" si="281"/>
        <v>0.5</v>
      </c>
      <c r="G122" s="234">
        <f t="shared" si="281"/>
        <v>0.5</v>
      </c>
      <c r="H122" s="234">
        <f t="shared" si="281"/>
        <v>0.5</v>
      </c>
      <c r="I122" s="234">
        <f t="shared" si="281"/>
        <v>0.5</v>
      </c>
      <c r="J122" s="234">
        <f t="shared" si="281"/>
        <v>0.5</v>
      </c>
      <c r="K122" s="234">
        <f t="shared" si="281"/>
        <v>0.5</v>
      </c>
      <c r="L122" s="234">
        <f t="shared" si="281"/>
        <v>0.5</v>
      </c>
      <c r="M122" s="30">
        <v>0.5</v>
      </c>
      <c r="N122" s="234">
        <f t="shared" si="281"/>
        <v>0.5</v>
      </c>
      <c r="O122" s="234">
        <f t="shared" si="281"/>
        <v>0.5</v>
      </c>
      <c r="P122" s="14"/>
    </row>
    <row r="123" spans="1:16" x14ac:dyDescent="0.25">
      <c r="B123" t="s">
        <v>122</v>
      </c>
      <c r="D123" s="30">
        <v>-0.2</v>
      </c>
      <c r="E123" s="234">
        <f>D123</f>
        <v>-0.2</v>
      </c>
      <c r="F123" s="234">
        <f t="shared" si="281"/>
        <v>-0.2</v>
      </c>
      <c r="G123" s="234">
        <f t="shared" si="281"/>
        <v>-0.2</v>
      </c>
      <c r="H123" s="234">
        <f t="shared" si="281"/>
        <v>-0.2</v>
      </c>
      <c r="I123" s="234">
        <f t="shared" si="281"/>
        <v>-0.2</v>
      </c>
      <c r="J123" s="234">
        <f t="shared" si="281"/>
        <v>-0.2</v>
      </c>
      <c r="K123" s="234">
        <f t="shared" si="281"/>
        <v>-0.2</v>
      </c>
      <c r="L123" s="234">
        <f t="shared" si="281"/>
        <v>-0.2</v>
      </c>
      <c r="M123" s="30">
        <v>-0.2</v>
      </c>
      <c r="N123" s="234">
        <f t="shared" si="281"/>
        <v>-0.2</v>
      </c>
      <c r="O123" s="234">
        <f t="shared" si="281"/>
        <v>-0.2</v>
      </c>
      <c r="P123" s="14"/>
    </row>
    <row r="124" spans="1:16" x14ac:dyDescent="0.25">
      <c r="A124" t="s">
        <v>123</v>
      </c>
      <c r="N124"/>
      <c r="O124"/>
    </row>
    <row r="125" spans="1:16" x14ac:dyDescent="0.25">
      <c r="B125" t="s">
        <v>114</v>
      </c>
      <c r="D125" s="30">
        <v>32202.76</v>
      </c>
      <c r="E125" s="30">
        <v>36227.14</v>
      </c>
      <c r="F125" s="30">
        <v>34737.64</v>
      </c>
      <c r="G125" s="30">
        <v>27611.01</v>
      </c>
      <c r="H125" s="30">
        <v>21023.200000000001</v>
      </c>
      <c r="I125" s="30">
        <v>24372.6</v>
      </c>
      <c r="J125" s="30">
        <v>31202.65</v>
      </c>
      <c r="K125" s="30">
        <v>27564.02</v>
      </c>
      <c r="L125" s="30">
        <v>23555.9</v>
      </c>
      <c r="M125" s="30">
        <v>21864.23</v>
      </c>
      <c r="N125" s="30">
        <v>24775.73</v>
      </c>
      <c r="O125" s="30">
        <v>30303.919999999998</v>
      </c>
      <c r="P125" s="28">
        <f t="shared" ref="P125:P127" si="282">SUM(D125:O125)</f>
        <v>335440.79999999993</v>
      </c>
    </row>
    <row r="126" spans="1:16" x14ac:dyDescent="0.25">
      <c r="B126" t="s">
        <v>117</v>
      </c>
      <c r="D126" s="30"/>
      <c r="E126" s="30"/>
      <c r="F126" s="30"/>
      <c r="G126" s="30"/>
      <c r="H126" s="30">
        <v>15.46</v>
      </c>
      <c r="I126" s="30">
        <v>14.59</v>
      </c>
      <c r="J126" s="30">
        <v>20.57</v>
      </c>
      <c r="K126" s="30">
        <v>39.9</v>
      </c>
      <c r="L126" s="30">
        <v>28.4</v>
      </c>
      <c r="M126" s="30">
        <v>27.25</v>
      </c>
      <c r="N126" s="30">
        <v>15.86</v>
      </c>
      <c r="O126" s="30">
        <v>0</v>
      </c>
      <c r="P126" s="28">
        <f t="shared" si="282"/>
        <v>162.03000000000003</v>
      </c>
    </row>
    <row r="127" spans="1:16" x14ac:dyDescent="0.25">
      <c r="B127" t="s">
        <v>121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28">
        <f t="shared" si="282"/>
        <v>0</v>
      </c>
    </row>
    <row r="128" spans="1:16" x14ac:dyDescent="0.25">
      <c r="B128" t="s">
        <v>115</v>
      </c>
      <c r="D128" s="30">
        <v>7</v>
      </c>
      <c r="E128" s="234">
        <f>D128</f>
        <v>7</v>
      </c>
      <c r="F128" s="234">
        <f t="shared" ref="F128:O130" si="283">E128</f>
        <v>7</v>
      </c>
      <c r="G128" s="234">
        <f t="shared" si="283"/>
        <v>7</v>
      </c>
      <c r="H128" s="234">
        <f t="shared" si="283"/>
        <v>7</v>
      </c>
      <c r="I128" s="234">
        <f t="shared" si="283"/>
        <v>7</v>
      </c>
      <c r="J128" s="234">
        <f t="shared" si="283"/>
        <v>7</v>
      </c>
      <c r="K128" s="234">
        <f t="shared" si="283"/>
        <v>7</v>
      </c>
      <c r="L128" s="234">
        <f t="shared" si="283"/>
        <v>7</v>
      </c>
      <c r="M128" s="30">
        <v>7</v>
      </c>
      <c r="N128" s="234">
        <f t="shared" si="283"/>
        <v>7</v>
      </c>
      <c r="O128" s="234">
        <f t="shared" si="283"/>
        <v>7</v>
      </c>
    </row>
    <row r="129" spans="1:17" x14ac:dyDescent="0.25">
      <c r="B129" t="s">
        <v>118</v>
      </c>
      <c r="D129" s="30">
        <v>0.5</v>
      </c>
      <c r="E129" s="234">
        <f>D129</f>
        <v>0.5</v>
      </c>
      <c r="F129" s="234">
        <f t="shared" si="283"/>
        <v>0.5</v>
      </c>
      <c r="G129" s="234">
        <f t="shared" si="283"/>
        <v>0.5</v>
      </c>
      <c r="H129" s="234">
        <f t="shared" si="283"/>
        <v>0.5</v>
      </c>
      <c r="I129" s="234">
        <f t="shared" si="283"/>
        <v>0.5</v>
      </c>
      <c r="J129" s="234">
        <f t="shared" si="283"/>
        <v>0.5</v>
      </c>
      <c r="K129" s="234">
        <f t="shared" si="283"/>
        <v>0.5</v>
      </c>
      <c r="L129" s="234">
        <f t="shared" si="283"/>
        <v>0.5</v>
      </c>
      <c r="M129" s="30">
        <f t="shared" si="283"/>
        <v>0.5</v>
      </c>
      <c r="N129" s="234">
        <f t="shared" si="283"/>
        <v>0.5</v>
      </c>
      <c r="O129" s="234">
        <f t="shared" si="283"/>
        <v>0.5</v>
      </c>
    </row>
    <row r="130" spans="1:17" x14ac:dyDescent="0.25">
      <c r="B130" t="s">
        <v>122</v>
      </c>
      <c r="D130" s="30">
        <v>-0.2</v>
      </c>
      <c r="E130" s="234">
        <f>D130</f>
        <v>-0.2</v>
      </c>
      <c r="F130" s="234">
        <f t="shared" si="283"/>
        <v>-0.2</v>
      </c>
      <c r="G130" s="234">
        <f t="shared" si="283"/>
        <v>-0.2</v>
      </c>
      <c r="H130" s="234">
        <f t="shared" si="283"/>
        <v>-0.2</v>
      </c>
      <c r="I130" s="234">
        <f t="shared" si="283"/>
        <v>-0.2</v>
      </c>
      <c r="J130" s="234">
        <f t="shared" si="283"/>
        <v>-0.2</v>
      </c>
      <c r="K130" s="234">
        <f t="shared" si="283"/>
        <v>-0.2</v>
      </c>
      <c r="L130" s="234">
        <f t="shared" si="283"/>
        <v>-0.2</v>
      </c>
      <c r="M130" s="30">
        <f t="shared" si="283"/>
        <v>-0.2</v>
      </c>
      <c r="N130" s="234">
        <f t="shared" si="283"/>
        <v>-0.2</v>
      </c>
      <c r="O130" s="234">
        <f t="shared" si="283"/>
        <v>-0.2</v>
      </c>
    </row>
    <row r="131" spans="1:17" x14ac:dyDescent="0.25">
      <c r="A131" t="s">
        <v>49</v>
      </c>
      <c r="N131"/>
      <c r="O131"/>
    </row>
    <row r="132" spans="1:17" x14ac:dyDescent="0.25">
      <c r="B132" t="s">
        <v>114</v>
      </c>
      <c r="D132" s="30">
        <v>739307.73</v>
      </c>
      <c r="E132" s="30">
        <v>774119.29</v>
      </c>
      <c r="F132" s="30">
        <v>753806.07</v>
      </c>
      <c r="G132" s="30">
        <v>755592.44</v>
      </c>
      <c r="H132" s="30">
        <v>787555.08</v>
      </c>
      <c r="I132" s="30">
        <v>786563.67</v>
      </c>
      <c r="J132" s="30">
        <v>884949.53</v>
      </c>
      <c r="K132" s="30">
        <v>871829.04</v>
      </c>
      <c r="L132" s="30">
        <v>928627.41</v>
      </c>
      <c r="M132" s="30">
        <v>903101.27</v>
      </c>
      <c r="N132" s="30">
        <v>879341</v>
      </c>
      <c r="O132" s="30">
        <v>824974.95</v>
      </c>
      <c r="P132" s="28">
        <f t="shared" ref="P132:P135" si="284">SUM(D132:O132)</f>
        <v>9889767.4800000004</v>
      </c>
      <c r="Q132" s="2"/>
    </row>
    <row r="133" spans="1:17" x14ac:dyDescent="0.25">
      <c r="B133" t="s">
        <v>124</v>
      </c>
      <c r="D133" s="30">
        <v>-14978.59</v>
      </c>
      <c r="E133" s="30">
        <v>-15189.57</v>
      </c>
      <c r="F133" s="30">
        <v>-15578.24</v>
      </c>
      <c r="G133" s="30">
        <v>-15567.99</v>
      </c>
      <c r="H133" s="30">
        <v>-15187.1</v>
      </c>
      <c r="I133" s="30">
        <v>-15645.84</v>
      </c>
      <c r="J133" s="30">
        <v>-17414.169999999998</v>
      </c>
      <c r="K133" s="30">
        <v>-16881.07</v>
      </c>
      <c r="L133" s="30">
        <v>-17010.060000000001</v>
      </c>
      <c r="M133" s="30">
        <v>-16692.099999999999</v>
      </c>
      <c r="N133" s="30">
        <v>-16290.01</v>
      </c>
      <c r="O133" s="30">
        <v>-15315.5</v>
      </c>
      <c r="P133" s="28">
        <f t="shared" si="284"/>
        <v>-191750.24000000002</v>
      </c>
      <c r="Q133" s="2"/>
    </row>
    <row r="134" spans="1:17" x14ac:dyDescent="0.25">
      <c r="B134" t="s">
        <v>126</v>
      </c>
      <c r="D134" s="30">
        <v>-16362.37</v>
      </c>
      <c r="E134" s="30">
        <v>-13516.28</v>
      </c>
      <c r="F134" s="30">
        <v>-14817.9</v>
      </c>
      <c r="G134" s="30">
        <v>-13962.51</v>
      </c>
      <c r="H134" s="30">
        <v>-18562.98</v>
      </c>
      <c r="I134" s="30">
        <v>-14632.25</v>
      </c>
      <c r="J134" s="30">
        <v>-14450.34</v>
      </c>
      <c r="K134" s="30">
        <v>-15074.34</v>
      </c>
      <c r="L134" s="30">
        <v>-15103.12</v>
      </c>
      <c r="M134" s="30">
        <v>-18142.14</v>
      </c>
      <c r="N134" s="30">
        <v>-17435.34</v>
      </c>
      <c r="O134" s="30">
        <v>-15584.83</v>
      </c>
      <c r="P134" s="28">
        <f t="shared" si="284"/>
        <v>-187644.39999999997</v>
      </c>
      <c r="Q134" s="2"/>
    </row>
    <row r="135" spans="1:17" x14ac:dyDescent="0.25">
      <c r="B135" t="s">
        <v>128</v>
      </c>
      <c r="D135" s="30">
        <v>-99857.33</v>
      </c>
      <c r="E135" s="30">
        <v>-109461.32</v>
      </c>
      <c r="F135" s="30">
        <v>-97401.45</v>
      </c>
      <c r="G135" s="30">
        <v>-98184.25</v>
      </c>
      <c r="H135" s="30">
        <v>-101391.78</v>
      </c>
      <c r="I135" s="30">
        <v>-98322.92</v>
      </c>
      <c r="J135" s="30">
        <v>-101995.13</v>
      </c>
      <c r="K135" s="30">
        <v>-102171.52</v>
      </c>
      <c r="L135" s="30">
        <v>-101587.46</v>
      </c>
      <c r="M135" s="30">
        <v>-98104.68</v>
      </c>
      <c r="N135" s="30">
        <v>-98480.39</v>
      </c>
      <c r="O135" s="30">
        <v>-98591.12</v>
      </c>
      <c r="P135" s="28">
        <f t="shared" si="284"/>
        <v>-1205549.3500000001</v>
      </c>
      <c r="Q135" s="2"/>
    </row>
    <row r="136" spans="1:17" x14ac:dyDescent="0.25">
      <c r="B136" t="s">
        <v>115</v>
      </c>
      <c r="D136" s="30">
        <v>8.3000000000000007</v>
      </c>
      <c r="E136" s="234">
        <f t="shared" ref="E136:L139" si="285">D136</f>
        <v>8.3000000000000007</v>
      </c>
      <c r="F136" s="234">
        <f t="shared" si="285"/>
        <v>8.3000000000000007</v>
      </c>
      <c r="G136" s="234">
        <f t="shared" si="285"/>
        <v>8.3000000000000007</v>
      </c>
      <c r="H136" s="234">
        <f t="shared" si="285"/>
        <v>8.3000000000000007</v>
      </c>
      <c r="I136" s="31">
        <f t="shared" si="285"/>
        <v>8.3000000000000007</v>
      </c>
      <c r="J136" s="31">
        <f t="shared" si="285"/>
        <v>8.3000000000000007</v>
      </c>
      <c r="K136" s="31">
        <f t="shared" si="285"/>
        <v>8.3000000000000007</v>
      </c>
      <c r="L136" s="31">
        <f t="shared" si="285"/>
        <v>8.3000000000000007</v>
      </c>
      <c r="M136" s="30">
        <v>8.3000000000000007</v>
      </c>
      <c r="N136" s="31">
        <f t="shared" ref="N136:O139" si="286">M136</f>
        <v>8.3000000000000007</v>
      </c>
      <c r="O136" s="31">
        <f t="shared" si="286"/>
        <v>8.3000000000000007</v>
      </c>
    </row>
    <row r="137" spans="1:17" x14ac:dyDescent="0.25">
      <c r="B137" t="s">
        <v>125</v>
      </c>
      <c r="D137" s="30">
        <v>-0.2</v>
      </c>
      <c r="E137" s="234">
        <f t="shared" si="285"/>
        <v>-0.2</v>
      </c>
      <c r="F137" s="234">
        <f t="shared" si="285"/>
        <v>-0.2</v>
      </c>
      <c r="G137" s="234">
        <f t="shared" si="285"/>
        <v>-0.2</v>
      </c>
      <c r="H137" s="234">
        <f t="shared" si="285"/>
        <v>-0.2</v>
      </c>
      <c r="I137" s="31">
        <f t="shared" si="285"/>
        <v>-0.2</v>
      </c>
      <c r="J137" s="31">
        <f t="shared" si="285"/>
        <v>-0.2</v>
      </c>
      <c r="K137" s="31">
        <f t="shared" si="285"/>
        <v>-0.2</v>
      </c>
      <c r="L137" s="31">
        <f t="shared" si="285"/>
        <v>-0.2</v>
      </c>
      <c r="M137" s="30">
        <v>-0.2</v>
      </c>
      <c r="N137" s="31">
        <f t="shared" si="286"/>
        <v>-0.2</v>
      </c>
      <c r="O137" s="31">
        <f t="shared" si="286"/>
        <v>-0.2</v>
      </c>
    </row>
    <row r="138" spans="1:17" x14ac:dyDescent="0.25">
      <c r="B138" t="s">
        <v>127</v>
      </c>
      <c r="D138" s="30">
        <v>-1.52</v>
      </c>
      <c r="E138" s="234">
        <f t="shared" si="285"/>
        <v>-1.52</v>
      </c>
      <c r="F138" s="234">
        <f t="shared" si="285"/>
        <v>-1.52</v>
      </c>
      <c r="G138" s="234">
        <f t="shared" si="285"/>
        <v>-1.52</v>
      </c>
      <c r="H138" s="234">
        <f t="shared" si="285"/>
        <v>-1.52</v>
      </c>
      <c r="I138" s="31">
        <f t="shared" si="285"/>
        <v>-1.52</v>
      </c>
      <c r="J138" s="31">
        <f t="shared" si="285"/>
        <v>-1.52</v>
      </c>
      <c r="K138" s="31">
        <f t="shared" si="285"/>
        <v>-1.52</v>
      </c>
      <c r="L138" s="31">
        <f t="shared" si="285"/>
        <v>-1.52</v>
      </c>
      <c r="M138" s="30">
        <v>-1.52</v>
      </c>
      <c r="N138" s="31">
        <f t="shared" si="286"/>
        <v>-1.52</v>
      </c>
      <c r="O138" s="31">
        <f t="shared" si="286"/>
        <v>-1.52</v>
      </c>
    </row>
    <row r="139" spans="1:17" x14ac:dyDescent="0.25">
      <c r="B139" t="s">
        <v>129</v>
      </c>
      <c r="D139" s="30">
        <v>-1.93</v>
      </c>
      <c r="E139" s="234">
        <f t="shared" si="285"/>
        <v>-1.93</v>
      </c>
      <c r="F139" s="234">
        <f t="shared" si="285"/>
        <v>-1.93</v>
      </c>
      <c r="G139" s="234">
        <f t="shared" si="285"/>
        <v>-1.93</v>
      </c>
      <c r="H139" s="234">
        <f t="shared" si="285"/>
        <v>-1.93</v>
      </c>
      <c r="I139" s="31">
        <f t="shared" si="285"/>
        <v>-1.93</v>
      </c>
      <c r="J139" s="31">
        <f t="shared" si="285"/>
        <v>-1.93</v>
      </c>
      <c r="K139" s="31">
        <f t="shared" si="285"/>
        <v>-1.93</v>
      </c>
      <c r="L139" s="31">
        <f t="shared" si="285"/>
        <v>-1.93</v>
      </c>
      <c r="M139" s="30">
        <v>-1.93</v>
      </c>
      <c r="N139" s="31">
        <f t="shared" si="286"/>
        <v>-1.93</v>
      </c>
      <c r="O139" s="31">
        <f t="shared" si="286"/>
        <v>-1.93</v>
      </c>
    </row>
    <row r="140" spans="1:17" x14ac:dyDescent="0.25">
      <c r="A140" t="s">
        <v>132</v>
      </c>
      <c r="D140" s="14"/>
      <c r="E140" s="14"/>
    </row>
    <row r="141" spans="1:17" x14ac:dyDescent="0.25">
      <c r="B141" t="s">
        <v>117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28">
        <f t="shared" ref="P141" si="287">SUM(D141:O141)</f>
        <v>0</v>
      </c>
    </row>
    <row r="142" spans="1:17" x14ac:dyDescent="0.25">
      <c r="B142" t="s">
        <v>118</v>
      </c>
      <c r="D142" s="30">
        <v>0.5</v>
      </c>
      <c r="E142" s="235">
        <f>D142</f>
        <v>0.5</v>
      </c>
      <c r="F142" s="32">
        <f t="shared" ref="F142:O142" si="288">E142</f>
        <v>0.5</v>
      </c>
      <c r="G142" s="32">
        <f t="shared" si="288"/>
        <v>0.5</v>
      </c>
      <c r="H142" s="32">
        <f t="shared" si="288"/>
        <v>0.5</v>
      </c>
      <c r="I142" s="32">
        <f t="shared" si="288"/>
        <v>0.5</v>
      </c>
      <c r="J142" s="32">
        <f t="shared" si="288"/>
        <v>0.5</v>
      </c>
      <c r="K142" s="32">
        <f t="shared" si="288"/>
        <v>0.5</v>
      </c>
      <c r="L142" s="32">
        <f t="shared" si="288"/>
        <v>0.5</v>
      </c>
      <c r="M142" s="32">
        <f t="shared" si="288"/>
        <v>0.5</v>
      </c>
      <c r="N142" s="32">
        <f t="shared" si="288"/>
        <v>0.5</v>
      </c>
      <c r="O142" s="32">
        <f t="shared" si="288"/>
        <v>0.5</v>
      </c>
    </row>
    <row r="143" spans="1:17" x14ac:dyDescent="0.25">
      <c r="A143" t="s">
        <v>130</v>
      </c>
      <c r="D143" s="14"/>
      <c r="E143" s="14"/>
    </row>
    <row r="144" spans="1:17" x14ac:dyDescent="0.25">
      <c r="B144" t="s">
        <v>117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28">
        <f t="shared" ref="P144" si="289">SUM(D144:O144)</f>
        <v>0</v>
      </c>
    </row>
    <row r="145" spans="1:16" x14ac:dyDescent="0.25">
      <c r="B145" t="s">
        <v>118</v>
      </c>
      <c r="D145" s="30">
        <v>0.5</v>
      </c>
      <c r="E145" s="235">
        <f>D145</f>
        <v>0.5</v>
      </c>
      <c r="F145" s="32">
        <f t="shared" ref="F145:O145" si="290">E145</f>
        <v>0.5</v>
      </c>
      <c r="G145" s="32">
        <f t="shared" si="290"/>
        <v>0.5</v>
      </c>
      <c r="H145" s="32">
        <f t="shared" si="290"/>
        <v>0.5</v>
      </c>
      <c r="I145" s="32">
        <f t="shared" si="290"/>
        <v>0.5</v>
      </c>
      <c r="J145" s="32">
        <f t="shared" si="290"/>
        <v>0.5</v>
      </c>
      <c r="K145" s="32">
        <f t="shared" si="290"/>
        <v>0.5</v>
      </c>
      <c r="L145" s="32">
        <f t="shared" si="290"/>
        <v>0.5</v>
      </c>
      <c r="M145" s="32">
        <f t="shared" si="290"/>
        <v>0.5</v>
      </c>
      <c r="N145" s="32">
        <f t="shared" si="290"/>
        <v>0.5</v>
      </c>
      <c r="O145" s="32">
        <f t="shared" si="290"/>
        <v>0.5</v>
      </c>
    </row>
    <row r="146" spans="1:16" x14ac:dyDescent="0.25">
      <c r="A146" t="s">
        <v>131</v>
      </c>
      <c r="D146" s="14"/>
      <c r="E146" s="14"/>
    </row>
    <row r="147" spans="1:16" x14ac:dyDescent="0.25">
      <c r="B147" t="s">
        <v>117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28">
        <f t="shared" ref="P147" si="291">SUM(D147:O147)</f>
        <v>0</v>
      </c>
    </row>
    <row r="148" spans="1:16" x14ac:dyDescent="0.25">
      <c r="B148" t="s">
        <v>118</v>
      </c>
      <c r="D148" s="30">
        <v>0.5</v>
      </c>
      <c r="E148" s="235">
        <f>D148</f>
        <v>0.5</v>
      </c>
      <c r="F148" s="32">
        <f t="shared" ref="F148:O148" si="292">E148</f>
        <v>0.5</v>
      </c>
      <c r="G148" s="32">
        <f t="shared" si="292"/>
        <v>0.5</v>
      </c>
      <c r="H148" s="32">
        <f t="shared" si="292"/>
        <v>0.5</v>
      </c>
      <c r="I148" s="32">
        <f t="shared" si="292"/>
        <v>0.5</v>
      </c>
      <c r="J148" s="32">
        <f t="shared" si="292"/>
        <v>0.5</v>
      </c>
      <c r="K148" s="32">
        <f t="shared" si="292"/>
        <v>0.5</v>
      </c>
      <c r="L148" s="32">
        <f t="shared" si="292"/>
        <v>0.5</v>
      </c>
      <c r="M148" s="32">
        <f t="shared" si="292"/>
        <v>0.5</v>
      </c>
      <c r="N148" s="32">
        <f t="shared" si="292"/>
        <v>0.5</v>
      </c>
      <c r="O148" s="32">
        <f t="shared" si="292"/>
        <v>0.5</v>
      </c>
    </row>
    <row r="149" spans="1:16" x14ac:dyDescent="0.25">
      <c r="D149" s="14"/>
      <c r="E149" s="14"/>
    </row>
    <row r="150" spans="1:16" x14ac:dyDescent="0.25">
      <c r="D150" s="14"/>
      <c r="E150" s="14"/>
    </row>
    <row r="151" spans="1:16" x14ac:dyDescent="0.25">
      <c r="D151" s="14"/>
      <c r="E151" s="14"/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4" max="16383" man="1"/>
    <brk id="103" max="15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09"/>
  <sheetViews>
    <sheetView workbookViewId="0">
      <selection activeCell="F31" sqref="F31"/>
    </sheetView>
  </sheetViews>
  <sheetFormatPr defaultRowHeight="15" x14ac:dyDescent="0.25"/>
  <cols>
    <col min="2" max="2" width="21.28515625" customWidth="1"/>
    <col min="3" max="4" width="11.85546875" customWidth="1"/>
    <col min="5" max="5" width="1.7109375" customWidth="1"/>
    <col min="6" max="6" width="11.85546875" customWidth="1"/>
    <col min="7" max="7" width="12.140625" customWidth="1"/>
    <col min="8" max="8" width="11.85546875" customWidth="1"/>
    <col min="9" max="10" width="11.7109375" customWidth="1"/>
    <col min="11" max="11" width="11.85546875" customWidth="1"/>
    <col min="12" max="12" width="12.140625" customWidth="1"/>
    <col min="13" max="14" width="11.7109375" customWidth="1"/>
    <col min="15" max="16" width="11.85546875" customWidth="1"/>
    <col min="17" max="17" width="12" customWidth="1"/>
    <col min="18" max="18" width="13.5703125" customWidth="1"/>
    <col min="20" max="20" width="11.28515625" customWidth="1"/>
    <col min="21" max="21" width="12.85546875" customWidth="1"/>
  </cols>
  <sheetData>
    <row r="1" spans="1:22" x14ac:dyDescent="0.25">
      <c r="A1" s="153" t="s">
        <v>250</v>
      </c>
      <c r="B1" s="154"/>
      <c r="C1" s="153"/>
      <c r="D1" s="153"/>
      <c r="E1" s="155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6" t="s">
        <v>134</v>
      </c>
      <c r="U1" s="157">
        <f>T2</f>
        <v>500000</v>
      </c>
    </row>
    <row r="2" spans="1:22" x14ac:dyDescent="0.25">
      <c r="A2" s="37" t="s">
        <v>289</v>
      </c>
      <c r="B2" s="155"/>
      <c r="C2" s="155"/>
      <c r="D2" s="155"/>
      <c r="E2" s="155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8" t="s">
        <v>135</v>
      </c>
      <c r="S2" s="154"/>
      <c r="T2" s="159">
        <v>500000</v>
      </c>
      <c r="U2" s="160">
        <v>99999999</v>
      </c>
    </row>
    <row r="3" spans="1:22" x14ac:dyDescent="0.25">
      <c r="A3" s="161" t="s">
        <v>251</v>
      </c>
      <c r="B3" s="154"/>
      <c r="C3" s="44" t="s">
        <v>137</v>
      </c>
      <c r="D3" s="45" t="s">
        <v>138</v>
      </c>
      <c r="E3" s="45"/>
      <c r="F3" s="162">
        <v>43466</v>
      </c>
      <c r="G3" s="162">
        <f>F3+31</f>
        <v>43497</v>
      </c>
      <c r="H3" s="162">
        <f t="shared" ref="H3:Q3" si="0">G3+31</f>
        <v>43528</v>
      </c>
      <c r="I3" s="162">
        <f t="shared" si="0"/>
        <v>43559</v>
      </c>
      <c r="J3" s="162">
        <f t="shared" si="0"/>
        <v>43590</v>
      </c>
      <c r="K3" s="162">
        <f t="shared" si="0"/>
        <v>43621</v>
      </c>
      <c r="L3" s="162">
        <f t="shared" si="0"/>
        <v>43652</v>
      </c>
      <c r="M3" s="162">
        <f t="shared" si="0"/>
        <v>43683</v>
      </c>
      <c r="N3" s="162">
        <f t="shared" si="0"/>
        <v>43714</v>
      </c>
      <c r="O3" s="162">
        <f t="shared" si="0"/>
        <v>43745</v>
      </c>
      <c r="P3" s="162">
        <f t="shared" si="0"/>
        <v>43776</v>
      </c>
      <c r="Q3" s="162">
        <f t="shared" si="0"/>
        <v>43807</v>
      </c>
      <c r="R3" s="158" t="s">
        <v>13</v>
      </c>
      <c r="S3" s="154"/>
      <c r="T3" s="163" t="s">
        <v>140</v>
      </c>
      <c r="U3" s="163" t="s">
        <v>140</v>
      </c>
    </row>
    <row r="4" spans="1:22" x14ac:dyDescent="0.25">
      <c r="A4" s="158">
        <v>1</v>
      </c>
      <c r="B4" s="155" t="s">
        <v>256</v>
      </c>
      <c r="C4" s="164">
        <v>2037100000</v>
      </c>
      <c r="D4" s="164">
        <v>2030021058</v>
      </c>
      <c r="E4" s="165"/>
      <c r="F4" s="166">
        <v>3788529.57</v>
      </c>
      <c r="G4" s="166">
        <v>3409321.51</v>
      </c>
      <c r="H4" s="166">
        <v>3780129.26</v>
      </c>
      <c r="I4" s="166">
        <v>3740885.05</v>
      </c>
      <c r="J4" s="166">
        <v>3673838.45</v>
      </c>
      <c r="K4" s="166">
        <v>3699048.59</v>
      </c>
      <c r="L4" s="166">
        <v>3625105.7</v>
      </c>
      <c r="M4" s="166">
        <v>3765962.06</v>
      </c>
      <c r="N4" s="166">
        <v>3480502.79</v>
      </c>
      <c r="O4" s="166">
        <v>4134308.09</v>
      </c>
      <c r="P4" s="166">
        <v>3842897.28</v>
      </c>
      <c r="Q4" s="166">
        <v>3771199.7</v>
      </c>
      <c r="R4" s="167">
        <f t="shared" ref="R4:R12" si="1">SUM(F4:Q4)</f>
        <v>44711728.049999997</v>
      </c>
      <c r="S4" s="154"/>
      <c r="T4" s="168">
        <f>T$2*12-SUMPRODUCT(--($F4:$Q4&lt;=T$2),T$2-$F4:$Q4)</f>
        <v>6000000</v>
      </c>
      <c r="U4" s="168">
        <f>U$2*12-SUM($S4:T4)-SUMPRODUCT(--($F4:$Q4&lt;=U$2),U$2-$F4:$Q4)</f>
        <v>38711728.049999952</v>
      </c>
    </row>
    <row r="5" spans="1:22" x14ac:dyDescent="0.25">
      <c r="A5" s="158">
        <v>2</v>
      </c>
      <c r="B5" s="155" t="s">
        <v>267</v>
      </c>
      <c r="C5" s="164">
        <v>3037100000</v>
      </c>
      <c r="D5" s="164">
        <v>3030021570</v>
      </c>
      <c r="E5" s="165"/>
      <c r="F5" s="169">
        <v>3269541.6</v>
      </c>
      <c r="G5" s="169">
        <v>3282148.8</v>
      </c>
      <c r="H5" s="169">
        <v>3458052</v>
      </c>
      <c r="I5" s="169">
        <v>3322584</v>
      </c>
      <c r="J5" s="169">
        <v>3064327.2</v>
      </c>
      <c r="K5" s="169">
        <v>3070562.4</v>
      </c>
      <c r="L5" s="169">
        <v>3255480</v>
      </c>
      <c r="M5" s="169">
        <v>3178152</v>
      </c>
      <c r="N5" s="169">
        <v>3040617.6</v>
      </c>
      <c r="O5" s="169">
        <v>3539505.6</v>
      </c>
      <c r="P5" s="169">
        <v>3195316.8</v>
      </c>
      <c r="Q5" s="169">
        <v>3168856.8</v>
      </c>
      <c r="R5" s="167">
        <f t="shared" si="1"/>
        <v>38845144.799999997</v>
      </c>
      <c r="S5" s="154"/>
      <c r="T5" s="168">
        <f>T$2*12-SUMPRODUCT(--($F5:$Q5&lt;=T$2),T$2-$F5:$Q5)</f>
        <v>6000000</v>
      </c>
      <c r="U5" s="168">
        <f>U$2*12-SUM($S5:T5)-SUMPRODUCT(--($F5:$Q5&lt;=U$2),U$2-$F5:$Q5)</f>
        <v>32845144.799999952</v>
      </c>
    </row>
    <row r="6" spans="1:22" x14ac:dyDescent="0.25">
      <c r="A6" s="158">
        <v>3</v>
      </c>
      <c r="B6" s="155" t="s">
        <v>270</v>
      </c>
      <c r="C6" s="164">
        <v>4037100000</v>
      </c>
      <c r="D6" s="164">
        <v>4030024940</v>
      </c>
      <c r="E6" s="165"/>
      <c r="F6" s="166">
        <v>2001190.8</v>
      </c>
      <c r="G6" s="166">
        <v>1873586.4</v>
      </c>
      <c r="H6" s="166">
        <v>1953008.4</v>
      </c>
      <c r="I6" s="166">
        <v>1881037.2</v>
      </c>
      <c r="J6" s="166">
        <v>1818003.6</v>
      </c>
      <c r="K6" s="166">
        <v>1816298.4</v>
      </c>
      <c r="L6" s="166">
        <v>2075707.2</v>
      </c>
      <c r="M6" s="166">
        <v>2294964</v>
      </c>
      <c r="N6" s="166">
        <v>1784428.8</v>
      </c>
      <c r="O6" s="166">
        <v>1438390.8</v>
      </c>
      <c r="P6" s="166">
        <v>1296170.3999999999</v>
      </c>
      <c r="Q6" s="166">
        <v>1365520.8</v>
      </c>
      <c r="R6" s="167">
        <f t="shared" si="1"/>
        <v>21598306.800000001</v>
      </c>
      <c r="S6" s="154"/>
      <c r="T6" s="168">
        <f t="shared" ref="T6:T15" si="2">T$2*12-SUMPRODUCT(--($F6:$Q6&lt;=T$2),T$2-$F6:$Q6)</f>
        <v>6000000</v>
      </c>
      <c r="U6" s="168">
        <f>U$2*12-SUM($S6:T6)-SUMPRODUCT(--($F6:$Q6&lt;=U$2),U$2-$F6:$Q6)</f>
        <v>15598306.799999952</v>
      </c>
    </row>
    <row r="7" spans="1:22" x14ac:dyDescent="0.25">
      <c r="A7" s="222">
        <v>4</v>
      </c>
      <c r="B7" s="223" t="s">
        <v>264</v>
      </c>
      <c r="C7" s="224">
        <v>2125850000</v>
      </c>
      <c r="D7" s="224">
        <v>2120030888</v>
      </c>
      <c r="E7" s="225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9">
        <f t="shared" si="1"/>
        <v>0</v>
      </c>
      <c r="S7" s="220"/>
      <c r="T7" s="221">
        <f t="shared" si="2"/>
        <v>0</v>
      </c>
      <c r="U7" s="221">
        <f>U$2*12-SUM($S7:T7)-SUMPRODUCT(--($F7:$Q7&lt;=U$2),U$2-$F7:$Q7)</f>
        <v>0</v>
      </c>
      <c r="V7" t="s">
        <v>276</v>
      </c>
    </row>
    <row r="8" spans="1:22" x14ac:dyDescent="0.25">
      <c r="A8" s="158">
        <v>5</v>
      </c>
      <c r="B8" s="155" t="s">
        <v>269</v>
      </c>
      <c r="C8" s="164">
        <v>3324950000</v>
      </c>
      <c r="D8" s="164">
        <v>3320059979</v>
      </c>
      <c r="E8" s="165"/>
      <c r="F8" s="166">
        <v>2862476.4</v>
      </c>
      <c r="G8" s="166">
        <v>2601303.6</v>
      </c>
      <c r="H8" s="166">
        <v>2830730</v>
      </c>
      <c r="I8" s="166">
        <v>2692799.2</v>
      </c>
      <c r="J8" s="166">
        <v>2865301.6</v>
      </c>
      <c r="K8" s="166">
        <v>2781161.6</v>
      </c>
      <c r="L8" s="166">
        <v>2828086.8</v>
      </c>
      <c r="M8" s="166">
        <v>2865410.8</v>
      </c>
      <c r="N8" s="166">
        <v>2677446.7999999998</v>
      </c>
      <c r="O8" s="166">
        <v>2746506</v>
      </c>
      <c r="P8" s="166">
        <v>2683447.2000000002</v>
      </c>
      <c r="Q8" s="166">
        <v>2798143.6</v>
      </c>
      <c r="R8" s="167">
        <f t="shared" si="1"/>
        <v>33232813.600000001</v>
      </c>
      <c r="S8" s="154"/>
      <c r="T8" s="168">
        <f t="shared" si="2"/>
        <v>6000000</v>
      </c>
      <c r="U8" s="168">
        <f>U$2*12-SUM($S8:T8)-SUMPRODUCT(--($F8:$Q8&lt;=U$2),U$2-$F8:$Q8)</f>
        <v>27232813.599999905</v>
      </c>
    </row>
    <row r="9" spans="1:22" x14ac:dyDescent="0.25">
      <c r="A9" s="158">
        <v>6</v>
      </c>
      <c r="B9" s="155" t="s">
        <v>270</v>
      </c>
      <c r="C9" s="164">
        <v>4147950000</v>
      </c>
      <c r="D9" s="164">
        <v>4140055674</v>
      </c>
      <c r="E9" s="165"/>
      <c r="F9" s="166">
        <v>2099647.2000000002</v>
      </c>
      <c r="G9" s="166">
        <v>1947372</v>
      </c>
      <c r="H9" s="166">
        <v>2073881.6000000001</v>
      </c>
      <c r="I9" s="166">
        <v>1916829.6</v>
      </c>
      <c r="J9" s="166">
        <v>1854496</v>
      </c>
      <c r="K9" s="166">
        <v>1758344</v>
      </c>
      <c r="L9" s="166">
        <v>1845944.8</v>
      </c>
      <c r="M9" s="166">
        <v>1896731.2</v>
      </c>
      <c r="N9" s="166">
        <v>2142336</v>
      </c>
      <c r="O9" s="166">
        <v>2482317.6</v>
      </c>
      <c r="P9" s="166">
        <v>2441616.7999999998</v>
      </c>
      <c r="Q9" s="166">
        <v>2505574.3999999999</v>
      </c>
      <c r="R9" s="167">
        <f t="shared" si="1"/>
        <v>24965091.199999999</v>
      </c>
      <c r="S9" s="154"/>
      <c r="T9" s="168">
        <f t="shared" si="2"/>
        <v>6000000</v>
      </c>
      <c r="U9" s="168">
        <f>U$2*12-SUM($S9:T9)-SUMPRODUCT(--($F9:$Q9&lt;=U$2),U$2-$F9:$Q9)</f>
        <v>18965091.200000048</v>
      </c>
    </row>
    <row r="10" spans="1:22" x14ac:dyDescent="0.25">
      <c r="A10" s="158">
        <v>7</v>
      </c>
      <c r="B10" s="155" t="s">
        <v>266</v>
      </c>
      <c r="C10" s="164">
        <v>9888560000</v>
      </c>
      <c r="D10" s="164">
        <v>9880375571</v>
      </c>
      <c r="E10" s="165"/>
      <c r="F10" s="166">
        <v>2145913.0499999998</v>
      </c>
      <c r="G10" s="166">
        <v>2131712.9</v>
      </c>
      <c r="H10" s="166">
        <v>2326691.81</v>
      </c>
      <c r="I10" s="166">
        <v>2213386.96</v>
      </c>
      <c r="J10" s="166">
        <v>2144379.4300000002</v>
      </c>
      <c r="K10" s="166">
        <v>2069674.1</v>
      </c>
      <c r="L10" s="166">
        <v>2059177.03</v>
      </c>
      <c r="M10" s="166">
        <v>2142382.7000000002</v>
      </c>
      <c r="N10" s="166">
        <v>1950632.91</v>
      </c>
      <c r="O10" s="166">
        <v>2391202.3199999998</v>
      </c>
      <c r="P10" s="166">
        <v>2185083.21</v>
      </c>
      <c r="Q10" s="166">
        <v>2132404.87</v>
      </c>
      <c r="R10" s="167">
        <f t="shared" si="1"/>
        <v>25892641.289999999</v>
      </c>
      <c r="S10" s="154"/>
      <c r="T10" s="168">
        <f t="shared" si="2"/>
        <v>6000000</v>
      </c>
      <c r="U10" s="168">
        <f>U$2*12-SUM($S10:T10)-SUMPRODUCT(--($F10:$Q10&lt;=U$2),U$2-$F10:$Q10)</f>
        <v>19892641.289999962</v>
      </c>
    </row>
    <row r="11" spans="1:22" x14ac:dyDescent="0.25">
      <c r="A11" s="158">
        <v>8</v>
      </c>
      <c r="B11" s="155" t="s">
        <v>273</v>
      </c>
      <c r="C11" s="164">
        <v>9500610000</v>
      </c>
      <c r="D11" s="164">
        <v>9500430648</v>
      </c>
      <c r="E11" s="165"/>
      <c r="F11" s="166">
        <v>4353485.8</v>
      </c>
      <c r="G11" s="166">
        <v>4237782.2</v>
      </c>
      <c r="H11" s="166">
        <v>4427606.5999999996</v>
      </c>
      <c r="I11" s="166">
        <v>4572682.5999999996</v>
      </c>
      <c r="J11" s="166">
        <v>4425364.8</v>
      </c>
      <c r="K11" s="166">
        <v>4393052</v>
      </c>
      <c r="L11" s="166">
        <v>4543425.4000000004</v>
      </c>
      <c r="M11" s="166">
        <v>4460041.8</v>
      </c>
      <c r="N11" s="166">
        <v>4448237.2</v>
      </c>
      <c r="O11" s="166">
        <v>4786175.5999999996</v>
      </c>
      <c r="P11" s="166">
        <v>4249378.8</v>
      </c>
      <c r="Q11" s="166">
        <v>4668001.8</v>
      </c>
      <c r="R11" s="167">
        <f t="shared" si="1"/>
        <v>53565234.599999994</v>
      </c>
      <c r="S11" s="154"/>
      <c r="T11" s="168">
        <f t="shared" si="2"/>
        <v>6000000</v>
      </c>
      <c r="U11" s="168">
        <f>U$2*12-SUM($S11:T11)-SUMPRODUCT(--($F11:$Q11&lt;=U$2),U$2-$F11:$Q11)</f>
        <v>47565234.599999905</v>
      </c>
    </row>
    <row r="12" spans="1:22" x14ac:dyDescent="0.25">
      <c r="A12" s="158">
        <v>9</v>
      </c>
      <c r="B12" s="155" t="s">
        <v>266</v>
      </c>
      <c r="C12" s="164">
        <v>2304050000</v>
      </c>
      <c r="D12" s="164">
        <v>2300622080</v>
      </c>
      <c r="E12" s="165"/>
      <c r="F12" s="166">
        <v>3466254.24</v>
      </c>
      <c r="G12" s="166">
        <v>3190682.64</v>
      </c>
      <c r="H12" s="166">
        <v>3391937.52</v>
      </c>
      <c r="I12" s="166">
        <v>3085864.08</v>
      </c>
      <c r="J12" s="166">
        <v>2973930.96</v>
      </c>
      <c r="K12" s="166">
        <v>2877995.52</v>
      </c>
      <c r="L12" s="166">
        <v>2982732.24</v>
      </c>
      <c r="M12" s="166">
        <v>3057318.48</v>
      </c>
      <c r="N12" s="166">
        <v>2698362</v>
      </c>
      <c r="O12" s="166">
        <v>3322246.08</v>
      </c>
      <c r="P12" s="166">
        <v>2934331.92</v>
      </c>
      <c r="Q12" s="166">
        <v>2962270.8</v>
      </c>
      <c r="R12" s="167">
        <f t="shared" si="1"/>
        <v>36943926.480000004</v>
      </c>
      <c r="S12" s="154"/>
      <c r="T12" s="168">
        <f t="shared" si="2"/>
        <v>6000000</v>
      </c>
      <c r="U12" s="168">
        <f>U$2*12-SUM($S12:T12)-SUMPRODUCT(--($F12:$Q12&lt;=U$2),U$2-$F12:$Q12)</f>
        <v>30943926.480000019</v>
      </c>
    </row>
    <row r="13" spans="1:22" x14ac:dyDescent="0.25">
      <c r="A13" s="158">
        <v>10</v>
      </c>
      <c r="B13" s="155" t="s">
        <v>268</v>
      </c>
      <c r="C13" s="164">
        <v>3059350000</v>
      </c>
      <c r="D13" s="164">
        <v>3056543951</v>
      </c>
      <c r="E13" s="170"/>
      <c r="F13" s="166">
        <v>1534341.9</v>
      </c>
      <c r="G13" s="166">
        <v>1374916.2</v>
      </c>
      <c r="H13" s="166">
        <v>1207080</v>
      </c>
      <c r="I13" s="166">
        <v>296961</v>
      </c>
      <c r="J13" s="241"/>
      <c r="K13" s="241"/>
      <c r="L13" s="241"/>
      <c r="M13" s="241"/>
      <c r="N13" s="241"/>
      <c r="O13" s="241"/>
      <c r="P13" s="241"/>
      <c r="Q13" s="241"/>
      <c r="R13" s="167">
        <f t="shared" ref="R13:R15" si="3">SUM(F13:Q13)</f>
        <v>4413299.0999999996</v>
      </c>
      <c r="S13" s="154"/>
      <c r="T13" s="168">
        <f t="shared" si="2"/>
        <v>1796961</v>
      </c>
      <c r="U13" s="168">
        <f>U$2*12-SUM($S13:T13)-SUMPRODUCT(--($F13:$Q13&lt;=U$2),U$2-$F13:$Q13)</f>
        <v>2616338.0999999046</v>
      </c>
    </row>
    <row r="14" spans="1:22" x14ac:dyDescent="0.25">
      <c r="A14" s="158">
        <v>11</v>
      </c>
      <c r="B14" s="155" t="s">
        <v>272</v>
      </c>
      <c r="C14" s="164">
        <v>6743927051</v>
      </c>
      <c r="D14" s="164">
        <v>6749204037</v>
      </c>
      <c r="E14" s="170"/>
      <c r="F14" s="166">
        <v>1265157.6000000001</v>
      </c>
      <c r="G14" s="166">
        <v>1181381.6000000001</v>
      </c>
      <c r="H14" s="166">
        <v>1275808.8</v>
      </c>
      <c r="I14" s="166">
        <v>1267554.3999999999</v>
      </c>
      <c r="J14" s="166">
        <v>1390415.6</v>
      </c>
      <c r="K14" s="166">
        <v>1418410</v>
      </c>
      <c r="L14" s="166">
        <v>1520680</v>
      </c>
      <c r="M14" s="166">
        <v>1537799.2</v>
      </c>
      <c r="N14" s="166">
        <v>1321535.6000000001</v>
      </c>
      <c r="O14" s="166">
        <v>1216966.8</v>
      </c>
      <c r="P14" s="166">
        <v>1190862.3999999999</v>
      </c>
      <c r="Q14" s="166">
        <v>1228463.6000000001</v>
      </c>
      <c r="R14" s="167">
        <f t="shared" si="3"/>
        <v>15815035.6</v>
      </c>
      <c r="S14" s="154"/>
      <c r="T14" s="168">
        <f t="shared" si="2"/>
        <v>6000000</v>
      </c>
      <c r="U14" s="168">
        <f>U$2*12-SUM($S14:T14)-SUMPRODUCT(--($F14:$Q14&lt;=U$2),U$2-$F14:$Q14)</f>
        <v>9815035.5999999046</v>
      </c>
    </row>
    <row r="15" spans="1:22" x14ac:dyDescent="0.25">
      <c r="A15" s="158">
        <v>12</v>
      </c>
      <c r="B15" s="155" t="s">
        <v>271</v>
      </c>
      <c r="C15" s="164">
        <v>4561420000</v>
      </c>
      <c r="D15" s="164">
        <v>4560652323</v>
      </c>
      <c r="E15" s="170"/>
      <c r="F15" s="166">
        <v>952606</v>
      </c>
      <c r="G15" s="166">
        <v>884044</v>
      </c>
      <c r="H15" s="166">
        <v>908998</v>
      </c>
      <c r="I15" s="166">
        <v>811580</v>
      </c>
      <c r="J15" s="166">
        <v>819466</v>
      </c>
      <c r="K15" s="166">
        <v>792446</v>
      </c>
      <c r="L15" s="166">
        <v>734546</v>
      </c>
      <c r="M15" s="166">
        <v>763146</v>
      </c>
      <c r="N15" s="166">
        <v>742288</v>
      </c>
      <c r="O15" s="166">
        <v>886274</v>
      </c>
      <c r="P15" s="166">
        <v>865974</v>
      </c>
      <c r="Q15" s="166">
        <v>896606</v>
      </c>
      <c r="R15" s="167">
        <f t="shared" si="3"/>
        <v>10057974</v>
      </c>
      <c r="S15" s="154"/>
      <c r="T15" s="168">
        <f t="shared" si="2"/>
        <v>6000000</v>
      </c>
      <c r="U15" s="168">
        <f>U$2*12-SUM($S15:T15)-SUMPRODUCT(--($F15:$Q15&lt;=U$2),U$2-$F15:$Q15)</f>
        <v>4057974</v>
      </c>
    </row>
    <row r="16" spans="1:22" ht="15.75" thickBot="1" x14ac:dyDescent="0.3">
      <c r="A16" s="158"/>
      <c r="B16" s="155"/>
      <c r="C16" s="155"/>
      <c r="D16" s="155"/>
      <c r="E16" s="155"/>
      <c r="F16" s="171">
        <f>SUM(F4:F15)</f>
        <v>27739144.160000004</v>
      </c>
      <c r="G16" s="171">
        <f t="shared" ref="G16:Q16" si="4">SUM(G4:G15)</f>
        <v>26114251.850000001</v>
      </c>
      <c r="H16" s="171">
        <f t="shared" si="4"/>
        <v>27633923.990000002</v>
      </c>
      <c r="I16" s="171">
        <f t="shared" si="4"/>
        <v>25802164.089999996</v>
      </c>
      <c r="J16" s="171">
        <f t="shared" si="4"/>
        <v>25029523.640000001</v>
      </c>
      <c r="K16" s="171">
        <f t="shared" si="4"/>
        <v>24676992.609999999</v>
      </c>
      <c r="L16" s="171">
        <f t="shared" si="4"/>
        <v>25470885.170000002</v>
      </c>
      <c r="M16" s="171">
        <f t="shared" si="4"/>
        <v>25961908.239999998</v>
      </c>
      <c r="N16" s="171">
        <f t="shared" si="4"/>
        <v>24286387.700000003</v>
      </c>
      <c r="O16" s="171">
        <f t="shared" si="4"/>
        <v>26943892.889999997</v>
      </c>
      <c r="P16" s="171">
        <f t="shared" si="4"/>
        <v>24885078.810000002</v>
      </c>
      <c r="Q16" s="171">
        <f t="shared" si="4"/>
        <v>25497042.370000005</v>
      </c>
      <c r="R16" s="172">
        <f>IF(ROUND(SUM(F16:Q16),3)&lt;&gt;ROUND(SUM(R4:R15),3),#VALUE!,SUM(F16:Q16))</f>
        <v>310041195.51999998</v>
      </c>
      <c r="S16" s="154"/>
      <c r="T16" s="171">
        <f>SUM(T4:T15)</f>
        <v>61796961</v>
      </c>
      <c r="U16" s="171">
        <f>SUM(U4:U15)</f>
        <v>248244234.5199995</v>
      </c>
    </row>
    <row r="17" spans="1:21" ht="15.75" thickTop="1" x14ac:dyDescent="0.25">
      <c r="A17" s="158"/>
      <c r="B17" s="155"/>
      <c r="C17" s="155"/>
      <c r="D17" s="155"/>
      <c r="E17" s="155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73"/>
      <c r="S17" s="154"/>
      <c r="T17" s="154"/>
      <c r="U17" s="174">
        <f>SUM(T16:U16)</f>
        <v>310041195.5199995</v>
      </c>
    </row>
    <row r="18" spans="1:21" x14ac:dyDescent="0.25">
      <c r="A18" s="154" t="s">
        <v>211</v>
      </c>
      <c r="B18" s="154"/>
      <c r="C18" s="154"/>
      <c r="D18" s="154"/>
      <c r="E18" s="155"/>
      <c r="F18" s="166">
        <v>26991875.749000002</v>
      </c>
      <c r="G18" s="166">
        <v>27653410.079999998</v>
      </c>
      <c r="H18" s="166">
        <v>26114251.850000001</v>
      </c>
      <c r="I18" s="166">
        <v>27633923.989999998</v>
      </c>
      <c r="J18" s="166">
        <v>25802164.09</v>
      </c>
      <c r="K18" s="166">
        <v>25029523.640000001</v>
      </c>
      <c r="L18" s="166">
        <v>24676992.609999999</v>
      </c>
      <c r="M18" s="166">
        <v>25470885.170000002</v>
      </c>
      <c r="N18" s="166">
        <v>25961908.239999998</v>
      </c>
      <c r="O18" s="166">
        <v>24286387.699999999</v>
      </c>
      <c r="P18" s="166">
        <v>26943892.890000001</v>
      </c>
      <c r="Q18" s="166">
        <v>24885078.809999999</v>
      </c>
      <c r="R18" s="244">
        <f>SUM(F18:Q18)</f>
        <v>311450294.81900001</v>
      </c>
      <c r="S18" s="154"/>
      <c r="T18" s="154"/>
      <c r="U18" s="154"/>
    </row>
    <row r="19" spans="1:21" x14ac:dyDescent="0.25">
      <c r="A19" s="155" t="s">
        <v>213</v>
      </c>
      <c r="B19" s="155"/>
      <c r="C19" s="155"/>
      <c r="D19" s="155"/>
      <c r="E19" s="175"/>
      <c r="F19" s="166">
        <v>-27065983</v>
      </c>
      <c r="G19" s="166">
        <v>-27615288</v>
      </c>
      <c r="H19" s="166">
        <v>-26011240</v>
      </c>
      <c r="I19" s="166">
        <v>-27940831</v>
      </c>
      <c r="J19" s="166">
        <v>-26654407</v>
      </c>
      <c r="K19" s="166">
        <v>-25304460</v>
      </c>
      <c r="L19" s="166">
        <v>-25093621</v>
      </c>
      <c r="M19" s="166">
        <v>-25353023</v>
      </c>
      <c r="N19" s="166">
        <v>-25110804</v>
      </c>
      <c r="O19" s="166">
        <v>-24999007</v>
      </c>
      <c r="P19" s="166">
        <v>-27911836</v>
      </c>
      <c r="Q19" s="166">
        <v>-27303573</v>
      </c>
      <c r="R19" s="244">
        <f>SUM(F19:Q19)</f>
        <v>-316364073</v>
      </c>
      <c r="S19" s="154"/>
      <c r="T19" s="154"/>
      <c r="U19" s="154"/>
    </row>
    <row r="20" spans="1:21" x14ac:dyDescent="0.25">
      <c r="A20" s="155" t="s">
        <v>212</v>
      </c>
      <c r="B20" s="155"/>
      <c r="C20" s="155"/>
      <c r="D20" s="155"/>
      <c r="E20" s="175"/>
      <c r="F20" s="166">
        <v>27615288</v>
      </c>
      <c r="G20" s="166">
        <v>26011240</v>
      </c>
      <c r="H20" s="166">
        <v>27940831</v>
      </c>
      <c r="I20" s="166">
        <v>26654407</v>
      </c>
      <c r="J20" s="166">
        <v>25304460</v>
      </c>
      <c r="K20" s="166">
        <v>25093621</v>
      </c>
      <c r="L20" s="166">
        <v>25353023</v>
      </c>
      <c r="M20" s="166">
        <v>25110804</v>
      </c>
      <c r="N20" s="166">
        <v>24999007</v>
      </c>
      <c r="O20" s="166">
        <v>27911836</v>
      </c>
      <c r="P20" s="166">
        <v>27303573</v>
      </c>
      <c r="Q20" s="166">
        <v>26974091</v>
      </c>
      <c r="R20" s="244">
        <f>SUM(F20:Q20)</f>
        <v>316272181</v>
      </c>
      <c r="S20" s="154"/>
      <c r="T20" s="154"/>
      <c r="U20" s="154"/>
    </row>
    <row r="21" spans="1:21" x14ac:dyDescent="0.25">
      <c r="A21" s="154" t="s">
        <v>252</v>
      </c>
      <c r="B21" s="154"/>
      <c r="C21" s="154"/>
      <c r="D21" s="154"/>
      <c r="E21" s="175"/>
      <c r="F21" s="171">
        <f t="shared" ref="F21:R21" si="5">SUM(F18:F20)</f>
        <v>27541180.749000002</v>
      </c>
      <c r="G21" s="171">
        <f t="shared" si="5"/>
        <v>26049362.079999998</v>
      </c>
      <c r="H21" s="171">
        <f t="shared" si="5"/>
        <v>28043842.850000001</v>
      </c>
      <c r="I21" s="171">
        <f t="shared" si="5"/>
        <v>26347499.989999998</v>
      </c>
      <c r="J21" s="171">
        <f t="shared" si="5"/>
        <v>24452217.09</v>
      </c>
      <c r="K21" s="171">
        <f t="shared" si="5"/>
        <v>24818684.640000001</v>
      </c>
      <c r="L21" s="171">
        <f t="shared" si="5"/>
        <v>24936394.609999999</v>
      </c>
      <c r="M21" s="171">
        <f t="shared" si="5"/>
        <v>25228666.170000002</v>
      </c>
      <c r="N21" s="171">
        <f t="shared" si="5"/>
        <v>25850111.239999998</v>
      </c>
      <c r="O21" s="171">
        <f t="shared" si="5"/>
        <v>27199216.699999999</v>
      </c>
      <c r="P21" s="171">
        <f t="shared" si="5"/>
        <v>26335629.890000001</v>
      </c>
      <c r="Q21" s="171">
        <f t="shared" si="5"/>
        <v>24555596.809999999</v>
      </c>
      <c r="R21" s="176">
        <f t="shared" si="5"/>
        <v>311358402.81900001</v>
      </c>
      <c r="S21" s="154"/>
      <c r="T21" s="154"/>
      <c r="U21" s="154"/>
    </row>
    <row r="22" spans="1:21" x14ac:dyDescent="0.25">
      <c r="A22" s="177" t="s">
        <v>214</v>
      </c>
      <c r="B22" s="177"/>
      <c r="C22" s="177"/>
      <c r="D22" s="177"/>
      <c r="E22" s="175"/>
      <c r="F22" s="166">
        <f>F16-F21-F23</f>
        <v>123856.16000000387</v>
      </c>
      <c r="G22" s="166">
        <f>G16-G21-G23</f>
        <v>188745.93000000715</v>
      </c>
      <c r="H22" s="166">
        <f>H16-H21-H23</f>
        <v>-221172.92999999225</v>
      </c>
      <c r="I22" s="166">
        <f>I16-I21-I23</f>
        <v>-766508.82999999449</v>
      </c>
      <c r="J22" s="166">
        <f t="shared" ref="J22:Q22" si="6">J16-J21-J23</f>
        <v>-189202.27999999374</v>
      </c>
      <c r="K22" s="166">
        <f t="shared" si="6"/>
        <v>-330894.30999999493</v>
      </c>
      <c r="L22" s="166">
        <f t="shared" si="6"/>
        <v>203596.25000000745</v>
      </c>
      <c r="M22" s="166">
        <f t="shared" si="6"/>
        <v>936838.32000000402</v>
      </c>
      <c r="N22" s="166">
        <f t="shared" si="6"/>
        <v>-626885.21999999136</v>
      </c>
      <c r="O22" s="166">
        <f t="shared" si="6"/>
        <v>-882209.02999999374</v>
      </c>
      <c r="P22" s="166">
        <f t="shared" si="6"/>
        <v>-2332760.109999992</v>
      </c>
      <c r="Q22" s="166">
        <f t="shared" si="6"/>
        <v>-1391314.5499999858</v>
      </c>
      <c r="R22" s="244">
        <f>SUM(F22:Q22)</f>
        <v>-5287910.5999999158</v>
      </c>
      <c r="S22" s="154"/>
      <c r="T22" s="154"/>
      <c r="U22" s="154"/>
    </row>
    <row r="23" spans="1:21" x14ac:dyDescent="0.25">
      <c r="A23" s="177" t="s">
        <v>215</v>
      </c>
      <c r="B23" s="177"/>
      <c r="C23" s="177"/>
      <c r="D23" s="177"/>
      <c r="E23" s="175"/>
      <c r="F23" s="166">
        <f>-(F18+F19)</f>
        <v>74107.250999998301</v>
      </c>
      <c r="G23" s="166">
        <f>-F22</f>
        <v>-123856.16000000387</v>
      </c>
      <c r="H23" s="166">
        <f>-G22</f>
        <v>-188745.93000000715</v>
      </c>
      <c r="I23" s="166">
        <f>-H22</f>
        <v>221172.92999999225</v>
      </c>
      <c r="J23" s="166">
        <f t="shared" ref="J23:Q23" si="7">-I22</f>
        <v>766508.82999999449</v>
      </c>
      <c r="K23" s="166">
        <f t="shared" si="7"/>
        <v>189202.27999999374</v>
      </c>
      <c r="L23" s="166">
        <f t="shared" si="7"/>
        <v>330894.30999999493</v>
      </c>
      <c r="M23" s="166">
        <f t="shared" si="7"/>
        <v>-203596.25000000745</v>
      </c>
      <c r="N23" s="166">
        <f t="shared" si="7"/>
        <v>-936838.32000000402</v>
      </c>
      <c r="O23" s="166">
        <f t="shared" si="7"/>
        <v>626885.21999999136</v>
      </c>
      <c r="P23" s="166">
        <f t="shared" si="7"/>
        <v>882209.02999999374</v>
      </c>
      <c r="Q23" s="166">
        <f t="shared" si="7"/>
        <v>2332760.109999992</v>
      </c>
      <c r="R23" s="244">
        <f>SUM(F23:Q23)</f>
        <v>3970703.3009999283</v>
      </c>
      <c r="S23" s="154"/>
      <c r="T23" s="154"/>
      <c r="U23" s="154"/>
    </row>
    <row r="24" spans="1:21" ht="15.75" thickBot="1" x14ac:dyDescent="0.3">
      <c r="A24" s="177" t="s">
        <v>216</v>
      </c>
      <c r="B24" s="177"/>
      <c r="C24" s="177"/>
      <c r="D24" s="177"/>
      <c r="E24" s="155"/>
      <c r="F24" s="171">
        <f t="shared" ref="F24:G24" si="8">SUM(F21:F23)</f>
        <v>27739144.160000004</v>
      </c>
      <c r="G24" s="171">
        <f t="shared" si="8"/>
        <v>26114251.850000001</v>
      </c>
      <c r="H24" s="171">
        <f>SUM(H21:H23)</f>
        <v>27633923.990000002</v>
      </c>
      <c r="I24" s="171">
        <f t="shared" ref="I24:P24" si="9">SUM(I21:I23)</f>
        <v>25802164.089999996</v>
      </c>
      <c r="J24" s="171">
        <f t="shared" si="9"/>
        <v>25029523.640000001</v>
      </c>
      <c r="K24" s="171">
        <f t="shared" si="9"/>
        <v>24676992.609999999</v>
      </c>
      <c r="L24" s="171">
        <f t="shared" si="9"/>
        <v>25470885.170000002</v>
      </c>
      <c r="M24" s="171">
        <f t="shared" si="9"/>
        <v>25961908.239999998</v>
      </c>
      <c r="N24" s="171">
        <f t="shared" si="9"/>
        <v>24286387.700000003</v>
      </c>
      <c r="O24" s="171">
        <f t="shared" si="9"/>
        <v>26943892.889999997</v>
      </c>
      <c r="P24" s="171">
        <f t="shared" si="9"/>
        <v>24885078.810000002</v>
      </c>
      <c r="Q24" s="171">
        <f>SUM(Q21:Q23)</f>
        <v>25497042.370000005</v>
      </c>
      <c r="R24" s="178">
        <f>SUM(R21:R23)</f>
        <v>310041195.52000004</v>
      </c>
      <c r="S24" s="154"/>
      <c r="T24" s="156"/>
      <c r="U24" s="157"/>
    </row>
    <row r="25" spans="1:21" ht="15.75" thickTop="1" x14ac:dyDescent="0.25">
      <c r="A25" s="158"/>
      <c r="B25" s="179"/>
      <c r="C25" s="179"/>
      <c r="D25" s="179"/>
      <c r="E25" s="179"/>
      <c r="F25" s="180"/>
      <c r="G25" s="180"/>
      <c r="H25" s="181"/>
      <c r="I25" s="180"/>
      <c r="J25" s="180"/>
      <c r="K25" s="180"/>
      <c r="L25" s="180"/>
      <c r="M25" s="180"/>
      <c r="N25" s="180"/>
      <c r="O25" s="180"/>
      <c r="P25" s="180"/>
      <c r="Q25" s="181"/>
      <c r="R25" s="154"/>
      <c r="S25" s="154"/>
      <c r="T25" s="154"/>
      <c r="U25" s="154"/>
    </row>
    <row r="26" spans="1:21" x14ac:dyDescent="0.25">
      <c r="A26" s="182" t="s">
        <v>253</v>
      </c>
      <c r="B26" s="154"/>
      <c r="C26" s="182"/>
      <c r="D26" s="182"/>
      <c r="E26" s="183"/>
      <c r="F26" s="184"/>
      <c r="G26" s="184"/>
      <c r="H26" s="184"/>
      <c r="I26" s="184"/>
      <c r="J26" s="184"/>
      <c r="K26" s="184"/>
      <c r="L26" s="184"/>
      <c r="M26" s="180"/>
      <c r="N26" s="180"/>
      <c r="O26" s="180"/>
      <c r="P26" s="180"/>
      <c r="Q26" s="180"/>
      <c r="R26" s="180"/>
      <c r="S26" s="154"/>
      <c r="T26" s="154"/>
      <c r="U26" s="154"/>
    </row>
    <row r="27" spans="1:21" ht="16.149999999999999" customHeight="1" x14ac:dyDescent="0.25">
      <c r="A27" s="185">
        <v>1</v>
      </c>
      <c r="B27" s="186" t="s">
        <v>265</v>
      </c>
      <c r="C27" s="164">
        <v>2166400000</v>
      </c>
      <c r="D27" s="164">
        <v>2160125933</v>
      </c>
      <c r="E27" s="187"/>
      <c r="F27" s="188">
        <v>35210010</v>
      </c>
      <c r="G27" s="188">
        <v>30823170</v>
      </c>
      <c r="H27" s="188">
        <v>35740380</v>
      </c>
      <c r="I27" s="188">
        <v>31016760</v>
      </c>
      <c r="J27" s="188">
        <v>32290770</v>
      </c>
      <c r="K27" s="188">
        <v>29648650</v>
      </c>
      <c r="L27" s="188">
        <v>32657540</v>
      </c>
      <c r="M27" s="188">
        <v>39269540</v>
      </c>
      <c r="N27" s="188">
        <v>31549600</v>
      </c>
      <c r="O27" s="188">
        <v>29938810</v>
      </c>
      <c r="P27" s="188">
        <v>29702540</v>
      </c>
      <c r="Q27" s="188">
        <v>31900980</v>
      </c>
      <c r="R27" s="189">
        <f>SUM(F27:Q27)</f>
        <v>389748750</v>
      </c>
      <c r="S27" s="154"/>
      <c r="T27" s="174">
        <f>R27/8760/1000</f>
        <v>44.491866438356162</v>
      </c>
      <c r="U27" s="154"/>
    </row>
    <row r="28" spans="1:21" x14ac:dyDescent="0.25">
      <c r="A28" s="185"/>
      <c r="B28" s="186"/>
      <c r="C28" s="186"/>
      <c r="D28" s="186"/>
      <c r="E28" s="187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9">
        <f>SUM(F28:Q28)</f>
        <v>0</v>
      </c>
      <c r="S28" s="154"/>
      <c r="T28" s="174">
        <f>R28/8760/1000</f>
        <v>0</v>
      </c>
      <c r="U28" s="154"/>
    </row>
    <row r="29" spans="1:21" ht="15.75" thickBot="1" x14ac:dyDescent="0.3">
      <c r="A29" s="190" t="s">
        <v>254</v>
      </c>
      <c r="B29" s="186"/>
      <c r="C29" s="186"/>
      <c r="D29" s="186"/>
      <c r="E29" s="191"/>
      <c r="F29" s="192">
        <f t="shared" ref="F29:Q29" si="10">F27-F28</f>
        <v>35210010</v>
      </c>
      <c r="G29" s="192">
        <f t="shared" si="10"/>
        <v>30823170</v>
      </c>
      <c r="H29" s="192">
        <f t="shared" si="10"/>
        <v>35740380</v>
      </c>
      <c r="I29" s="192">
        <f t="shared" si="10"/>
        <v>31016760</v>
      </c>
      <c r="J29" s="192">
        <f t="shared" si="10"/>
        <v>32290770</v>
      </c>
      <c r="K29" s="192">
        <f t="shared" si="10"/>
        <v>29648650</v>
      </c>
      <c r="L29" s="192">
        <f t="shared" si="10"/>
        <v>32657540</v>
      </c>
      <c r="M29" s="192">
        <f t="shared" si="10"/>
        <v>39269540</v>
      </c>
      <c r="N29" s="192">
        <f t="shared" si="10"/>
        <v>31549600</v>
      </c>
      <c r="O29" s="192">
        <f t="shared" si="10"/>
        <v>29938810</v>
      </c>
      <c r="P29" s="192">
        <f t="shared" si="10"/>
        <v>29702540</v>
      </c>
      <c r="Q29" s="192">
        <f t="shared" si="10"/>
        <v>31900980</v>
      </c>
      <c r="R29" s="193">
        <f>IF(ROUND(SUM(F29:Q29),3)&lt;&gt;ROUND(R27-R28,3),#VALUE!,SUM(F29:Q29))</f>
        <v>389748750</v>
      </c>
      <c r="S29" s="154"/>
      <c r="T29" s="174">
        <f>R29/8760/1000</f>
        <v>44.491866438356162</v>
      </c>
      <c r="U29" s="154"/>
    </row>
    <row r="30" spans="1:21" ht="15.75" thickTop="1" x14ac:dyDescent="0.25">
      <c r="A30" s="158"/>
      <c r="B30" s="183"/>
      <c r="C30" s="183"/>
      <c r="D30" s="183"/>
      <c r="E30" s="183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54"/>
      <c r="T30" s="154"/>
      <c r="U30" s="154"/>
    </row>
    <row r="31" spans="1:21" x14ac:dyDescent="0.25">
      <c r="A31" s="154" t="s">
        <v>211</v>
      </c>
      <c r="B31" s="154"/>
      <c r="C31" s="154"/>
      <c r="D31" s="154"/>
      <c r="E31" s="155"/>
      <c r="F31" s="245">
        <v>34319970</v>
      </c>
      <c r="G31" s="245">
        <v>35210010</v>
      </c>
      <c r="H31" s="245">
        <v>30823170</v>
      </c>
      <c r="I31" s="245">
        <v>35740380</v>
      </c>
      <c r="J31" s="245">
        <v>31016760</v>
      </c>
      <c r="K31" s="245">
        <v>32290770</v>
      </c>
      <c r="L31" s="245">
        <v>29648650</v>
      </c>
      <c r="M31" s="245">
        <v>32657540</v>
      </c>
      <c r="N31" s="245">
        <v>39269540</v>
      </c>
      <c r="O31" s="245">
        <v>31549600</v>
      </c>
      <c r="P31" s="245">
        <v>29938810</v>
      </c>
      <c r="Q31" s="245">
        <v>29702540</v>
      </c>
      <c r="R31" s="167">
        <f>SUM(F31:Q31)</f>
        <v>392167740</v>
      </c>
      <c r="S31" s="154"/>
      <c r="T31" s="154"/>
      <c r="U31" s="154"/>
    </row>
    <row r="32" spans="1:21" x14ac:dyDescent="0.25">
      <c r="A32" s="155" t="s">
        <v>213</v>
      </c>
      <c r="B32" s="155"/>
      <c r="C32" s="155"/>
      <c r="D32" s="155"/>
      <c r="E32" s="175"/>
      <c r="F32" s="245">
        <v>-30311220</v>
      </c>
      <c r="G32" s="245">
        <v>-35210010</v>
      </c>
      <c r="H32" s="245">
        <v>-30662209</v>
      </c>
      <c r="I32" s="245">
        <f>-71099045-I43</f>
        <v>-35873045</v>
      </c>
      <c r="J32" s="245">
        <f>-65576760-J43</f>
        <v>-31016760</v>
      </c>
      <c r="K32" s="245">
        <v>-32285803</v>
      </c>
      <c r="L32" s="245">
        <v>-29531144</v>
      </c>
      <c r="M32" s="245">
        <v>-31560910</v>
      </c>
      <c r="N32" s="245">
        <v>-39269540</v>
      </c>
      <c r="O32" s="245">
        <v>-31702862</v>
      </c>
      <c r="P32" s="245">
        <v>-30095916</v>
      </c>
      <c r="Q32" s="245">
        <v>-29626027</v>
      </c>
      <c r="R32" s="167">
        <f>SUM(F32:Q32)</f>
        <v>-387145446</v>
      </c>
      <c r="S32" s="154"/>
      <c r="T32" s="154"/>
      <c r="U32" s="154"/>
    </row>
    <row r="33" spans="1:21" x14ac:dyDescent="0.25">
      <c r="A33" s="155" t="s">
        <v>212</v>
      </c>
      <c r="B33" s="155"/>
      <c r="C33" s="155"/>
      <c r="D33" s="155"/>
      <c r="E33" s="175"/>
      <c r="F33" s="245">
        <v>35210010</v>
      </c>
      <c r="G33" s="245">
        <v>30662209</v>
      </c>
      <c r="H33" s="245">
        <f>71099045-H42</f>
        <v>35873045</v>
      </c>
      <c r="I33" s="245">
        <f>65576760-I42</f>
        <v>31016760</v>
      </c>
      <c r="J33" s="245">
        <v>32285803</v>
      </c>
      <c r="K33" s="245">
        <v>29531144</v>
      </c>
      <c r="L33" s="245">
        <v>31560910</v>
      </c>
      <c r="M33" s="245">
        <v>39269540</v>
      </c>
      <c r="N33" s="245">
        <v>31702862</v>
      </c>
      <c r="O33" s="245">
        <v>30095916</v>
      </c>
      <c r="P33" s="245">
        <v>29626027</v>
      </c>
      <c r="Q33" s="245">
        <v>31873756</v>
      </c>
      <c r="R33" s="167">
        <f>SUM(F33:Q33)</f>
        <v>388707982</v>
      </c>
    </row>
    <row r="34" spans="1:21" x14ac:dyDescent="0.25">
      <c r="A34" s="154" t="s">
        <v>252</v>
      </c>
      <c r="B34" s="154"/>
      <c r="C34" s="154"/>
      <c r="D34" s="154"/>
      <c r="E34" s="175"/>
      <c r="F34" s="176">
        <f t="shared" ref="F34:R34" si="11">SUM(F31:F33)</f>
        <v>39218760</v>
      </c>
      <c r="G34" s="176">
        <f t="shared" si="11"/>
        <v>30662209</v>
      </c>
      <c r="H34" s="176">
        <f t="shared" si="11"/>
        <v>36034006</v>
      </c>
      <c r="I34" s="176">
        <f t="shared" si="11"/>
        <v>30884095</v>
      </c>
      <c r="J34" s="176">
        <f t="shared" si="11"/>
        <v>32285803</v>
      </c>
      <c r="K34" s="176">
        <f t="shared" si="11"/>
        <v>29536111</v>
      </c>
      <c r="L34" s="176">
        <f t="shared" si="11"/>
        <v>31678416</v>
      </c>
      <c r="M34" s="176">
        <f t="shared" si="11"/>
        <v>40366170</v>
      </c>
      <c r="N34" s="176">
        <f t="shared" si="11"/>
        <v>31702862</v>
      </c>
      <c r="O34" s="176">
        <f t="shared" si="11"/>
        <v>29942654</v>
      </c>
      <c r="P34" s="176">
        <f t="shared" si="11"/>
        <v>29468921</v>
      </c>
      <c r="Q34" s="176">
        <f t="shared" si="11"/>
        <v>31950269</v>
      </c>
      <c r="R34" s="176">
        <f t="shared" si="11"/>
        <v>393730276</v>
      </c>
    </row>
    <row r="35" spans="1:21" x14ac:dyDescent="0.25">
      <c r="A35" s="177" t="s">
        <v>214</v>
      </c>
      <c r="B35" s="177"/>
      <c r="C35" s="177"/>
      <c r="D35" s="177"/>
      <c r="E35" s="175"/>
      <c r="F35" s="245">
        <f t="shared" ref="F35:K35" si="12">F29-F34-F36</f>
        <v>0</v>
      </c>
      <c r="G35" s="245">
        <f t="shared" si="12"/>
        <v>160961</v>
      </c>
      <c r="H35" s="245">
        <f t="shared" si="12"/>
        <v>-132665</v>
      </c>
      <c r="I35" s="245">
        <f t="shared" si="12"/>
        <v>0</v>
      </c>
      <c r="J35" s="245">
        <f t="shared" si="12"/>
        <v>4967</v>
      </c>
      <c r="K35" s="245">
        <f t="shared" si="12"/>
        <v>117506</v>
      </c>
      <c r="L35" s="245">
        <f t="shared" ref="L35:Q35" si="13">L29-L34-L36</f>
        <v>1096630</v>
      </c>
      <c r="M35" s="245">
        <f t="shared" si="13"/>
        <v>0</v>
      </c>
      <c r="N35" s="245">
        <f t="shared" si="13"/>
        <v>-153262</v>
      </c>
      <c r="O35" s="245">
        <f t="shared" si="13"/>
        <v>-157106</v>
      </c>
      <c r="P35" s="245">
        <f t="shared" si="13"/>
        <v>76513</v>
      </c>
      <c r="Q35" s="245">
        <f t="shared" si="13"/>
        <v>27224</v>
      </c>
      <c r="R35" s="167">
        <f>SUM(F35:Q35)</f>
        <v>1040768</v>
      </c>
    </row>
    <row r="36" spans="1:21" x14ac:dyDescent="0.25">
      <c r="A36" s="177" t="s">
        <v>215</v>
      </c>
      <c r="B36" s="177"/>
      <c r="C36" s="177"/>
      <c r="D36" s="177"/>
      <c r="E36" s="175"/>
      <c r="F36" s="245">
        <f>-(F31+F32)</f>
        <v>-4008750</v>
      </c>
      <c r="G36" s="245">
        <f>-F35</f>
        <v>0</v>
      </c>
      <c r="H36" s="245">
        <f>-G35</f>
        <v>-160961</v>
      </c>
      <c r="I36" s="245">
        <f>-H35</f>
        <v>132665</v>
      </c>
      <c r="J36" s="245">
        <f t="shared" ref="J36" si="14">-I35</f>
        <v>0</v>
      </c>
      <c r="K36" s="245">
        <f t="shared" ref="K36" si="15">-J35</f>
        <v>-4967</v>
      </c>
      <c r="L36" s="245">
        <f t="shared" ref="L36" si="16">-K35</f>
        <v>-117506</v>
      </c>
      <c r="M36" s="245">
        <f t="shared" ref="M36" si="17">-L35</f>
        <v>-1096630</v>
      </c>
      <c r="N36" s="245">
        <f t="shared" ref="N36" si="18">-M35</f>
        <v>0</v>
      </c>
      <c r="O36" s="245">
        <f t="shared" ref="O36" si="19">-N35</f>
        <v>153262</v>
      </c>
      <c r="P36" s="245">
        <f t="shared" ref="P36" si="20">-O35</f>
        <v>157106</v>
      </c>
      <c r="Q36" s="245">
        <f t="shared" ref="Q36" si="21">-P35</f>
        <v>-76513</v>
      </c>
      <c r="R36" s="167">
        <f>SUM(F36:Q36)</f>
        <v>-5022294</v>
      </c>
    </row>
    <row r="37" spans="1:21" ht="15.75" thickBot="1" x14ac:dyDescent="0.3">
      <c r="A37" s="177" t="s">
        <v>255</v>
      </c>
      <c r="B37" s="177"/>
      <c r="C37" s="177"/>
      <c r="D37" s="177"/>
      <c r="E37" s="155"/>
      <c r="F37" s="171">
        <f t="shared" ref="F37:G37" si="22">SUM(F34:F36)</f>
        <v>35210010</v>
      </c>
      <c r="G37" s="171">
        <f t="shared" si="22"/>
        <v>30823170</v>
      </c>
      <c r="H37" s="171">
        <f>SUM(H34:H36)</f>
        <v>35740380</v>
      </c>
      <c r="I37" s="171">
        <f t="shared" ref="I37:P37" si="23">SUM(I34:I36)</f>
        <v>31016760</v>
      </c>
      <c r="J37" s="171">
        <f t="shared" si="23"/>
        <v>32290770</v>
      </c>
      <c r="K37" s="171">
        <f t="shared" si="23"/>
        <v>29648650</v>
      </c>
      <c r="L37" s="171">
        <f t="shared" si="23"/>
        <v>32657540</v>
      </c>
      <c r="M37" s="171">
        <f t="shared" si="23"/>
        <v>39269540</v>
      </c>
      <c r="N37" s="171">
        <f t="shared" si="23"/>
        <v>31549600</v>
      </c>
      <c r="O37" s="171">
        <f t="shared" si="23"/>
        <v>29938810</v>
      </c>
      <c r="P37" s="171">
        <f t="shared" si="23"/>
        <v>29702540</v>
      </c>
      <c r="Q37" s="171">
        <f>SUM(Q34:Q36)</f>
        <v>31900980</v>
      </c>
      <c r="R37" s="178">
        <f>SUM(R34:R36)</f>
        <v>389748750</v>
      </c>
    </row>
    <row r="38" spans="1:21" ht="15.75" thickTop="1" x14ac:dyDescent="0.25"/>
    <row r="39" spans="1:21" x14ac:dyDescent="0.25">
      <c r="B39" t="s">
        <v>284</v>
      </c>
      <c r="C39" s="164">
        <v>2166400000</v>
      </c>
      <c r="D39" s="164">
        <v>2160125933</v>
      </c>
      <c r="F39" s="188"/>
      <c r="G39" s="188"/>
      <c r="H39" s="188">
        <v>35226000</v>
      </c>
      <c r="I39" s="188">
        <f>68418000-33858000</f>
        <v>34560000</v>
      </c>
      <c r="J39" s="188">
        <v>38765000</v>
      </c>
      <c r="K39" s="188">
        <v>34845000</v>
      </c>
      <c r="L39" s="188">
        <v>37966000</v>
      </c>
      <c r="M39" s="188">
        <v>32628000</v>
      </c>
      <c r="N39" s="188">
        <v>25108000</v>
      </c>
      <c r="O39" s="188">
        <v>40272000</v>
      </c>
      <c r="P39" s="188">
        <v>38741000</v>
      </c>
      <c r="Q39" s="188">
        <v>38137000</v>
      </c>
      <c r="R39" s="189">
        <f>SUM(F39:Q39)</f>
        <v>356248000</v>
      </c>
    </row>
    <row r="40" spans="1:21" x14ac:dyDescent="0.25">
      <c r="C40" s="164"/>
      <c r="D40" s="164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21" x14ac:dyDescent="0.25">
      <c r="A41" s="246" t="s">
        <v>211</v>
      </c>
      <c r="I41" s="188">
        <v>35226000</v>
      </c>
      <c r="J41" s="188">
        <v>34560000</v>
      </c>
      <c r="K41" s="188">
        <v>38765000</v>
      </c>
      <c r="L41" s="188">
        <v>34845000</v>
      </c>
      <c r="M41" s="188">
        <v>37966000</v>
      </c>
      <c r="N41" s="188">
        <v>32628000</v>
      </c>
      <c r="O41" s="188">
        <v>25108000</v>
      </c>
      <c r="P41" s="188">
        <v>40272000</v>
      </c>
      <c r="Q41" s="188">
        <v>38741000</v>
      </c>
      <c r="R41" s="189">
        <f>SUM(F41:Q41)</f>
        <v>318111000</v>
      </c>
    </row>
    <row r="42" spans="1:21" x14ac:dyDescent="0.25">
      <c r="A42" s="246" t="s">
        <v>212</v>
      </c>
      <c r="C42" s="29"/>
      <c r="F42" s="188"/>
      <c r="G42" s="188"/>
      <c r="H42" s="188">
        <v>35226000</v>
      </c>
      <c r="I42" s="188">
        <v>34560000</v>
      </c>
      <c r="J42" s="188">
        <v>38765000</v>
      </c>
      <c r="K42" s="188">
        <v>34845000</v>
      </c>
      <c r="L42" s="188">
        <v>37966000</v>
      </c>
      <c r="M42" s="188">
        <v>32628000</v>
      </c>
      <c r="N42" s="188">
        <v>25108000</v>
      </c>
      <c r="O42" s="188">
        <v>40272000</v>
      </c>
      <c r="P42" s="188">
        <v>38741000</v>
      </c>
      <c r="Q42" s="188">
        <v>38137000</v>
      </c>
      <c r="R42" s="189">
        <f t="shared" ref="R42:R43" si="24">SUM(F42:Q42)</f>
        <v>356248000</v>
      </c>
    </row>
    <row r="43" spans="1:21" x14ac:dyDescent="0.25">
      <c r="A43" s="246" t="s">
        <v>213</v>
      </c>
      <c r="F43" s="188"/>
      <c r="G43" s="188"/>
      <c r="H43" s="188"/>
      <c r="I43" s="188">
        <v>-35226000</v>
      </c>
      <c r="J43" s="188">
        <v>-34560000</v>
      </c>
      <c r="K43" s="188">
        <v>-38765000</v>
      </c>
      <c r="L43" s="188">
        <v>-34845000</v>
      </c>
      <c r="M43" s="188">
        <v>-37966000</v>
      </c>
      <c r="N43" s="188">
        <v>-32628000</v>
      </c>
      <c r="O43" s="188">
        <v>-25108000</v>
      </c>
      <c r="P43" s="188">
        <v>-40272000</v>
      </c>
      <c r="Q43" s="188">
        <v>-38741000</v>
      </c>
      <c r="R43" s="189">
        <f t="shared" si="24"/>
        <v>-318111000</v>
      </c>
    </row>
    <row r="44" spans="1:21" x14ac:dyDescent="0.25">
      <c r="A44" s="246" t="s">
        <v>252</v>
      </c>
      <c r="F44" s="176">
        <f t="shared" ref="F44:R44" si="25">SUM(F41:F43)</f>
        <v>0</v>
      </c>
      <c r="G44" s="176">
        <f t="shared" si="25"/>
        <v>0</v>
      </c>
      <c r="H44" s="176">
        <f t="shared" si="25"/>
        <v>35226000</v>
      </c>
      <c r="I44" s="176">
        <f t="shared" si="25"/>
        <v>34560000</v>
      </c>
      <c r="J44" s="176">
        <f t="shared" si="25"/>
        <v>38765000</v>
      </c>
      <c r="K44" s="176">
        <f t="shared" si="25"/>
        <v>34845000</v>
      </c>
      <c r="L44" s="176">
        <f t="shared" si="25"/>
        <v>37966000</v>
      </c>
      <c r="M44" s="176">
        <f t="shared" si="25"/>
        <v>32628000</v>
      </c>
      <c r="N44" s="176">
        <f t="shared" si="25"/>
        <v>25108000</v>
      </c>
      <c r="O44" s="176">
        <f t="shared" si="25"/>
        <v>40272000</v>
      </c>
      <c r="P44" s="176">
        <f t="shared" si="25"/>
        <v>38741000</v>
      </c>
      <c r="Q44" s="176">
        <f t="shared" si="25"/>
        <v>38137000</v>
      </c>
      <c r="R44" s="176">
        <f t="shared" si="25"/>
        <v>356248000</v>
      </c>
    </row>
    <row r="45" spans="1:21" x14ac:dyDescent="0.25">
      <c r="A45" s="158"/>
      <c r="B45" s="155"/>
      <c r="C45" s="155"/>
      <c r="D45" s="155"/>
      <c r="E45" s="155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8" t="str">
        <f>R$2</f>
        <v>12-mo Ended</v>
      </c>
      <c r="S45" s="154"/>
      <c r="T45" s="154"/>
      <c r="U45" s="154"/>
    </row>
    <row r="46" spans="1:21" x14ac:dyDescent="0.25">
      <c r="A46" s="161" t="s">
        <v>217</v>
      </c>
      <c r="B46" s="154"/>
      <c r="C46" s="161"/>
      <c r="D46" s="161"/>
      <c r="E46" s="155"/>
      <c r="F46" s="195">
        <f t="shared" ref="F46:Q46" si="26">F$3</f>
        <v>43466</v>
      </c>
      <c r="G46" s="195">
        <f t="shared" si="26"/>
        <v>43497</v>
      </c>
      <c r="H46" s="195">
        <f t="shared" si="26"/>
        <v>43528</v>
      </c>
      <c r="I46" s="195">
        <f t="shared" si="26"/>
        <v>43559</v>
      </c>
      <c r="J46" s="195">
        <f t="shared" si="26"/>
        <v>43590</v>
      </c>
      <c r="K46" s="195">
        <f t="shared" si="26"/>
        <v>43621</v>
      </c>
      <c r="L46" s="195">
        <f t="shared" si="26"/>
        <v>43652</v>
      </c>
      <c r="M46" s="195">
        <f t="shared" si="26"/>
        <v>43683</v>
      </c>
      <c r="N46" s="195">
        <f t="shared" si="26"/>
        <v>43714</v>
      </c>
      <c r="O46" s="195">
        <f t="shared" si="26"/>
        <v>43745</v>
      </c>
      <c r="P46" s="195">
        <f t="shared" si="26"/>
        <v>43776</v>
      </c>
      <c r="Q46" s="195">
        <f t="shared" si="26"/>
        <v>43807</v>
      </c>
      <c r="R46" s="158" t="s">
        <v>13</v>
      </c>
      <c r="S46" s="154"/>
      <c r="T46" s="156" t="s">
        <v>218</v>
      </c>
      <c r="U46" s="156" t="s">
        <v>219</v>
      </c>
    </row>
    <row r="47" spans="1:21" x14ac:dyDescent="0.25">
      <c r="A47" s="158">
        <v>1</v>
      </c>
      <c r="B47" s="155" t="str">
        <f>B4</f>
        <v>Hecla Limited</v>
      </c>
      <c r="C47" s="196">
        <f>C4</f>
        <v>2037100000</v>
      </c>
      <c r="D47" s="196">
        <f>D4</f>
        <v>2030021058</v>
      </c>
      <c r="E47" s="197"/>
      <c r="F47" s="166">
        <v>9630.3799999999992</v>
      </c>
      <c r="G47" s="166">
        <v>9349.34</v>
      </c>
      <c r="H47" s="166">
        <v>9341.16</v>
      </c>
      <c r="I47" s="169">
        <v>9584.9500000000007</v>
      </c>
      <c r="J47" s="169">
        <v>9251.57</v>
      </c>
      <c r="K47" s="169">
        <v>9767.57</v>
      </c>
      <c r="L47" s="169">
        <v>9650.19</v>
      </c>
      <c r="M47" s="169">
        <v>9793.81</v>
      </c>
      <c r="N47" s="169">
        <v>9504.4699999999993</v>
      </c>
      <c r="O47" s="169">
        <v>9875.4500000000007</v>
      </c>
      <c r="P47" s="169">
        <v>9930.6</v>
      </c>
      <c r="Q47" s="169">
        <v>9274.18</v>
      </c>
      <c r="R47" s="167">
        <f>SUM(F47:Q47)</f>
        <v>114953.67000000001</v>
      </c>
      <c r="S47" s="154"/>
      <c r="T47" s="198">
        <f>MAX(G47:Q47)</f>
        <v>9930.6</v>
      </c>
      <c r="U47" s="199">
        <f>INDEX($F$46:$Q$46,MATCH(T47,$F47:$Q47,0))</f>
        <v>43776</v>
      </c>
    </row>
    <row r="48" spans="1:21" x14ac:dyDescent="0.25">
      <c r="A48" s="158">
        <v>2</v>
      </c>
      <c r="B48" s="155" t="str">
        <f t="shared" ref="B48:D48" si="27">B5</f>
        <v>Potlatch Deltic</v>
      </c>
      <c r="C48" s="196">
        <f t="shared" si="27"/>
        <v>3037100000</v>
      </c>
      <c r="D48" s="196">
        <f t="shared" si="27"/>
        <v>3030021570</v>
      </c>
      <c r="E48" s="197"/>
      <c r="F48" s="166">
        <v>9117.4290000000001</v>
      </c>
      <c r="G48" s="166">
        <v>9222.3430000000008</v>
      </c>
      <c r="H48" s="166">
        <v>9219.7119999999995</v>
      </c>
      <c r="I48" s="169">
        <v>9020.482</v>
      </c>
      <c r="J48" s="169">
        <v>8931.2160000000003</v>
      </c>
      <c r="K48" s="169">
        <v>9272.1350000000002</v>
      </c>
      <c r="L48" s="169">
        <v>9206.0159999999996</v>
      </c>
      <c r="M48" s="169">
        <v>9045.6759999999995</v>
      </c>
      <c r="N48" s="169">
        <v>9115.018</v>
      </c>
      <c r="O48" s="169">
        <v>9696.9750000000004</v>
      </c>
      <c r="P48" s="169">
        <v>9538.6710000000003</v>
      </c>
      <c r="Q48" s="169">
        <v>9630.8439999999991</v>
      </c>
      <c r="R48" s="167">
        <f t="shared" ref="R48:R58" si="28">SUM(F48:Q48)</f>
        <v>111016.51699999999</v>
      </c>
      <c r="S48" s="154"/>
      <c r="T48" s="198">
        <f>MAX(G48:Q48)</f>
        <v>9696.9750000000004</v>
      </c>
      <c r="U48" s="199">
        <f t="shared" ref="U48:U58" si="29">INDEX($F$46:$Q$46,MATCH(T48,$F48:$Q48,0))</f>
        <v>43745</v>
      </c>
    </row>
    <row r="49" spans="1:21" x14ac:dyDescent="0.25">
      <c r="A49" s="158">
        <v>3</v>
      </c>
      <c r="B49" s="155" t="str">
        <f t="shared" ref="B49:D49" si="30">B6</f>
        <v>University of Idaho</v>
      </c>
      <c r="C49" s="196">
        <f t="shared" si="30"/>
        <v>4037100000</v>
      </c>
      <c r="D49" s="196">
        <f t="shared" si="30"/>
        <v>4030024940</v>
      </c>
      <c r="E49" s="197"/>
      <c r="F49" s="169">
        <v>3566.866</v>
      </c>
      <c r="G49" s="169">
        <v>3545.2779999999998</v>
      </c>
      <c r="H49" s="169">
        <v>3525.6390000000001</v>
      </c>
      <c r="I49" s="169">
        <v>3710.4050000000002</v>
      </c>
      <c r="J49" s="169">
        <v>4131.1949999999997</v>
      </c>
      <c r="K49" s="169">
        <v>3981.7420000000002</v>
      </c>
      <c r="L49" s="169">
        <v>4442.4799999999996</v>
      </c>
      <c r="M49" s="169">
        <v>4860.8649999999998</v>
      </c>
      <c r="N49" s="169">
        <v>4904.5929999999998</v>
      </c>
      <c r="O49" s="169">
        <v>3069.806</v>
      </c>
      <c r="P49" s="169">
        <v>2477.3589999999999</v>
      </c>
      <c r="Q49" s="169">
        <v>2617.4589999999998</v>
      </c>
      <c r="R49" s="167">
        <f t="shared" si="28"/>
        <v>44833.686999999998</v>
      </c>
      <c r="S49" s="154"/>
      <c r="T49" s="198">
        <f t="shared" ref="T49:T55" si="31">MAX(G49:Q49)</f>
        <v>4904.5929999999998</v>
      </c>
      <c r="U49" s="199">
        <f t="shared" si="29"/>
        <v>43714</v>
      </c>
    </row>
    <row r="50" spans="1:21" x14ac:dyDescent="0.25">
      <c r="A50" s="222">
        <v>4</v>
      </c>
      <c r="B50" s="223" t="str">
        <f t="shared" ref="B50:D50" si="32">B7</f>
        <v>Coeur D Alene Resort</v>
      </c>
      <c r="C50" s="226">
        <f t="shared" si="32"/>
        <v>2125850000</v>
      </c>
      <c r="D50" s="226">
        <f t="shared" si="32"/>
        <v>2120030888</v>
      </c>
      <c r="E50" s="227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19">
        <f t="shared" si="28"/>
        <v>0</v>
      </c>
      <c r="S50" s="220"/>
      <c r="T50" s="229">
        <f t="shared" si="31"/>
        <v>0</v>
      </c>
      <c r="U50" s="230" t="e">
        <f t="shared" si="29"/>
        <v>#N/A</v>
      </c>
    </row>
    <row r="51" spans="1:21" x14ac:dyDescent="0.25">
      <c r="A51" s="158">
        <v>5</v>
      </c>
      <c r="B51" s="155" t="str">
        <f t="shared" ref="B51:D51" si="33">B8</f>
        <v>CCI-Speer Operations/Vista Outdoor</v>
      </c>
      <c r="C51" s="196">
        <f t="shared" si="33"/>
        <v>3324950000</v>
      </c>
      <c r="D51" s="196">
        <f t="shared" si="33"/>
        <v>3320059979</v>
      </c>
      <c r="E51" s="197"/>
      <c r="F51" s="169">
        <v>4725.0789999999997</v>
      </c>
      <c r="G51" s="169">
        <v>4749.942</v>
      </c>
      <c r="H51" s="169">
        <v>4706.4560000000001</v>
      </c>
      <c r="I51" s="169">
        <v>4711.8770000000004</v>
      </c>
      <c r="J51" s="169">
        <v>4789.9480000000003</v>
      </c>
      <c r="K51" s="169">
        <v>4777.3739999999998</v>
      </c>
      <c r="L51" s="169">
        <v>4818.62</v>
      </c>
      <c r="M51" s="169">
        <v>4834.7979999999998</v>
      </c>
      <c r="N51" s="169">
        <v>4605.7</v>
      </c>
      <c r="O51" s="169">
        <v>4554.7560000000003</v>
      </c>
      <c r="P51" s="169">
        <v>4638.5479999999998</v>
      </c>
      <c r="Q51" s="169">
        <v>4599.1139999999996</v>
      </c>
      <c r="R51" s="167">
        <f t="shared" si="28"/>
        <v>56512.212000000007</v>
      </c>
      <c r="S51" s="154"/>
      <c r="T51" s="198">
        <f t="shared" si="31"/>
        <v>4834.7979999999998</v>
      </c>
      <c r="U51" s="199">
        <f t="shared" si="29"/>
        <v>43683</v>
      </c>
    </row>
    <row r="52" spans="1:21" x14ac:dyDescent="0.25">
      <c r="A52" s="158">
        <v>6</v>
      </c>
      <c r="B52" s="155" t="str">
        <f t="shared" ref="B52:D52" si="34">B9</f>
        <v>University of Idaho</v>
      </c>
      <c r="C52" s="196">
        <f t="shared" si="34"/>
        <v>4147950000</v>
      </c>
      <c r="D52" s="196">
        <f t="shared" si="34"/>
        <v>4140055674</v>
      </c>
      <c r="E52" s="197"/>
      <c r="F52" s="169">
        <v>3594.9209999999998</v>
      </c>
      <c r="G52" s="169">
        <v>3711.8159999999998</v>
      </c>
      <c r="H52" s="169">
        <v>3640.9479999999999</v>
      </c>
      <c r="I52" s="169">
        <v>3492.174</v>
      </c>
      <c r="J52" s="169">
        <v>3354.2640000000001</v>
      </c>
      <c r="K52" s="169">
        <v>3311.0540000000001</v>
      </c>
      <c r="L52" s="169">
        <v>3409.1080000000002</v>
      </c>
      <c r="M52" s="169">
        <v>3598.4090000000001</v>
      </c>
      <c r="N52" s="169">
        <v>4137.0619999999999</v>
      </c>
      <c r="O52" s="169">
        <v>4444.933</v>
      </c>
      <c r="P52" s="169">
        <v>4460.5959999999995</v>
      </c>
      <c r="Q52" s="169">
        <v>4552.0110000000004</v>
      </c>
      <c r="R52" s="167">
        <f t="shared" si="28"/>
        <v>45707.295999999995</v>
      </c>
      <c r="S52" s="154"/>
      <c r="T52" s="198">
        <f t="shared" si="31"/>
        <v>4552.0110000000004</v>
      </c>
      <c r="U52" s="199">
        <f t="shared" si="29"/>
        <v>43807</v>
      </c>
    </row>
    <row r="53" spans="1:21" x14ac:dyDescent="0.25">
      <c r="A53" s="158">
        <v>7</v>
      </c>
      <c r="B53" s="155" t="str">
        <f t="shared" ref="B53:D53" si="35">B10</f>
        <v>Idaho Forest Group</v>
      </c>
      <c r="C53" s="196">
        <f t="shared" si="35"/>
        <v>9888560000</v>
      </c>
      <c r="D53" s="196">
        <f t="shared" si="35"/>
        <v>9880375571</v>
      </c>
      <c r="E53" s="197"/>
      <c r="F53" s="169">
        <v>4668</v>
      </c>
      <c r="G53" s="169">
        <v>4888.71</v>
      </c>
      <c r="H53" s="169">
        <v>4778.93</v>
      </c>
      <c r="I53" s="169">
        <v>4468.26</v>
      </c>
      <c r="J53" s="169">
        <v>4342.97</v>
      </c>
      <c r="K53" s="169">
        <v>4375.63</v>
      </c>
      <c r="L53" s="169">
        <v>4349.8599999999997</v>
      </c>
      <c r="M53" s="169">
        <v>4476.74</v>
      </c>
      <c r="N53" s="169">
        <v>4490.3599999999997</v>
      </c>
      <c r="O53" s="169">
        <v>4704.8999999999996</v>
      </c>
      <c r="P53" s="169">
        <v>4677.29</v>
      </c>
      <c r="Q53" s="169">
        <v>4871.83</v>
      </c>
      <c r="R53" s="167">
        <f t="shared" si="28"/>
        <v>55093.48000000001</v>
      </c>
      <c r="S53" s="154"/>
      <c r="T53" s="198">
        <f t="shared" si="31"/>
        <v>4888.71</v>
      </c>
      <c r="U53" s="199">
        <f t="shared" si="29"/>
        <v>43497</v>
      </c>
    </row>
    <row r="54" spans="1:21" x14ac:dyDescent="0.25">
      <c r="A54" s="158">
        <v>8</v>
      </c>
      <c r="B54" s="155" t="str">
        <f t="shared" ref="B54:D54" si="36">B11</f>
        <v>US Silver-Idaho Inc</v>
      </c>
      <c r="C54" s="196">
        <f t="shared" si="36"/>
        <v>9500610000</v>
      </c>
      <c r="D54" s="196">
        <f t="shared" si="36"/>
        <v>9500430648</v>
      </c>
      <c r="E54" s="197"/>
      <c r="F54" s="169">
        <f>3000+5183.294</f>
        <v>8183.2939999999999</v>
      </c>
      <c r="G54" s="169">
        <f>3000+5517.607</f>
        <v>8517.607</v>
      </c>
      <c r="H54" s="169">
        <f>3000+5465.311</f>
        <v>8465.3109999999997</v>
      </c>
      <c r="I54" s="169">
        <f>3000+5566.249</f>
        <v>8566.2489999999998</v>
      </c>
      <c r="J54" s="169">
        <f>3000+5529.259</f>
        <v>8529.259</v>
      </c>
      <c r="K54" s="169">
        <f>3000+5316.368</f>
        <v>8316.3680000000004</v>
      </c>
      <c r="L54" s="169">
        <f>3000+5790.911</f>
        <v>8790.9110000000001</v>
      </c>
      <c r="M54" s="169">
        <f>3000+5399.336</f>
        <v>8399.3359999999993</v>
      </c>
      <c r="N54" s="169">
        <f>3000+6065.984</f>
        <v>9065.9840000000004</v>
      </c>
      <c r="O54" s="169">
        <f>3000+5914.351</f>
        <v>8914.3509999999987</v>
      </c>
      <c r="P54" s="169">
        <f>3000+5911.909</f>
        <v>8911.9089999999997</v>
      </c>
      <c r="Q54" s="169">
        <f>3000+5794.946</f>
        <v>8794.9459999999999</v>
      </c>
      <c r="R54" s="167">
        <f t="shared" si="28"/>
        <v>103455.52499999998</v>
      </c>
      <c r="S54" s="154"/>
      <c r="T54" s="198">
        <f t="shared" si="31"/>
        <v>9065.9840000000004</v>
      </c>
      <c r="U54" s="199">
        <f t="shared" si="29"/>
        <v>43714</v>
      </c>
    </row>
    <row r="55" spans="1:21" x14ac:dyDescent="0.25">
      <c r="A55" s="158">
        <v>9</v>
      </c>
      <c r="B55" s="155" t="str">
        <f t="shared" ref="B55:D55" si="37">B12</f>
        <v>Idaho Forest Group</v>
      </c>
      <c r="C55" s="196">
        <f t="shared" si="37"/>
        <v>2304050000</v>
      </c>
      <c r="D55" s="196">
        <f t="shared" si="37"/>
        <v>2300622080</v>
      </c>
      <c r="E55" s="197"/>
      <c r="F55" s="169">
        <v>7700.09</v>
      </c>
      <c r="G55" s="169">
        <v>7670.8130000000001</v>
      </c>
      <c r="H55" s="169">
        <v>7436.6319999999996</v>
      </c>
      <c r="I55" s="169">
        <v>6969.12</v>
      </c>
      <c r="J55" s="169">
        <v>6792.2039999999997</v>
      </c>
      <c r="K55" s="169">
        <v>6771.2079999999996</v>
      </c>
      <c r="L55" s="169">
        <v>6895.9520000000002</v>
      </c>
      <c r="M55" s="169">
        <v>6688.0820000000003</v>
      </c>
      <c r="N55" s="169">
        <v>7074.1570000000002</v>
      </c>
      <c r="O55" s="169">
        <v>7668.3559999999998</v>
      </c>
      <c r="P55" s="169">
        <v>7631.866</v>
      </c>
      <c r="Q55" s="169">
        <v>7089.4939999999997</v>
      </c>
      <c r="R55" s="167">
        <f t="shared" si="28"/>
        <v>86387.974000000002</v>
      </c>
      <c r="S55" s="154"/>
      <c r="T55" s="198">
        <f t="shared" si="31"/>
        <v>7670.8130000000001</v>
      </c>
      <c r="U55" s="199">
        <f t="shared" si="29"/>
        <v>43497</v>
      </c>
    </row>
    <row r="56" spans="1:21" x14ac:dyDescent="0.25">
      <c r="A56" s="158">
        <v>10</v>
      </c>
      <c r="B56" s="155" t="str">
        <f t="shared" ref="B56:D56" si="38">B13</f>
        <v>Plummer Forest Products Inc</v>
      </c>
      <c r="C56" s="196">
        <f t="shared" si="38"/>
        <v>3059350000</v>
      </c>
      <c r="D56" s="196">
        <f t="shared" si="38"/>
        <v>3056543951</v>
      </c>
      <c r="E56" s="197"/>
      <c r="F56" s="169">
        <v>3166.31</v>
      </c>
      <c r="G56" s="169">
        <v>3170.7080000000001</v>
      </c>
      <c r="H56" s="169">
        <v>3123.857</v>
      </c>
      <c r="I56" s="169">
        <v>1389.902</v>
      </c>
      <c r="J56" s="248"/>
      <c r="K56" s="248"/>
      <c r="L56" s="248"/>
      <c r="M56" s="248"/>
      <c r="N56" s="248"/>
      <c r="O56" s="248"/>
      <c r="P56" s="248"/>
      <c r="Q56" s="248"/>
      <c r="R56" s="167">
        <f t="shared" si="28"/>
        <v>10850.777</v>
      </c>
      <c r="S56" s="154"/>
      <c r="T56" s="198">
        <f>MAX(G56:Q56)</f>
        <v>3170.7080000000001</v>
      </c>
      <c r="U56" s="199">
        <f t="shared" si="29"/>
        <v>43497</v>
      </c>
    </row>
    <row r="57" spans="1:21" x14ac:dyDescent="0.25">
      <c r="A57" s="158">
        <v>11</v>
      </c>
      <c r="B57" s="155" t="str">
        <f t="shared" ref="B57:D57" si="39">B14</f>
        <v>Kootenai Health</v>
      </c>
      <c r="C57" s="196">
        <f t="shared" si="39"/>
        <v>6743927051</v>
      </c>
      <c r="D57" s="196">
        <f t="shared" si="39"/>
        <v>6749204037</v>
      </c>
      <c r="E57" s="197"/>
      <c r="F57" s="169">
        <v>2081.7020000000002</v>
      </c>
      <c r="G57" s="169">
        <v>2156.2620000000002</v>
      </c>
      <c r="H57" s="169">
        <v>2224.9409999999998</v>
      </c>
      <c r="I57" s="169">
        <v>2279.172</v>
      </c>
      <c r="J57" s="169">
        <v>2589.3690000000001</v>
      </c>
      <c r="K57" s="169">
        <v>2700.9479999999999</v>
      </c>
      <c r="L57" s="169">
        <v>2658.2550000000001</v>
      </c>
      <c r="M57" s="169">
        <v>2746.6559999999999</v>
      </c>
      <c r="N57" s="169">
        <v>2553.723</v>
      </c>
      <c r="O57" s="169">
        <v>2121.6979999999999</v>
      </c>
      <c r="P57" s="169">
        <v>2086.5990000000002</v>
      </c>
      <c r="Q57" s="169">
        <v>2021.135</v>
      </c>
      <c r="R57" s="167">
        <f t="shared" si="28"/>
        <v>28220.459999999995</v>
      </c>
      <c r="S57" s="154"/>
      <c r="T57" s="198">
        <f t="shared" ref="T57:T58" si="40">MAX(G57:Q57)</f>
        <v>2746.6559999999999</v>
      </c>
      <c r="U57" s="199">
        <f t="shared" si="29"/>
        <v>43683</v>
      </c>
    </row>
    <row r="58" spans="1:21" x14ac:dyDescent="0.25">
      <c r="A58" s="158">
        <v>12</v>
      </c>
      <c r="B58" s="155" t="str">
        <f t="shared" ref="B58:D58" si="41">B15</f>
        <v>Stimson Lumber</v>
      </c>
      <c r="C58" s="196">
        <f t="shared" si="41"/>
        <v>4561420000</v>
      </c>
      <c r="D58" s="196">
        <f t="shared" si="41"/>
        <v>4560652323</v>
      </c>
      <c r="E58" s="197"/>
      <c r="F58" s="169">
        <v>2621.194</v>
      </c>
      <c r="G58" s="169">
        <v>2612.6370000000002</v>
      </c>
      <c r="H58" s="169">
        <v>2593.1260000000002</v>
      </c>
      <c r="I58" s="169">
        <v>2473.3649999999998</v>
      </c>
      <c r="J58" s="169">
        <v>2361.4839999999999</v>
      </c>
      <c r="K58" s="169">
        <v>2342.6889999999999</v>
      </c>
      <c r="L58" s="169">
        <v>2305.1179999999999</v>
      </c>
      <c r="M58" s="169">
        <v>2276.1410000000001</v>
      </c>
      <c r="N58" s="169">
        <v>2350.288</v>
      </c>
      <c r="O58" s="169">
        <v>2568.797</v>
      </c>
      <c r="P58" s="169">
        <v>2562.7550000000001</v>
      </c>
      <c r="Q58" s="169">
        <v>2532.4299999999998</v>
      </c>
      <c r="R58" s="167">
        <f t="shared" si="28"/>
        <v>29600.024000000001</v>
      </c>
      <c r="S58" s="154"/>
      <c r="T58" s="198">
        <f t="shared" si="40"/>
        <v>2612.6370000000002</v>
      </c>
      <c r="U58" s="199">
        <f t="shared" si="29"/>
        <v>43497</v>
      </c>
    </row>
    <row r="59" spans="1:21" ht="15.75" thickBot="1" x14ac:dyDescent="0.3">
      <c r="A59" s="158"/>
      <c r="B59" s="155"/>
      <c r="C59" s="155"/>
      <c r="D59" s="155"/>
      <c r="E59" s="155"/>
      <c r="F59" s="200">
        <f>SUM(F47:F58)</f>
        <v>59055.265000000007</v>
      </c>
      <c r="G59" s="200">
        <f t="shared" ref="G59:Q59" si="42">SUM(G47:G58)</f>
        <v>59595.455999999998</v>
      </c>
      <c r="H59" s="200">
        <f t="shared" si="42"/>
        <v>59056.712</v>
      </c>
      <c r="I59" s="200">
        <f t="shared" si="42"/>
        <v>56665.955999999998</v>
      </c>
      <c r="J59" s="200">
        <f t="shared" si="42"/>
        <v>55073.478999999992</v>
      </c>
      <c r="K59" s="200">
        <f t="shared" si="42"/>
        <v>55616.717999999993</v>
      </c>
      <c r="L59" s="200">
        <f t="shared" si="42"/>
        <v>56526.509999999995</v>
      </c>
      <c r="M59" s="200">
        <f t="shared" si="42"/>
        <v>56720.512999999999</v>
      </c>
      <c r="N59" s="200">
        <f t="shared" si="42"/>
        <v>57801.355000000003</v>
      </c>
      <c r="O59" s="200">
        <f t="shared" si="42"/>
        <v>57620.021999999997</v>
      </c>
      <c r="P59" s="200">
        <f t="shared" si="42"/>
        <v>56916.192999999999</v>
      </c>
      <c r="Q59" s="200">
        <f t="shared" si="42"/>
        <v>55983.442999999992</v>
      </c>
      <c r="R59" s="172">
        <f>IF(ROUND(SUM(F59:Q59),3)&lt;&gt;ROUND(SUM(R47:R58),3),#VALUE!,SUM(F59:Q59))</f>
        <v>686631.62199999997</v>
      </c>
      <c r="S59" s="154"/>
      <c r="T59" s="154"/>
      <c r="U59" s="154"/>
    </row>
    <row r="60" spans="1:21" ht="15.75" thickTop="1" x14ac:dyDescent="0.25">
      <c r="A60" s="158"/>
      <c r="B60" s="155"/>
      <c r="C60" s="155"/>
      <c r="D60" s="155"/>
      <c r="E60" s="155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154"/>
      <c r="T60" s="154"/>
      <c r="U60" s="154"/>
    </row>
    <row r="61" spans="1:21" x14ac:dyDescent="0.25">
      <c r="A61" s="158"/>
      <c r="B61" s="155"/>
      <c r="C61" s="155"/>
      <c r="D61" s="155"/>
      <c r="E61" s="155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8" t="str">
        <f>R$2</f>
        <v>12-mo Ended</v>
      </c>
      <c r="S61" s="154"/>
      <c r="T61" s="154"/>
      <c r="U61" s="154"/>
    </row>
    <row r="62" spans="1:21" x14ac:dyDescent="0.25">
      <c r="A62" s="161" t="s">
        <v>220</v>
      </c>
      <c r="B62" s="154"/>
      <c r="C62" s="161"/>
      <c r="D62" s="161"/>
      <c r="E62" s="155"/>
      <c r="F62" s="195">
        <f t="shared" ref="F62:Q62" si="43">F$3</f>
        <v>43466</v>
      </c>
      <c r="G62" s="195">
        <f t="shared" si="43"/>
        <v>43497</v>
      </c>
      <c r="H62" s="195">
        <f t="shared" si="43"/>
        <v>43528</v>
      </c>
      <c r="I62" s="195">
        <f t="shared" si="43"/>
        <v>43559</v>
      </c>
      <c r="J62" s="195">
        <f t="shared" si="43"/>
        <v>43590</v>
      </c>
      <c r="K62" s="195">
        <f t="shared" si="43"/>
        <v>43621</v>
      </c>
      <c r="L62" s="195">
        <f t="shared" si="43"/>
        <v>43652</v>
      </c>
      <c r="M62" s="195">
        <f t="shared" si="43"/>
        <v>43683</v>
      </c>
      <c r="N62" s="195">
        <f t="shared" si="43"/>
        <v>43714</v>
      </c>
      <c r="O62" s="195">
        <f t="shared" si="43"/>
        <v>43745</v>
      </c>
      <c r="P62" s="195">
        <f t="shared" si="43"/>
        <v>43776</v>
      </c>
      <c r="Q62" s="195">
        <f t="shared" si="43"/>
        <v>43807</v>
      </c>
      <c r="R62" s="158" t="s">
        <v>13</v>
      </c>
      <c r="S62" s="154"/>
      <c r="T62" s="154"/>
      <c r="U62" s="154"/>
    </row>
    <row r="63" spans="1:21" x14ac:dyDescent="0.25">
      <c r="A63" s="158">
        <v>1</v>
      </c>
      <c r="B63" s="155" t="str">
        <f>B47</f>
        <v>Hecla Limited</v>
      </c>
      <c r="C63" s="155">
        <f t="shared" ref="C63:D63" si="44">C47</f>
        <v>2037100000</v>
      </c>
      <c r="D63" s="155">
        <f t="shared" si="44"/>
        <v>2030021058</v>
      </c>
      <c r="E63" s="197">
        <f>E10</f>
        <v>0</v>
      </c>
      <c r="F63" s="202">
        <f t="shared" ref="F63:Q63" si="45">MAX(0,F47-3000)</f>
        <v>6630.3799999999992</v>
      </c>
      <c r="G63" s="202">
        <f t="shared" si="45"/>
        <v>6349.34</v>
      </c>
      <c r="H63" s="202">
        <f t="shared" si="45"/>
        <v>6341.16</v>
      </c>
      <c r="I63" s="202">
        <f t="shared" si="45"/>
        <v>6584.9500000000007</v>
      </c>
      <c r="J63" s="202">
        <f t="shared" si="45"/>
        <v>6251.57</v>
      </c>
      <c r="K63" s="202">
        <f t="shared" si="45"/>
        <v>6767.57</v>
      </c>
      <c r="L63" s="202">
        <f t="shared" si="45"/>
        <v>6650.1900000000005</v>
      </c>
      <c r="M63" s="202">
        <f t="shared" si="45"/>
        <v>6793.8099999999995</v>
      </c>
      <c r="N63" s="202">
        <f t="shared" si="45"/>
        <v>6504.4699999999993</v>
      </c>
      <c r="O63" s="202">
        <f t="shared" si="45"/>
        <v>6875.4500000000007</v>
      </c>
      <c r="P63" s="202">
        <f t="shared" si="45"/>
        <v>6930.6</v>
      </c>
      <c r="Q63" s="202">
        <f t="shared" si="45"/>
        <v>6274.18</v>
      </c>
      <c r="R63" s="167">
        <f t="shared" ref="R63:R74" si="46">SUM(F63:Q63)</f>
        <v>78953.670000000013</v>
      </c>
      <c r="S63" s="154"/>
      <c r="T63" s="154"/>
      <c r="U63" s="154"/>
    </row>
    <row r="64" spans="1:21" x14ac:dyDescent="0.25">
      <c r="A64" s="158">
        <v>2</v>
      </c>
      <c r="B64" s="155" t="str">
        <f t="shared" ref="B64:D64" si="47">B48</f>
        <v>Potlatch Deltic</v>
      </c>
      <c r="C64" s="155">
        <f t="shared" si="47"/>
        <v>3037100000</v>
      </c>
      <c r="D64" s="155">
        <f t="shared" si="47"/>
        <v>3030021570</v>
      </c>
      <c r="E64" s="197">
        <f>E11</f>
        <v>0</v>
      </c>
      <c r="F64" s="202">
        <f t="shared" ref="F64:Q64" si="48">MAX(0,F48-3000)</f>
        <v>6117.4290000000001</v>
      </c>
      <c r="G64" s="202">
        <f t="shared" si="48"/>
        <v>6222.3430000000008</v>
      </c>
      <c r="H64" s="202">
        <f t="shared" si="48"/>
        <v>6219.7119999999995</v>
      </c>
      <c r="I64" s="202">
        <f t="shared" si="48"/>
        <v>6020.482</v>
      </c>
      <c r="J64" s="202">
        <f t="shared" si="48"/>
        <v>5931.2160000000003</v>
      </c>
      <c r="K64" s="202">
        <f t="shared" si="48"/>
        <v>6272.1350000000002</v>
      </c>
      <c r="L64" s="202">
        <f t="shared" si="48"/>
        <v>6206.0159999999996</v>
      </c>
      <c r="M64" s="202">
        <f t="shared" si="48"/>
        <v>6045.6759999999995</v>
      </c>
      <c r="N64" s="202">
        <f t="shared" si="48"/>
        <v>6115.018</v>
      </c>
      <c r="O64" s="202">
        <f t="shared" si="48"/>
        <v>6696.9750000000004</v>
      </c>
      <c r="P64" s="202">
        <f t="shared" si="48"/>
        <v>6538.6710000000003</v>
      </c>
      <c r="Q64" s="202">
        <f t="shared" si="48"/>
        <v>6630.8439999999991</v>
      </c>
      <c r="R64" s="167">
        <f t="shared" si="46"/>
        <v>75016.516999999993</v>
      </c>
      <c r="S64" s="154"/>
      <c r="T64" s="154"/>
      <c r="U64" s="154"/>
    </row>
    <row r="65" spans="1:21" x14ac:dyDescent="0.25">
      <c r="A65" s="158">
        <v>3</v>
      </c>
      <c r="B65" s="155" t="str">
        <f t="shared" ref="B65:D65" si="49">B49</f>
        <v>University of Idaho</v>
      </c>
      <c r="C65" s="155">
        <f t="shared" si="49"/>
        <v>4037100000</v>
      </c>
      <c r="D65" s="155">
        <f t="shared" si="49"/>
        <v>4030024940</v>
      </c>
      <c r="E65" s="197">
        <f>E12</f>
        <v>0</v>
      </c>
      <c r="F65" s="202">
        <f t="shared" ref="F65:Q65" si="50">MAX(0,F49-3000)</f>
        <v>566.86599999999999</v>
      </c>
      <c r="G65" s="202">
        <f t="shared" si="50"/>
        <v>545.27799999999979</v>
      </c>
      <c r="H65" s="202">
        <f t="shared" si="50"/>
        <v>525.63900000000012</v>
      </c>
      <c r="I65" s="202">
        <f t="shared" si="50"/>
        <v>710.4050000000002</v>
      </c>
      <c r="J65" s="202">
        <f t="shared" si="50"/>
        <v>1131.1949999999997</v>
      </c>
      <c r="K65" s="202">
        <f t="shared" si="50"/>
        <v>981.74200000000019</v>
      </c>
      <c r="L65" s="202">
        <f t="shared" si="50"/>
        <v>1442.4799999999996</v>
      </c>
      <c r="M65" s="202">
        <f t="shared" si="50"/>
        <v>1860.8649999999998</v>
      </c>
      <c r="N65" s="202">
        <f t="shared" si="50"/>
        <v>1904.5929999999998</v>
      </c>
      <c r="O65" s="202">
        <f t="shared" si="50"/>
        <v>69.80600000000004</v>
      </c>
      <c r="P65" s="202">
        <f t="shared" si="50"/>
        <v>0</v>
      </c>
      <c r="Q65" s="202">
        <f t="shared" si="50"/>
        <v>0</v>
      </c>
      <c r="R65" s="167">
        <f t="shared" si="46"/>
        <v>9738.8689999999988</v>
      </c>
      <c r="S65" s="154"/>
      <c r="T65" s="154"/>
      <c r="U65" s="154"/>
    </row>
    <row r="66" spans="1:21" x14ac:dyDescent="0.25">
      <c r="A66" s="158">
        <v>4</v>
      </c>
      <c r="B66" s="155" t="str">
        <f t="shared" ref="B66:D66" si="51">B50</f>
        <v>Coeur D Alene Resort</v>
      </c>
      <c r="C66" s="155">
        <f t="shared" si="51"/>
        <v>2125850000</v>
      </c>
      <c r="D66" s="155">
        <f t="shared" si="51"/>
        <v>2120030888</v>
      </c>
      <c r="E66" s="197">
        <f>E13</f>
        <v>0</v>
      </c>
      <c r="F66" s="202">
        <f t="shared" ref="F66:Q66" si="52">MAX(0,F50-3000)</f>
        <v>0</v>
      </c>
      <c r="G66" s="202">
        <f t="shared" si="52"/>
        <v>0</v>
      </c>
      <c r="H66" s="202">
        <f t="shared" si="52"/>
        <v>0</v>
      </c>
      <c r="I66" s="202">
        <f t="shared" si="52"/>
        <v>0</v>
      </c>
      <c r="J66" s="202">
        <f t="shared" si="52"/>
        <v>0</v>
      </c>
      <c r="K66" s="202">
        <f t="shared" si="52"/>
        <v>0</v>
      </c>
      <c r="L66" s="202">
        <f t="shared" si="52"/>
        <v>0</v>
      </c>
      <c r="M66" s="202">
        <f t="shared" si="52"/>
        <v>0</v>
      </c>
      <c r="N66" s="202">
        <f t="shared" si="52"/>
        <v>0</v>
      </c>
      <c r="O66" s="202">
        <f t="shared" si="52"/>
        <v>0</v>
      </c>
      <c r="P66" s="202">
        <f t="shared" si="52"/>
        <v>0</v>
      </c>
      <c r="Q66" s="202">
        <f t="shared" si="52"/>
        <v>0</v>
      </c>
      <c r="R66" s="167">
        <f t="shared" si="46"/>
        <v>0</v>
      </c>
    </row>
    <row r="67" spans="1:21" x14ac:dyDescent="0.25">
      <c r="A67" s="158">
        <v>5</v>
      </c>
      <c r="B67" s="155" t="str">
        <f t="shared" ref="B67:D67" si="53">B51</f>
        <v>CCI-Speer Operations/Vista Outdoor</v>
      </c>
      <c r="C67" s="155">
        <f t="shared" si="53"/>
        <v>3324950000</v>
      </c>
      <c r="D67" s="155">
        <f t="shared" si="53"/>
        <v>3320059979</v>
      </c>
      <c r="E67" s="197">
        <f>E15</f>
        <v>0</v>
      </c>
      <c r="F67" s="202">
        <f t="shared" ref="F67:Q67" si="54">MAX(0,F51-3000)</f>
        <v>1725.0789999999997</v>
      </c>
      <c r="G67" s="202">
        <f t="shared" si="54"/>
        <v>1749.942</v>
      </c>
      <c r="H67" s="202">
        <f t="shared" si="54"/>
        <v>1706.4560000000001</v>
      </c>
      <c r="I67" s="202">
        <f t="shared" si="54"/>
        <v>1711.8770000000004</v>
      </c>
      <c r="J67" s="202">
        <f t="shared" si="54"/>
        <v>1789.9480000000003</v>
      </c>
      <c r="K67" s="202">
        <f t="shared" si="54"/>
        <v>1777.3739999999998</v>
      </c>
      <c r="L67" s="202">
        <f t="shared" si="54"/>
        <v>1818.62</v>
      </c>
      <c r="M67" s="202">
        <f t="shared" si="54"/>
        <v>1834.7979999999998</v>
      </c>
      <c r="N67" s="202">
        <f t="shared" si="54"/>
        <v>1605.6999999999998</v>
      </c>
      <c r="O67" s="202">
        <f t="shared" si="54"/>
        <v>1554.7560000000003</v>
      </c>
      <c r="P67" s="202">
        <f t="shared" si="54"/>
        <v>1638.5479999999998</v>
      </c>
      <c r="Q67" s="202">
        <f t="shared" si="54"/>
        <v>1599.1139999999996</v>
      </c>
      <c r="R67" s="167">
        <f t="shared" si="46"/>
        <v>20512.212</v>
      </c>
    </row>
    <row r="68" spans="1:21" x14ac:dyDescent="0.25">
      <c r="A68" s="158">
        <v>6</v>
      </c>
      <c r="B68" s="155" t="str">
        <f t="shared" ref="B68:D68" si="55">B52</f>
        <v>University of Idaho</v>
      </c>
      <c r="C68" s="155">
        <f t="shared" si="55"/>
        <v>4147950000</v>
      </c>
      <c r="D68" s="155">
        <f t="shared" si="55"/>
        <v>4140055674</v>
      </c>
      <c r="E68" s="197">
        <f>E16</f>
        <v>0</v>
      </c>
      <c r="F68" s="202">
        <f t="shared" ref="F68:Q68" si="56">MAX(0,F52-3000)</f>
        <v>594.92099999999982</v>
      </c>
      <c r="G68" s="202">
        <f t="shared" si="56"/>
        <v>711.8159999999998</v>
      </c>
      <c r="H68" s="202">
        <f t="shared" si="56"/>
        <v>640.94799999999987</v>
      </c>
      <c r="I68" s="202">
        <f t="shared" si="56"/>
        <v>492.17399999999998</v>
      </c>
      <c r="J68" s="202">
        <f t="shared" si="56"/>
        <v>354.26400000000012</v>
      </c>
      <c r="K68" s="202">
        <f t="shared" si="56"/>
        <v>311.05400000000009</v>
      </c>
      <c r="L68" s="202">
        <f t="shared" si="56"/>
        <v>409.10800000000017</v>
      </c>
      <c r="M68" s="202">
        <f t="shared" si="56"/>
        <v>598.40900000000011</v>
      </c>
      <c r="N68" s="202">
        <f t="shared" si="56"/>
        <v>1137.0619999999999</v>
      </c>
      <c r="O68" s="202">
        <f t="shared" si="56"/>
        <v>1444.933</v>
      </c>
      <c r="P68" s="202">
        <f t="shared" si="56"/>
        <v>1460.5959999999995</v>
      </c>
      <c r="Q68" s="202">
        <f t="shared" si="56"/>
        <v>1552.0110000000004</v>
      </c>
      <c r="R68" s="167">
        <f t="shared" si="46"/>
        <v>9707.2959999999985</v>
      </c>
    </row>
    <row r="69" spans="1:21" x14ac:dyDescent="0.25">
      <c r="A69" s="158">
        <v>7</v>
      </c>
      <c r="B69" s="155" t="str">
        <f t="shared" ref="B69:D69" si="57">B53</f>
        <v>Idaho Forest Group</v>
      </c>
      <c r="C69" s="155">
        <f t="shared" si="57"/>
        <v>9888560000</v>
      </c>
      <c r="D69" s="155">
        <f t="shared" si="57"/>
        <v>9880375571</v>
      </c>
      <c r="E69" s="197">
        <f>E17</f>
        <v>0</v>
      </c>
      <c r="F69" s="202">
        <f t="shared" ref="F69:Q69" si="58">MAX(0,F53-3000)</f>
        <v>1668</v>
      </c>
      <c r="G69" s="202">
        <f t="shared" si="58"/>
        <v>1888.71</v>
      </c>
      <c r="H69" s="202">
        <f t="shared" si="58"/>
        <v>1778.9300000000003</v>
      </c>
      <c r="I69" s="202">
        <f t="shared" si="58"/>
        <v>1468.2600000000002</v>
      </c>
      <c r="J69" s="202">
        <f t="shared" si="58"/>
        <v>1342.9700000000003</v>
      </c>
      <c r="K69" s="202">
        <f t="shared" si="58"/>
        <v>1375.63</v>
      </c>
      <c r="L69" s="202">
        <f t="shared" si="58"/>
        <v>1349.8599999999997</v>
      </c>
      <c r="M69" s="202">
        <f t="shared" si="58"/>
        <v>1476.7399999999998</v>
      </c>
      <c r="N69" s="202">
        <f t="shared" si="58"/>
        <v>1490.3599999999997</v>
      </c>
      <c r="O69" s="202">
        <f t="shared" si="58"/>
        <v>1704.8999999999996</v>
      </c>
      <c r="P69" s="202">
        <f t="shared" si="58"/>
        <v>1677.29</v>
      </c>
      <c r="Q69" s="202">
        <f t="shared" si="58"/>
        <v>1871.83</v>
      </c>
      <c r="R69" s="167">
        <f t="shared" si="46"/>
        <v>19093.479999999996</v>
      </c>
    </row>
    <row r="70" spans="1:21" x14ac:dyDescent="0.25">
      <c r="A70" s="158">
        <v>8</v>
      </c>
      <c r="B70" s="155" t="str">
        <f t="shared" ref="B70:D70" si="59">B54</f>
        <v>US Silver-Idaho Inc</v>
      </c>
      <c r="C70" s="155">
        <f t="shared" si="59"/>
        <v>9500610000</v>
      </c>
      <c r="D70" s="155">
        <f t="shared" si="59"/>
        <v>9500430648</v>
      </c>
      <c r="E70" s="197">
        <f>E18</f>
        <v>0</v>
      </c>
      <c r="F70" s="202">
        <f t="shared" ref="F70:Q70" si="60">MAX(0,F54-3000)</f>
        <v>5183.2939999999999</v>
      </c>
      <c r="G70" s="202">
        <f t="shared" si="60"/>
        <v>5517.607</v>
      </c>
      <c r="H70" s="202">
        <f t="shared" si="60"/>
        <v>5465.3109999999997</v>
      </c>
      <c r="I70" s="202">
        <f t="shared" si="60"/>
        <v>5566.2489999999998</v>
      </c>
      <c r="J70" s="202">
        <f t="shared" si="60"/>
        <v>5529.259</v>
      </c>
      <c r="K70" s="202">
        <f t="shared" si="60"/>
        <v>5316.3680000000004</v>
      </c>
      <c r="L70" s="202">
        <f t="shared" si="60"/>
        <v>5790.9110000000001</v>
      </c>
      <c r="M70" s="202">
        <f t="shared" si="60"/>
        <v>5399.3359999999993</v>
      </c>
      <c r="N70" s="202">
        <f t="shared" si="60"/>
        <v>6065.9840000000004</v>
      </c>
      <c r="O70" s="202">
        <f t="shared" si="60"/>
        <v>5914.3509999999987</v>
      </c>
      <c r="P70" s="202">
        <f t="shared" si="60"/>
        <v>5911.9089999999997</v>
      </c>
      <c r="Q70" s="202">
        <f t="shared" si="60"/>
        <v>5794.9459999999999</v>
      </c>
      <c r="R70" s="167">
        <f t="shared" si="46"/>
        <v>67455.524999999994</v>
      </c>
    </row>
    <row r="71" spans="1:21" x14ac:dyDescent="0.25">
      <c r="A71" s="158">
        <v>9</v>
      </c>
      <c r="B71" s="155" t="str">
        <f t="shared" ref="B71:D71" si="61">B55</f>
        <v>Idaho Forest Group</v>
      </c>
      <c r="C71" s="155">
        <f t="shared" si="61"/>
        <v>2304050000</v>
      </c>
      <c r="D71" s="155">
        <f t="shared" si="61"/>
        <v>2300622080</v>
      </c>
      <c r="E71" s="197">
        <f>E18</f>
        <v>0</v>
      </c>
      <c r="F71" s="202">
        <f t="shared" ref="F71:Q71" si="62">MAX(0,F55-3000)</f>
        <v>4700.09</v>
      </c>
      <c r="G71" s="202">
        <f t="shared" si="62"/>
        <v>4670.8130000000001</v>
      </c>
      <c r="H71" s="202">
        <f t="shared" si="62"/>
        <v>4436.6319999999996</v>
      </c>
      <c r="I71" s="202">
        <f t="shared" si="62"/>
        <v>3969.12</v>
      </c>
      <c r="J71" s="202">
        <f t="shared" si="62"/>
        <v>3792.2039999999997</v>
      </c>
      <c r="K71" s="202">
        <f t="shared" si="62"/>
        <v>3771.2079999999996</v>
      </c>
      <c r="L71" s="202">
        <f t="shared" si="62"/>
        <v>3895.9520000000002</v>
      </c>
      <c r="M71" s="202">
        <f t="shared" si="62"/>
        <v>3688.0820000000003</v>
      </c>
      <c r="N71" s="202">
        <f t="shared" si="62"/>
        <v>4074.1570000000002</v>
      </c>
      <c r="O71" s="202">
        <f t="shared" si="62"/>
        <v>4668.3559999999998</v>
      </c>
      <c r="P71" s="202">
        <f t="shared" si="62"/>
        <v>4631.866</v>
      </c>
      <c r="Q71" s="202">
        <f t="shared" si="62"/>
        <v>4089.4939999999997</v>
      </c>
      <c r="R71" s="167">
        <f t="shared" si="46"/>
        <v>50387.973999999995</v>
      </c>
    </row>
    <row r="72" spans="1:21" x14ac:dyDescent="0.25">
      <c r="A72" s="158">
        <v>10</v>
      </c>
      <c r="B72" s="155" t="str">
        <f t="shared" ref="B72:D72" si="63">B56</f>
        <v>Plummer Forest Products Inc</v>
      </c>
      <c r="C72" s="155">
        <f t="shared" si="63"/>
        <v>3059350000</v>
      </c>
      <c r="D72" s="155">
        <f t="shared" si="63"/>
        <v>3056543951</v>
      </c>
      <c r="E72" s="197">
        <f>E19</f>
        <v>0</v>
      </c>
      <c r="F72" s="202">
        <f t="shared" ref="F72" si="64">MAX(0,F56-3000)</f>
        <v>166.30999999999995</v>
      </c>
      <c r="G72" s="202">
        <f t="shared" ref="G72:Q72" si="65">MAX(0,G56-3000)</f>
        <v>170.70800000000008</v>
      </c>
      <c r="H72" s="202">
        <f t="shared" si="65"/>
        <v>123.85699999999997</v>
      </c>
      <c r="I72" s="202">
        <f t="shared" si="65"/>
        <v>0</v>
      </c>
      <c r="J72" s="202">
        <f t="shared" si="65"/>
        <v>0</v>
      </c>
      <c r="K72" s="202">
        <f t="shared" si="65"/>
        <v>0</v>
      </c>
      <c r="L72" s="202">
        <f t="shared" si="65"/>
        <v>0</v>
      </c>
      <c r="M72" s="202">
        <f t="shared" si="65"/>
        <v>0</v>
      </c>
      <c r="N72" s="202">
        <f t="shared" si="65"/>
        <v>0</v>
      </c>
      <c r="O72" s="202">
        <f t="shared" si="65"/>
        <v>0</v>
      </c>
      <c r="P72" s="202">
        <f t="shared" si="65"/>
        <v>0</v>
      </c>
      <c r="Q72" s="202">
        <f t="shared" si="65"/>
        <v>0</v>
      </c>
      <c r="R72" s="167">
        <f t="shared" si="46"/>
        <v>460.875</v>
      </c>
    </row>
    <row r="73" spans="1:21" x14ac:dyDescent="0.25">
      <c r="A73" s="158">
        <v>11</v>
      </c>
      <c r="B73" s="155" t="str">
        <f t="shared" ref="B73:D73" si="66">B57</f>
        <v>Kootenai Health</v>
      </c>
      <c r="C73" s="155">
        <f t="shared" si="66"/>
        <v>6743927051</v>
      </c>
      <c r="D73" s="155">
        <f t="shared" si="66"/>
        <v>6749204037</v>
      </c>
      <c r="E73" s="197"/>
      <c r="F73" s="202">
        <f t="shared" ref="F73:Q73" si="67">MAX(0,F57-3000)</f>
        <v>0</v>
      </c>
      <c r="G73" s="202">
        <f t="shared" si="67"/>
        <v>0</v>
      </c>
      <c r="H73" s="202">
        <f t="shared" si="67"/>
        <v>0</v>
      </c>
      <c r="I73" s="202">
        <f t="shared" si="67"/>
        <v>0</v>
      </c>
      <c r="J73" s="202">
        <f t="shared" si="67"/>
        <v>0</v>
      </c>
      <c r="K73" s="202">
        <f t="shared" si="67"/>
        <v>0</v>
      </c>
      <c r="L73" s="202">
        <f t="shared" si="67"/>
        <v>0</v>
      </c>
      <c r="M73" s="202">
        <f t="shared" si="67"/>
        <v>0</v>
      </c>
      <c r="N73" s="202">
        <f t="shared" si="67"/>
        <v>0</v>
      </c>
      <c r="O73" s="202">
        <f t="shared" si="67"/>
        <v>0</v>
      </c>
      <c r="P73" s="202">
        <f t="shared" si="67"/>
        <v>0</v>
      </c>
      <c r="Q73" s="202">
        <f t="shared" si="67"/>
        <v>0</v>
      </c>
      <c r="R73" s="167">
        <f t="shared" si="46"/>
        <v>0</v>
      </c>
    </row>
    <row r="74" spans="1:21" x14ac:dyDescent="0.25">
      <c r="A74" s="158">
        <v>12</v>
      </c>
      <c r="B74" s="155" t="str">
        <f t="shared" ref="B74:D74" si="68">B58</f>
        <v>Stimson Lumber</v>
      </c>
      <c r="C74" s="155">
        <f t="shared" si="68"/>
        <v>4561420000</v>
      </c>
      <c r="D74" s="155">
        <f t="shared" si="68"/>
        <v>4560652323</v>
      </c>
      <c r="E74" s="197">
        <f>E20</f>
        <v>0</v>
      </c>
      <c r="F74" s="202">
        <f t="shared" ref="F74:Q74" si="69">MAX(0,F58-3000)</f>
        <v>0</v>
      </c>
      <c r="G74" s="202">
        <f t="shared" si="69"/>
        <v>0</v>
      </c>
      <c r="H74" s="202">
        <f t="shared" si="69"/>
        <v>0</v>
      </c>
      <c r="I74" s="202">
        <f t="shared" si="69"/>
        <v>0</v>
      </c>
      <c r="J74" s="202">
        <f t="shared" si="69"/>
        <v>0</v>
      </c>
      <c r="K74" s="202">
        <f t="shared" si="69"/>
        <v>0</v>
      </c>
      <c r="L74" s="202">
        <f t="shared" si="69"/>
        <v>0</v>
      </c>
      <c r="M74" s="202">
        <f t="shared" si="69"/>
        <v>0</v>
      </c>
      <c r="N74" s="202">
        <f t="shared" si="69"/>
        <v>0</v>
      </c>
      <c r="O74" s="202">
        <f t="shared" si="69"/>
        <v>0</v>
      </c>
      <c r="P74" s="202">
        <f t="shared" si="69"/>
        <v>0</v>
      </c>
      <c r="Q74" s="202">
        <f t="shared" si="69"/>
        <v>0</v>
      </c>
      <c r="R74" s="167">
        <f t="shared" si="46"/>
        <v>0</v>
      </c>
    </row>
    <row r="75" spans="1:21" ht="15.75" thickBot="1" x14ac:dyDescent="0.3">
      <c r="A75" s="158"/>
      <c r="B75" s="155"/>
      <c r="C75" s="155"/>
      <c r="D75" s="155"/>
      <c r="E75" s="197"/>
      <c r="F75" s="203">
        <f>SUM(F63:F74)</f>
        <v>27352.368999999999</v>
      </c>
      <c r="G75" s="203">
        <f t="shared" ref="G75:Q75" si="70">SUM(G63:G74)</f>
        <v>27826.557000000001</v>
      </c>
      <c r="H75" s="203">
        <f t="shared" si="70"/>
        <v>27238.645</v>
      </c>
      <c r="I75" s="203">
        <f t="shared" si="70"/>
        <v>26523.517</v>
      </c>
      <c r="J75" s="203">
        <f t="shared" si="70"/>
        <v>26122.625999999997</v>
      </c>
      <c r="K75" s="203">
        <f t="shared" si="70"/>
        <v>26573.080999999998</v>
      </c>
      <c r="L75" s="203">
        <f t="shared" si="70"/>
        <v>27563.137000000002</v>
      </c>
      <c r="M75" s="203">
        <f t="shared" si="70"/>
        <v>27697.715999999993</v>
      </c>
      <c r="N75" s="203">
        <f t="shared" si="70"/>
        <v>28897.344000000001</v>
      </c>
      <c r="O75" s="203">
        <f t="shared" si="70"/>
        <v>28929.526999999998</v>
      </c>
      <c r="P75" s="203">
        <f t="shared" si="70"/>
        <v>28789.480000000003</v>
      </c>
      <c r="Q75" s="203">
        <f t="shared" si="70"/>
        <v>27812.418999999998</v>
      </c>
      <c r="R75" s="172">
        <f>IF(ROUND(SUM(F75:Q75),3)&lt;&gt;ROUND(SUM(R63:R74),3),#VALUE!,SUM(F75:Q75))</f>
        <v>331326.41799999995</v>
      </c>
    </row>
    <row r="76" spans="1:21" ht="15.75" thickTop="1" x14ac:dyDescent="0.25">
      <c r="A76" s="158"/>
      <c r="B76" s="155"/>
      <c r="C76" s="155"/>
      <c r="D76" s="155"/>
      <c r="E76" s="197"/>
      <c r="F76" s="204">
        <f>F59-F75</f>
        <v>31702.896000000008</v>
      </c>
      <c r="G76" s="204">
        <f t="shared" ref="G76:P76" si="71">G59-G75</f>
        <v>31768.898999999998</v>
      </c>
      <c r="H76" s="204">
        <f t="shared" si="71"/>
        <v>31818.066999999999</v>
      </c>
      <c r="I76" s="204">
        <f t="shared" si="71"/>
        <v>30142.438999999998</v>
      </c>
      <c r="J76" s="204">
        <f t="shared" si="71"/>
        <v>28950.852999999996</v>
      </c>
      <c r="K76" s="204">
        <f t="shared" si="71"/>
        <v>29043.636999999995</v>
      </c>
      <c r="L76" s="204">
        <f t="shared" si="71"/>
        <v>28963.372999999992</v>
      </c>
      <c r="M76" s="204">
        <f t="shared" si="71"/>
        <v>29022.797000000006</v>
      </c>
      <c r="N76" s="204">
        <f t="shared" si="71"/>
        <v>28904.011000000002</v>
      </c>
      <c r="O76" s="204">
        <f t="shared" si="71"/>
        <v>28690.494999999999</v>
      </c>
      <c r="P76" s="204">
        <f t="shared" si="71"/>
        <v>28126.712999999996</v>
      </c>
      <c r="Q76" s="204">
        <f>Q59-Q75</f>
        <v>28171.023999999994</v>
      </c>
      <c r="R76" s="173"/>
    </row>
    <row r="77" spans="1:21" x14ac:dyDescent="0.25">
      <c r="A77" s="158"/>
      <c r="B77" s="155"/>
      <c r="C77" s="155"/>
      <c r="D77" s="155"/>
      <c r="E77" s="155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8" t="str">
        <f>R$2</f>
        <v>12-mo Ended</v>
      </c>
    </row>
    <row r="78" spans="1:21" x14ac:dyDescent="0.25">
      <c r="A78" s="158"/>
      <c r="B78" s="155"/>
      <c r="C78" s="155"/>
      <c r="D78" s="155"/>
      <c r="E78" s="155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</row>
    <row r="79" spans="1:21" x14ac:dyDescent="0.25">
      <c r="A79" s="161" t="s">
        <v>261</v>
      </c>
      <c r="B79" s="154"/>
      <c r="C79" s="161"/>
      <c r="D79" s="161"/>
      <c r="E79" s="155"/>
      <c r="F79" s="195">
        <f t="shared" ref="F79:Q79" si="72">F$3</f>
        <v>43466</v>
      </c>
      <c r="G79" s="195">
        <f t="shared" si="72"/>
        <v>43497</v>
      </c>
      <c r="H79" s="195">
        <f t="shared" si="72"/>
        <v>43528</v>
      </c>
      <c r="I79" s="195">
        <f t="shared" si="72"/>
        <v>43559</v>
      </c>
      <c r="J79" s="195">
        <f t="shared" si="72"/>
        <v>43590</v>
      </c>
      <c r="K79" s="195">
        <f t="shared" si="72"/>
        <v>43621</v>
      </c>
      <c r="L79" s="195">
        <f t="shared" si="72"/>
        <v>43652</v>
      </c>
      <c r="M79" s="195">
        <f t="shared" si="72"/>
        <v>43683</v>
      </c>
      <c r="N79" s="195">
        <f t="shared" si="72"/>
        <v>43714</v>
      </c>
      <c r="O79" s="195">
        <f t="shared" si="72"/>
        <v>43745</v>
      </c>
      <c r="P79" s="195">
        <f t="shared" si="72"/>
        <v>43776</v>
      </c>
      <c r="Q79" s="195">
        <f t="shared" si="72"/>
        <v>43807</v>
      </c>
      <c r="R79" s="158" t="s">
        <v>13</v>
      </c>
    </row>
    <row r="80" spans="1:21" x14ac:dyDescent="0.25">
      <c r="A80" s="158"/>
      <c r="B80" s="155" t="s">
        <v>257</v>
      </c>
      <c r="C80" s="155"/>
      <c r="D80" s="155"/>
      <c r="E80" s="15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167">
        <f>SUM(F80:Q80)</f>
        <v>0</v>
      </c>
    </row>
    <row r="81" spans="1:18" x14ac:dyDescent="0.25">
      <c r="A81" s="158"/>
      <c r="B81" s="155" t="s">
        <v>257</v>
      </c>
      <c r="C81" s="155"/>
      <c r="D81" s="155"/>
      <c r="E81" s="15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167">
        <f>SUM(F81:Q81)</f>
        <v>0</v>
      </c>
    </row>
    <row r="82" spans="1:18" x14ac:dyDescent="0.25">
      <c r="A82" s="158"/>
      <c r="B82" s="155" t="s">
        <v>258</v>
      </c>
      <c r="C82" s="155"/>
      <c r="D82" s="155"/>
      <c r="E82" s="155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167">
        <f>SUM(F82:Q82)</f>
        <v>0</v>
      </c>
    </row>
    <row r="83" spans="1:18" ht="15.75" thickBot="1" x14ac:dyDescent="0.3">
      <c r="A83" s="158" t="s">
        <v>259</v>
      </c>
      <c r="B83" s="207"/>
      <c r="C83" s="207"/>
      <c r="D83" s="207"/>
      <c r="E83" s="155"/>
      <c r="F83" s="200">
        <f t="shared" ref="F83:Q83" si="73">SUM(F80:F82)</f>
        <v>0</v>
      </c>
      <c r="G83" s="200">
        <f t="shared" si="73"/>
        <v>0</v>
      </c>
      <c r="H83" s="200">
        <f t="shared" si="73"/>
        <v>0</v>
      </c>
      <c r="I83" s="200">
        <f t="shared" si="73"/>
        <v>0</v>
      </c>
      <c r="J83" s="200">
        <f t="shared" si="73"/>
        <v>0</v>
      </c>
      <c r="K83" s="200">
        <f t="shared" si="73"/>
        <v>0</v>
      </c>
      <c r="L83" s="200">
        <f t="shared" si="73"/>
        <v>0</v>
      </c>
      <c r="M83" s="200">
        <f t="shared" si="73"/>
        <v>0</v>
      </c>
      <c r="N83" s="200">
        <f t="shared" si="73"/>
        <v>0</v>
      </c>
      <c r="O83" s="200">
        <f t="shared" si="73"/>
        <v>0</v>
      </c>
      <c r="P83" s="200">
        <f t="shared" si="73"/>
        <v>0</v>
      </c>
      <c r="Q83" s="200">
        <f t="shared" si="73"/>
        <v>0</v>
      </c>
      <c r="R83" s="208">
        <f>IF(ROUND(SUM(F83:Q83),3)&lt;&gt;ROUND(SUM(R80:R82),3),#VALUE!,SUM(F83:Q83))</f>
        <v>0</v>
      </c>
    </row>
    <row r="84" spans="1:18" ht="15.75" thickTop="1" x14ac:dyDescent="0.25">
      <c r="A84" s="158"/>
      <c r="B84" s="155"/>
      <c r="C84" s="155"/>
      <c r="D84" s="155"/>
      <c r="E84" s="155"/>
      <c r="F84" s="174">
        <f>F11</f>
        <v>4353485.8</v>
      </c>
      <c r="G84" s="174">
        <f t="shared" ref="G84:Q84" si="74">G11</f>
        <v>4237782.2</v>
      </c>
      <c r="H84" s="174">
        <f t="shared" si="74"/>
        <v>4427606.5999999996</v>
      </c>
      <c r="I84" s="174">
        <f t="shared" si="74"/>
        <v>4572682.5999999996</v>
      </c>
      <c r="J84" s="174">
        <f t="shared" si="74"/>
        <v>4425364.8</v>
      </c>
      <c r="K84" s="174">
        <f t="shared" si="74"/>
        <v>4393052</v>
      </c>
      <c r="L84" s="174">
        <f t="shared" si="74"/>
        <v>4543425.4000000004</v>
      </c>
      <c r="M84" s="174">
        <f t="shared" si="74"/>
        <v>4460041.8</v>
      </c>
      <c r="N84" s="174">
        <f t="shared" si="74"/>
        <v>4448237.2</v>
      </c>
      <c r="O84" s="174">
        <f t="shared" si="74"/>
        <v>4786175.5999999996</v>
      </c>
      <c r="P84" s="174">
        <f t="shared" si="74"/>
        <v>4249378.8</v>
      </c>
      <c r="Q84" s="174">
        <f t="shared" si="74"/>
        <v>4668001.8</v>
      </c>
      <c r="R84" s="174">
        <f t="shared" ref="R84" si="75">R18</f>
        <v>311450294.81900001</v>
      </c>
    </row>
    <row r="85" spans="1:18" x14ac:dyDescent="0.25">
      <c r="A85" s="161" t="s">
        <v>262</v>
      </c>
      <c r="B85" s="161"/>
      <c r="C85" s="161"/>
      <c r="D85" s="161"/>
      <c r="E85" s="155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</row>
    <row r="86" spans="1:18" x14ac:dyDescent="0.25">
      <c r="A86" s="158"/>
      <c r="B86" s="155" t="s">
        <v>257</v>
      </c>
      <c r="C86" s="155">
        <v>9500610000</v>
      </c>
      <c r="D86" s="155">
        <v>9500733110</v>
      </c>
      <c r="E86" s="155"/>
      <c r="F86" s="205">
        <v>7425.2280000000001</v>
      </c>
      <c r="G86" s="205">
        <v>7507.6180000000004</v>
      </c>
      <c r="H86" s="205">
        <v>7697.4639999999999</v>
      </c>
      <c r="I86" s="205">
        <v>7782.6059999999998</v>
      </c>
      <c r="J86" s="205">
        <v>7403.6149999999998</v>
      </c>
      <c r="K86" s="205">
        <v>7441.4620000000004</v>
      </c>
      <c r="L86" s="205">
        <v>7859.7269999999999</v>
      </c>
      <c r="M86" s="205">
        <v>7155.74</v>
      </c>
      <c r="N86" s="205">
        <v>7672.8580000000002</v>
      </c>
      <c r="O86" s="205">
        <v>7917.6</v>
      </c>
      <c r="P86" s="205">
        <v>8139.442</v>
      </c>
      <c r="Q86" s="205">
        <v>7303.4390000000003</v>
      </c>
      <c r="R86" s="167">
        <f>SUM(F86:Q86)</f>
        <v>91306.798999999999</v>
      </c>
    </row>
    <row r="87" spans="1:18" x14ac:dyDescent="0.25">
      <c r="A87" s="158"/>
      <c r="B87" s="155" t="s">
        <v>257</v>
      </c>
      <c r="C87" s="155">
        <v>9500610000</v>
      </c>
      <c r="D87" s="155">
        <v>9509358876</v>
      </c>
      <c r="E87" s="155"/>
      <c r="F87" s="205">
        <v>216.923</v>
      </c>
      <c r="G87" s="205">
        <v>219.49199999999999</v>
      </c>
      <c r="H87" s="205">
        <v>241.726</v>
      </c>
      <c r="I87" s="205">
        <v>220.98699999999999</v>
      </c>
      <c r="J87" s="205">
        <v>282.02300000000002</v>
      </c>
      <c r="K87" s="205">
        <v>283.13200000000001</v>
      </c>
      <c r="L87" s="205">
        <v>286.928</v>
      </c>
      <c r="M87" s="205">
        <v>293.46600000000001</v>
      </c>
      <c r="N87" s="205">
        <v>286.928</v>
      </c>
      <c r="O87" s="205">
        <v>284.47199999999998</v>
      </c>
      <c r="P87" s="205">
        <v>317.69799999999998</v>
      </c>
      <c r="Q87" s="205">
        <v>283.13200000000001</v>
      </c>
      <c r="R87" s="167">
        <f>SUM(F87:Q87)</f>
        <v>3216.9069999999992</v>
      </c>
    </row>
    <row r="88" spans="1:18" x14ac:dyDescent="0.25">
      <c r="A88" s="158"/>
      <c r="B88" s="155" t="s">
        <v>258</v>
      </c>
      <c r="C88" s="155"/>
      <c r="D88" s="155"/>
      <c r="E88" s="155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167">
        <f>SUM(F88:Q88)</f>
        <v>0</v>
      </c>
    </row>
    <row r="89" spans="1:18" ht="15.75" thickBot="1" x14ac:dyDescent="0.3">
      <c r="A89" s="158" t="s">
        <v>259</v>
      </c>
      <c r="B89" s="207"/>
      <c r="C89" s="207"/>
      <c r="D89" s="207"/>
      <c r="E89" s="155"/>
      <c r="F89" s="203">
        <f t="shared" ref="F89:Q89" si="76">SUM(F86:F88)</f>
        <v>7642.1509999999998</v>
      </c>
      <c r="G89" s="203">
        <f t="shared" si="76"/>
        <v>7727.1100000000006</v>
      </c>
      <c r="H89" s="203">
        <f t="shared" si="76"/>
        <v>7939.19</v>
      </c>
      <c r="I89" s="203">
        <f t="shared" si="76"/>
        <v>8003.5929999999998</v>
      </c>
      <c r="J89" s="203">
        <f t="shared" si="76"/>
        <v>7685.6379999999999</v>
      </c>
      <c r="K89" s="203">
        <f t="shared" si="76"/>
        <v>7724.5940000000001</v>
      </c>
      <c r="L89" s="203">
        <f t="shared" si="76"/>
        <v>8146.6549999999997</v>
      </c>
      <c r="M89" s="203">
        <f t="shared" si="76"/>
        <v>7449.2060000000001</v>
      </c>
      <c r="N89" s="203">
        <f t="shared" si="76"/>
        <v>7959.7860000000001</v>
      </c>
      <c r="O89" s="203">
        <f t="shared" si="76"/>
        <v>8202.0720000000001</v>
      </c>
      <c r="P89" s="203">
        <f t="shared" si="76"/>
        <v>8457.14</v>
      </c>
      <c r="Q89" s="203">
        <f t="shared" si="76"/>
        <v>7586.5709999999999</v>
      </c>
      <c r="R89" s="208">
        <f t="shared" ref="R89" si="77">SUM(R86:R88)</f>
        <v>94523.706000000006</v>
      </c>
    </row>
    <row r="90" spans="1:18" ht="15.75" thickTop="1" x14ac:dyDescent="0.25">
      <c r="A90" s="158"/>
      <c r="B90" s="155"/>
      <c r="C90" s="155"/>
      <c r="D90" s="155" t="s">
        <v>275</v>
      </c>
      <c r="E90" s="155"/>
      <c r="F90" s="210">
        <f t="shared" ref="F90:Q90" si="78">F54</f>
        <v>8183.2939999999999</v>
      </c>
      <c r="G90" s="210">
        <f t="shared" si="78"/>
        <v>8517.607</v>
      </c>
      <c r="H90" s="210">
        <f t="shared" si="78"/>
        <v>8465.3109999999997</v>
      </c>
      <c r="I90" s="210">
        <f t="shared" si="78"/>
        <v>8566.2489999999998</v>
      </c>
      <c r="J90" s="210">
        <f t="shared" si="78"/>
        <v>8529.259</v>
      </c>
      <c r="K90" s="210">
        <f t="shared" si="78"/>
        <v>8316.3680000000004</v>
      </c>
      <c r="L90" s="210">
        <f t="shared" si="78"/>
        <v>8790.9110000000001</v>
      </c>
      <c r="M90" s="210">
        <f t="shared" si="78"/>
        <v>8399.3359999999993</v>
      </c>
      <c r="N90" s="210">
        <f t="shared" si="78"/>
        <v>9065.9840000000004</v>
      </c>
      <c r="O90" s="210">
        <f t="shared" si="78"/>
        <v>8914.3509999999987</v>
      </c>
      <c r="P90" s="210">
        <f t="shared" si="78"/>
        <v>8911.9089999999997</v>
      </c>
      <c r="Q90" s="210">
        <f t="shared" si="78"/>
        <v>8794.9459999999999</v>
      </c>
      <c r="R90" s="210">
        <f>R54</f>
        <v>103455.52499999998</v>
      </c>
    </row>
    <row r="91" spans="1:18" x14ac:dyDescent="0.25">
      <c r="A91" s="158"/>
      <c r="B91" s="155"/>
      <c r="C91" s="155"/>
      <c r="E91" s="155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154"/>
    </row>
    <row r="92" spans="1:18" x14ac:dyDescent="0.25">
      <c r="A92" s="158"/>
      <c r="B92" s="155" t="s">
        <v>274</v>
      </c>
      <c r="C92" s="155"/>
      <c r="D92" s="155">
        <v>-0.2</v>
      </c>
      <c r="E92" s="212">
        <v>-0.2</v>
      </c>
      <c r="F92" s="213">
        <f t="shared" ref="F92:Q92" si="79">(F59-F54+F86+F87)*$D$92</f>
        <v>-11702.824400000003</v>
      </c>
      <c r="G92" s="213">
        <f t="shared" si="79"/>
        <v>-11760.991800000002</v>
      </c>
      <c r="H92" s="213">
        <f t="shared" si="79"/>
        <v>-11706.118200000001</v>
      </c>
      <c r="I92" s="213">
        <f t="shared" si="79"/>
        <v>-11220.66</v>
      </c>
      <c r="J92" s="213">
        <f t="shared" si="79"/>
        <v>-10845.971599999999</v>
      </c>
      <c r="K92" s="213">
        <f t="shared" si="79"/>
        <v>-11004.988799999999</v>
      </c>
      <c r="L92" s="213">
        <f t="shared" si="79"/>
        <v>-11176.450799999999</v>
      </c>
      <c r="M92" s="213">
        <f t="shared" si="79"/>
        <v>-11154.0766</v>
      </c>
      <c r="N92" s="213">
        <f t="shared" si="79"/>
        <v>-11339.0314</v>
      </c>
      <c r="O92" s="213">
        <f t="shared" si="79"/>
        <v>-11381.548600000002</v>
      </c>
      <c r="P92" s="213">
        <f t="shared" si="79"/>
        <v>-11292.284800000001</v>
      </c>
      <c r="Q92" s="213">
        <f t="shared" si="79"/>
        <v>-10955.013599999998</v>
      </c>
      <c r="R92" s="213">
        <f>SUM(F92:Q92)</f>
        <v>-135539.96060000002</v>
      </c>
    </row>
    <row r="93" spans="1:18" x14ac:dyDescent="0.25">
      <c r="A93" s="158"/>
      <c r="B93" s="155"/>
      <c r="C93" s="155"/>
      <c r="D93" s="155"/>
      <c r="E93" s="155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</row>
    <row r="94" spans="1:18" x14ac:dyDescent="0.25">
      <c r="A94" s="158"/>
      <c r="B94" s="155"/>
    </row>
    <row r="95" spans="1:18" x14ac:dyDescent="0.25">
      <c r="A95" s="214" t="s">
        <v>260</v>
      </c>
      <c r="B95" s="207"/>
      <c r="C95" s="207"/>
      <c r="D95" s="207"/>
      <c r="E95" s="191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1"/>
    </row>
    <row r="96" spans="1:18" x14ac:dyDescent="0.25">
      <c r="A96" s="185"/>
      <c r="B96" s="207" t="s">
        <v>282</v>
      </c>
      <c r="C96" s="207">
        <f>C27</f>
        <v>2166400000</v>
      </c>
      <c r="D96" s="207">
        <f>D27</f>
        <v>2160125933</v>
      </c>
      <c r="E96" s="207">
        <v>2500009</v>
      </c>
      <c r="F96" s="215">
        <v>95870</v>
      </c>
      <c r="G96" s="215">
        <v>73780</v>
      </c>
      <c r="H96" s="215">
        <v>78150</v>
      </c>
      <c r="I96" s="215">
        <v>62970</v>
      </c>
      <c r="J96" s="215">
        <v>61540</v>
      </c>
      <c r="K96" s="215">
        <v>53900</v>
      </c>
      <c r="L96" s="215">
        <v>83520</v>
      </c>
      <c r="M96" s="215">
        <v>80500</v>
      </c>
      <c r="N96" s="215">
        <v>86480</v>
      </c>
      <c r="O96" s="215">
        <v>91940</v>
      </c>
      <c r="P96" s="215">
        <v>60180</v>
      </c>
      <c r="Q96" s="215">
        <v>73590</v>
      </c>
      <c r="R96" s="189">
        <f>SUM(F96:Q96)</f>
        <v>902420</v>
      </c>
    </row>
    <row r="97" spans="1:18" x14ac:dyDescent="0.25">
      <c r="A97" s="185"/>
      <c r="B97" s="207" t="s">
        <v>280</v>
      </c>
      <c r="C97" s="207"/>
      <c r="D97" s="207"/>
      <c r="E97" s="207"/>
      <c r="F97" s="216">
        <f t="shared" ref="F97:Q97" si="80">IF(F96&gt;55000, 52000,F96-3000)</f>
        <v>52000</v>
      </c>
      <c r="G97" s="216">
        <f t="shared" si="80"/>
        <v>52000</v>
      </c>
      <c r="H97" s="216">
        <f t="shared" si="80"/>
        <v>52000</v>
      </c>
      <c r="I97" s="216">
        <f t="shared" si="80"/>
        <v>52000</v>
      </c>
      <c r="J97" s="216">
        <f t="shared" si="80"/>
        <v>52000</v>
      </c>
      <c r="K97" s="216">
        <f t="shared" si="80"/>
        <v>50900</v>
      </c>
      <c r="L97" s="216">
        <f t="shared" si="80"/>
        <v>52000</v>
      </c>
      <c r="M97" s="216">
        <f t="shared" si="80"/>
        <v>52000</v>
      </c>
      <c r="N97" s="216">
        <f t="shared" si="80"/>
        <v>52000</v>
      </c>
      <c r="O97" s="216">
        <f t="shared" si="80"/>
        <v>52000</v>
      </c>
      <c r="P97" s="216">
        <f t="shared" si="80"/>
        <v>52000</v>
      </c>
      <c r="Q97" s="216">
        <f t="shared" si="80"/>
        <v>52000</v>
      </c>
      <c r="R97" s="217">
        <f>SUM(F97:Q97)</f>
        <v>622900</v>
      </c>
    </row>
    <row r="98" spans="1:18" x14ac:dyDescent="0.25">
      <c r="A98" s="185"/>
      <c r="B98" s="207" t="s">
        <v>281</v>
      </c>
      <c r="C98" s="207"/>
      <c r="D98" s="207"/>
      <c r="E98" s="207"/>
      <c r="F98" s="216">
        <f t="shared" ref="F98:Q98" si="81">MAX(0,F96-55000)</f>
        <v>40870</v>
      </c>
      <c r="G98" s="216">
        <f t="shared" si="81"/>
        <v>18780</v>
      </c>
      <c r="H98" s="216">
        <f t="shared" si="81"/>
        <v>23150</v>
      </c>
      <c r="I98" s="216">
        <f t="shared" si="81"/>
        <v>7970</v>
      </c>
      <c r="J98" s="216">
        <f t="shared" si="81"/>
        <v>6540</v>
      </c>
      <c r="K98" s="216">
        <f t="shared" si="81"/>
        <v>0</v>
      </c>
      <c r="L98" s="216">
        <f t="shared" si="81"/>
        <v>28520</v>
      </c>
      <c r="M98" s="216">
        <f t="shared" si="81"/>
        <v>25500</v>
      </c>
      <c r="N98" s="216">
        <f t="shared" si="81"/>
        <v>31480</v>
      </c>
      <c r="O98" s="216">
        <f t="shared" si="81"/>
        <v>36940</v>
      </c>
      <c r="P98" s="216">
        <f t="shared" si="81"/>
        <v>5180</v>
      </c>
      <c r="Q98" s="216">
        <f t="shared" si="81"/>
        <v>18590</v>
      </c>
      <c r="R98" s="217">
        <f>SUM(F98:Q98)</f>
        <v>243520</v>
      </c>
    </row>
    <row r="99" spans="1:18" x14ac:dyDescent="0.25">
      <c r="B99" s="232" t="s">
        <v>14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f>SUM(F99:Q99)</f>
        <v>12</v>
      </c>
    </row>
    <row r="100" spans="1:18" x14ac:dyDescent="0.25">
      <c r="B100" s="232" t="s">
        <v>15</v>
      </c>
      <c r="F100" s="29">
        <f>F29</f>
        <v>35210010</v>
      </c>
      <c r="G100" s="29">
        <f t="shared" ref="G100:Q100" si="82">G29</f>
        <v>30823170</v>
      </c>
      <c r="H100" s="29">
        <f t="shared" si="82"/>
        <v>35740380</v>
      </c>
      <c r="I100" s="29">
        <f t="shared" si="82"/>
        <v>31016760</v>
      </c>
      <c r="J100" s="29">
        <f t="shared" si="82"/>
        <v>32290770</v>
      </c>
      <c r="K100" s="29">
        <f t="shared" si="82"/>
        <v>29648650</v>
      </c>
      <c r="L100" s="29">
        <f t="shared" si="82"/>
        <v>32657540</v>
      </c>
      <c r="M100" s="29">
        <f t="shared" si="82"/>
        <v>39269540</v>
      </c>
      <c r="N100" s="29">
        <f t="shared" si="82"/>
        <v>31549600</v>
      </c>
      <c r="O100" s="29">
        <f t="shared" si="82"/>
        <v>29938810</v>
      </c>
      <c r="P100" s="29">
        <f t="shared" si="82"/>
        <v>29702540</v>
      </c>
      <c r="Q100" s="29">
        <f t="shared" si="82"/>
        <v>31900980</v>
      </c>
      <c r="R100" s="6">
        <f t="shared" ref="R100:R101" si="83">SUM(F100:Q100)</f>
        <v>389748750</v>
      </c>
    </row>
    <row r="101" spans="1:18" x14ac:dyDescent="0.25">
      <c r="B101" s="232" t="s">
        <v>16</v>
      </c>
      <c r="F101" s="29">
        <f>F28</f>
        <v>0</v>
      </c>
      <c r="G101" s="29">
        <f t="shared" ref="G101:Q101" si="84">G28</f>
        <v>0</v>
      </c>
      <c r="H101" s="29">
        <f t="shared" si="84"/>
        <v>0</v>
      </c>
      <c r="I101" s="29">
        <f t="shared" si="84"/>
        <v>0</v>
      </c>
      <c r="J101" s="29">
        <f t="shared" si="84"/>
        <v>0</v>
      </c>
      <c r="K101" s="29">
        <f t="shared" si="84"/>
        <v>0</v>
      </c>
      <c r="L101" s="29">
        <f t="shared" si="84"/>
        <v>0</v>
      </c>
      <c r="M101" s="29">
        <f t="shared" si="84"/>
        <v>0</v>
      </c>
      <c r="N101" s="29">
        <f t="shared" si="84"/>
        <v>0</v>
      </c>
      <c r="O101" s="29">
        <f t="shared" si="84"/>
        <v>0</v>
      </c>
      <c r="P101" s="29">
        <f t="shared" si="84"/>
        <v>0</v>
      </c>
      <c r="Q101" s="29">
        <f t="shared" si="84"/>
        <v>0</v>
      </c>
      <c r="R101" s="6">
        <f t="shared" si="83"/>
        <v>0</v>
      </c>
    </row>
    <row r="102" spans="1:18" x14ac:dyDescent="0.25">
      <c r="B102" s="232"/>
    </row>
    <row r="103" spans="1:18" x14ac:dyDescent="0.25">
      <c r="A103" s="231" t="s">
        <v>277</v>
      </c>
    </row>
    <row r="104" spans="1:18" x14ac:dyDescent="0.25">
      <c r="B104" s="231" t="s">
        <v>14</v>
      </c>
      <c r="F104">
        <v>11</v>
      </c>
      <c r="G104">
        <v>11</v>
      </c>
      <c r="H104">
        <v>11</v>
      </c>
      <c r="I104">
        <v>11</v>
      </c>
      <c r="J104">
        <v>10</v>
      </c>
      <c r="K104">
        <v>10</v>
      </c>
      <c r="L104">
        <v>10</v>
      </c>
      <c r="M104">
        <v>10</v>
      </c>
      <c r="N104">
        <v>10</v>
      </c>
      <c r="O104">
        <v>10</v>
      </c>
      <c r="P104">
        <v>10</v>
      </c>
      <c r="Q104">
        <v>10</v>
      </c>
      <c r="R104">
        <f>SUM(F104:Q104)</f>
        <v>124</v>
      </c>
    </row>
    <row r="105" spans="1:18" x14ac:dyDescent="0.25">
      <c r="B105" s="231" t="s">
        <v>240</v>
      </c>
      <c r="D105" s="2">
        <v>500000</v>
      </c>
      <c r="F105" s="2">
        <f>F104*$D$105</f>
        <v>5500000</v>
      </c>
      <c r="G105" s="2">
        <f t="shared" ref="G105:Q105" si="85">G104*$D$105</f>
        <v>5500000</v>
      </c>
      <c r="H105" s="2">
        <f t="shared" si="85"/>
        <v>5500000</v>
      </c>
      <c r="I105" s="2">
        <f t="shared" si="85"/>
        <v>5500000</v>
      </c>
      <c r="J105" s="2">
        <f t="shared" si="85"/>
        <v>5000000</v>
      </c>
      <c r="K105" s="2">
        <f t="shared" si="85"/>
        <v>5000000</v>
      </c>
      <c r="L105" s="2">
        <f t="shared" si="85"/>
        <v>5000000</v>
      </c>
      <c r="M105" s="2">
        <f t="shared" si="85"/>
        <v>5000000</v>
      </c>
      <c r="N105" s="2">
        <f t="shared" si="85"/>
        <v>5000000</v>
      </c>
      <c r="O105" s="2">
        <f t="shared" si="85"/>
        <v>5000000</v>
      </c>
      <c r="P105" s="2">
        <f t="shared" si="85"/>
        <v>5000000</v>
      </c>
      <c r="Q105" s="2">
        <f t="shared" si="85"/>
        <v>5000000</v>
      </c>
      <c r="R105" s="6">
        <f>SUM(F105:Q105)</f>
        <v>62000000</v>
      </c>
    </row>
    <row r="106" spans="1:18" x14ac:dyDescent="0.25">
      <c r="B106" s="231" t="s">
        <v>239</v>
      </c>
      <c r="D106" t="s">
        <v>278</v>
      </c>
      <c r="F106" s="2">
        <f>F16-F105</f>
        <v>22239144.160000004</v>
      </c>
      <c r="G106" s="2">
        <f t="shared" ref="G106:Q106" si="86">G16-G105</f>
        <v>20614251.850000001</v>
      </c>
      <c r="H106" s="2">
        <f t="shared" si="86"/>
        <v>22133923.990000002</v>
      </c>
      <c r="I106" s="2">
        <f t="shared" si="86"/>
        <v>20302164.089999996</v>
      </c>
      <c r="J106" s="2">
        <f t="shared" si="86"/>
        <v>20029523.640000001</v>
      </c>
      <c r="K106" s="2">
        <f t="shared" si="86"/>
        <v>19676992.609999999</v>
      </c>
      <c r="L106" s="2">
        <f t="shared" si="86"/>
        <v>20470885.170000002</v>
      </c>
      <c r="M106" s="2">
        <f t="shared" si="86"/>
        <v>20961908.239999998</v>
      </c>
      <c r="N106" s="2">
        <f t="shared" si="86"/>
        <v>19286387.700000003</v>
      </c>
      <c r="O106" s="2">
        <f t="shared" si="86"/>
        <v>21943892.889999997</v>
      </c>
      <c r="P106" s="2">
        <f t="shared" si="86"/>
        <v>19885078.810000002</v>
      </c>
      <c r="Q106" s="2">
        <f t="shared" si="86"/>
        <v>20497042.370000005</v>
      </c>
      <c r="R106" s="6">
        <f>SUM(F106:Q106)</f>
        <v>248041195.51999998</v>
      </c>
    </row>
    <row r="107" spans="1:18" x14ac:dyDescent="0.25">
      <c r="B107" s="231" t="s">
        <v>241</v>
      </c>
      <c r="F107" s="8">
        <f>SUM(F104:F106)</f>
        <v>27739155.160000004</v>
      </c>
      <c r="G107" s="8">
        <f t="shared" ref="G107:R107" si="87">SUM(G104:G106)</f>
        <v>26114262.850000001</v>
      </c>
      <c r="H107" s="8">
        <f t="shared" si="87"/>
        <v>27633934.990000002</v>
      </c>
      <c r="I107" s="8">
        <f t="shared" si="87"/>
        <v>25802175.089999996</v>
      </c>
      <c r="J107" s="8">
        <f t="shared" si="87"/>
        <v>25029533.640000001</v>
      </c>
      <c r="K107" s="8">
        <f t="shared" si="87"/>
        <v>24677002.609999999</v>
      </c>
      <c r="L107" s="8">
        <f t="shared" si="87"/>
        <v>25470895.170000002</v>
      </c>
      <c r="M107" s="8">
        <f t="shared" si="87"/>
        <v>25961918.239999998</v>
      </c>
      <c r="N107" s="8">
        <f t="shared" si="87"/>
        <v>24286397.700000003</v>
      </c>
      <c r="O107" s="8">
        <f t="shared" si="87"/>
        <v>26943902.889999997</v>
      </c>
      <c r="P107" s="8">
        <f t="shared" si="87"/>
        <v>24885088.810000002</v>
      </c>
      <c r="Q107" s="8">
        <f t="shared" si="87"/>
        <v>25497052.370000005</v>
      </c>
      <c r="R107" s="8">
        <f t="shared" si="87"/>
        <v>310041319.51999998</v>
      </c>
    </row>
    <row r="108" spans="1:18" x14ac:dyDescent="0.25">
      <c r="B108" s="161" t="s">
        <v>263</v>
      </c>
      <c r="D108" s="155"/>
      <c r="E108" s="155"/>
      <c r="F108" s="2">
        <f t="shared" ref="F108:Q108" si="88">F59-F54+F86+F87</f>
        <v>58514.12200000001</v>
      </c>
      <c r="G108" s="2">
        <f t="shared" si="88"/>
        <v>58804.959000000003</v>
      </c>
      <c r="H108" s="2">
        <f t="shared" si="88"/>
        <v>58530.591</v>
      </c>
      <c r="I108" s="2">
        <f t="shared" si="88"/>
        <v>56103.299999999996</v>
      </c>
      <c r="J108" s="2">
        <f t="shared" si="88"/>
        <v>54229.857999999993</v>
      </c>
      <c r="K108" s="2">
        <f t="shared" si="88"/>
        <v>55024.943999999989</v>
      </c>
      <c r="L108" s="2">
        <f t="shared" si="88"/>
        <v>55882.253999999994</v>
      </c>
      <c r="M108" s="2">
        <f t="shared" si="88"/>
        <v>55770.382999999994</v>
      </c>
      <c r="N108" s="2">
        <f t="shared" si="88"/>
        <v>56695.156999999999</v>
      </c>
      <c r="O108" s="2">
        <f t="shared" si="88"/>
        <v>56907.743000000002</v>
      </c>
      <c r="P108" s="2">
        <f t="shared" si="88"/>
        <v>56461.423999999999</v>
      </c>
      <c r="Q108" s="2">
        <f t="shared" si="88"/>
        <v>54775.067999999985</v>
      </c>
      <c r="R108" s="2">
        <f>SUM(F108:Q108)</f>
        <v>677699.80299999996</v>
      </c>
    </row>
    <row r="109" spans="1:18" x14ac:dyDescent="0.25">
      <c r="B109" s="231" t="s">
        <v>279</v>
      </c>
      <c r="F109" s="2">
        <f>F75</f>
        <v>27352.368999999999</v>
      </c>
      <c r="G109" s="2">
        <f t="shared" ref="G109:Q109" si="89">G75</f>
        <v>27826.557000000001</v>
      </c>
      <c r="H109" s="2">
        <f t="shared" si="89"/>
        <v>27238.645</v>
      </c>
      <c r="I109" s="2">
        <f t="shared" si="89"/>
        <v>26523.517</v>
      </c>
      <c r="J109" s="2">
        <f t="shared" si="89"/>
        <v>26122.625999999997</v>
      </c>
      <c r="K109" s="2">
        <f t="shared" si="89"/>
        <v>26573.080999999998</v>
      </c>
      <c r="L109" s="2">
        <f t="shared" si="89"/>
        <v>27563.137000000002</v>
      </c>
      <c r="M109" s="2">
        <f t="shared" si="89"/>
        <v>27697.715999999993</v>
      </c>
      <c r="N109" s="2">
        <f t="shared" si="89"/>
        <v>28897.344000000001</v>
      </c>
      <c r="O109" s="2">
        <f t="shared" si="89"/>
        <v>28929.526999999998</v>
      </c>
      <c r="P109" s="2">
        <f t="shared" si="89"/>
        <v>28789.480000000003</v>
      </c>
      <c r="Q109" s="2">
        <f t="shared" si="89"/>
        <v>27812.418999999998</v>
      </c>
      <c r="R109" s="2">
        <f>SUM(F109:Q109)</f>
        <v>331326.41799999995</v>
      </c>
    </row>
  </sheetData>
  <conditionalFormatting sqref="U17">
    <cfRule type="expression" dxfId="0" priority="1" stopIfTrue="1">
      <formula>ABS(#REF!-#REF!)&gt;0.5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156"/>
  <sheetViews>
    <sheetView zoomScale="85" zoomScaleNormal="85" workbookViewId="0">
      <pane xSplit="2" ySplit="2" topLeftCell="R27" activePane="bottomRight" state="frozen"/>
      <selection pane="topRight" activeCell="C1" sqref="C1"/>
      <selection pane="bottomLeft" activeCell="A3" sqref="A3"/>
      <selection pane="bottomRight" activeCell="S59" sqref="S59"/>
    </sheetView>
  </sheetViews>
  <sheetFormatPr defaultRowHeight="15" x14ac:dyDescent="0.25"/>
  <cols>
    <col min="1" max="1" width="8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4.7109375" customWidth="1"/>
    <col min="18" max="18" width="13.14062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.28515625" customWidth="1"/>
    <col min="27" max="27" width="11.42578125" customWidth="1"/>
    <col min="28" max="28" width="11" customWidth="1"/>
    <col min="29" max="29" width="11.28515625" style="14" customWidth="1"/>
    <col min="30" max="30" width="11.7109375" style="14" customWidth="1"/>
    <col min="31" max="31" width="12.7109375" customWidth="1"/>
    <col min="32" max="32" width="18" customWidth="1"/>
    <col min="33" max="33" width="8.85546875" hidden="1" customWidth="1"/>
    <col min="34" max="34" width="13.85546875" customWidth="1"/>
    <col min="35" max="35" width="13.7109375" bestFit="1" customWidth="1"/>
  </cols>
  <sheetData>
    <row r="1" spans="1:31" x14ac:dyDescent="0.25">
      <c r="A1" t="s">
        <v>57</v>
      </c>
      <c r="Q1" s="14"/>
      <c r="R1" s="236" t="s">
        <v>293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7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10">
        <v>111145</v>
      </c>
      <c r="E3" s="10">
        <v>111104</v>
      </c>
      <c r="F3" s="10">
        <v>111259</v>
      </c>
      <c r="G3" s="10">
        <v>111223</v>
      </c>
      <c r="H3" s="10">
        <v>111310</v>
      </c>
      <c r="I3" s="10">
        <v>111459</v>
      </c>
      <c r="J3" s="10">
        <v>111542</v>
      </c>
      <c r="K3" s="10">
        <v>111831</v>
      </c>
      <c r="L3" s="10">
        <v>112192</v>
      </c>
      <c r="M3" s="10">
        <v>112465</v>
      </c>
      <c r="N3" s="10">
        <v>112519</v>
      </c>
      <c r="O3" s="10">
        <v>113155</v>
      </c>
      <c r="P3" s="2">
        <f>SUM(D3:O3)</f>
        <v>1341204</v>
      </c>
      <c r="Q3" s="15">
        <v>553</v>
      </c>
      <c r="R3" s="249">
        <v>6</v>
      </c>
      <c r="S3" s="3">
        <f t="shared" ref="S3:AD10" si="0">$R3*D3</f>
        <v>666870</v>
      </c>
      <c r="T3" s="3">
        <f t="shared" si="0"/>
        <v>666624</v>
      </c>
      <c r="U3" s="3">
        <f t="shared" si="0"/>
        <v>667554</v>
      </c>
      <c r="V3" s="3">
        <f t="shared" si="0"/>
        <v>667338</v>
      </c>
      <c r="W3" s="3">
        <f t="shared" si="0"/>
        <v>667860</v>
      </c>
      <c r="X3" s="3">
        <f t="shared" si="0"/>
        <v>668754</v>
      </c>
      <c r="Y3" s="3">
        <f t="shared" si="0"/>
        <v>669252</v>
      </c>
      <c r="Z3" s="3">
        <f t="shared" si="0"/>
        <v>670986</v>
      </c>
      <c r="AA3" s="3">
        <f t="shared" si="0"/>
        <v>673152</v>
      </c>
      <c r="AB3" s="3">
        <f t="shared" si="0"/>
        <v>674790</v>
      </c>
      <c r="AC3" s="20">
        <f t="shared" si="0"/>
        <v>675114</v>
      </c>
      <c r="AD3" s="20">
        <f t="shared" si="0"/>
        <v>678930</v>
      </c>
      <c r="AE3" s="3">
        <f>SUM(S3:AD3)</f>
        <v>8047224</v>
      </c>
    </row>
    <row r="4" spans="1:31" x14ac:dyDescent="0.25">
      <c r="B4" t="s">
        <v>15</v>
      </c>
      <c r="D4" s="10">
        <v>59286436.523999996</v>
      </c>
      <c r="E4" s="10">
        <v>57831213.681000002</v>
      </c>
      <c r="F4" s="10">
        <v>57092667.148999996</v>
      </c>
      <c r="G4" s="10">
        <v>56752105.744999997</v>
      </c>
      <c r="H4" s="10">
        <v>53587685.505000003</v>
      </c>
      <c r="I4" s="10">
        <v>53612163.266999997</v>
      </c>
      <c r="J4" s="10">
        <v>54346325.840999998</v>
      </c>
      <c r="K4" s="10">
        <v>56358686.013999999</v>
      </c>
      <c r="L4" s="10">
        <v>55407860.364</v>
      </c>
      <c r="M4" s="10">
        <v>53675862.592</v>
      </c>
      <c r="N4" s="10">
        <v>57656713.548</v>
      </c>
      <c r="O4" s="10">
        <v>60675435.766000003</v>
      </c>
      <c r="P4" s="2">
        <f t="shared" ref="P4:P61" si="1">SUM(D4:O4)</f>
        <v>676283155.99600005</v>
      </c>
      <c r="Q4" s="15">
        <f>IF(P4-P3*Q3&gt;0,P4-P3*Q3,0)</f>
        <v>0</v>
      </c>
      <c r="R4" s="250">
        <v>8.584E-2</v>
      </c>
      <c r="S4" s="3">
        <f t="shared" si="0"/>
        <v>5089147.7112201601</v>
      </c>
      <c r="T4" s="3">
        <f t="shared" si="0"/>
        <v>4964231.3823770406</v>
      </c>
      <c r="U4" s="3">
        <f t="shared" si="0"/>
        <v>4900834.5480701597</v>
      </c>
      <c r="V4" s="3">
        <f t="shared" si="0"/>
        <v>4871600.7571508</v>
      </c>
      <c r="W4" s="3">
        <f t="shared" si="0"/>
        <v>4599966.9237492001</v>
      </c>
      <c r="X4" s="3">
        <f t="shared" si="0"/>
        <v>4602068.0948392795</v>
      </c>
      <c r="Y4" s="3">
        <f t="shared" si="0"/>
        <v>4665088.6101914402</v>
      </c>
      <c r="Z4" s="3">
        <f t="shared" si="0"/>
        <v>4837829.6074417597</v>
      </c>
      <c r="AA4" s="3">
        <f t="shared" si="0"/>
        <v>4756210.7336457595</v>
      </c>
      <c r="AB4" s="3">
        <f t="shared" si="0"/>
        <v>4607536.0448972797</v>
      </c>
      <c r="AC4" s="20">
        <f t="shared" si="0"/>
        <v>4949252.2909603203</v>
      </c>
      <c r="AD4" s="20">
        <f t="shared" si="0"/>
        <v>5208379.4061534405</v>
      </c>
      <c r="AE4" s="3">
        <f t="shared" ref="AE4:AE50" si="2">SUM(S4:AD4)</f>
        <v>58052146.110696636</v>
      </c>
    </row>
    <row r="5" spans="1:31" x14ac:dyDescent="0.25">
      <c r="B5" t="s">
        <v>16</v>
      </c>
      <c r="D5" s="10">
        <v>73219458.048969999</v>
      </c>
      <c r="E5" s="10">
        <v>60759587.601000004</v>
      </c>
      <c r="F5" s="10">
        <v>53391250.368000001</v>
      </c>
      <c r="G5" s="10">
        <v>47518555.357000001</v>
      </c>
      <c r="H5" s="10">
        <v>28213366.037</v>
      </c>
      <c r="I5" s="10">
        <v>25921246.910999998</v>
      </c>
      <c r="J5" s="10">
        <v>29720765.999000002</v>
      </c>
      <c r="K5" s="10">
        <v>40681808.728</v>
      </c>
      <c r="L5" s="10">
        <v>31009566.978999998</v>
      </c>
      <c r="M5" s="10">
        <v>23013466.136</v>
      </c>
      <c r="N5" s="10">
        <v>45805659.064000003</v>
      </c>
      <c r="O5" s="10">
        <v>74256229.870000005</v>
      </c>
      <c r="P5" s="2">
        <f t="shared" si="1"/>
        <v>533510961.09896994</v>
      </c>
      <c r="Q5" s="15">
        <f>IF(P4-P3*Q3&lt;0,P5+P4-P3*Q3,P5)</f>
        <v>468108305.09496999</v>
      </c>
      <c r="R5" s="250">
        <v>9.6350000000000005E-2</v>
      </c>
      <c r="S5" s="3">
        <f t="shared" si="0"/>
        <v>7054694.7830182593</v>
      </c>
      <c r="T5" s="3">
        <f t="shared" si="0"/>
        <v>5854186.2653563507</v>
      </c>
      <c r="U5" s="3">
        <f t="shared" si="0"/>
        <v>5144246.9729567999</v>
      </c>
      <c r="V5" s="3">
        <f t="shared" si="0"/>
        <v>4578412.8086469499</v>
      </c>
      <c r="W5" s="3">
        <f t="shared" si="0"/>
        <v>2718357.8176649502</v>
      </c>
      <c r="X5" s="3">
        <f t="shared" si="0"/>
        <v>2497512.1398748499</v>
      </c>
      <c r="Y5" s="3">
        <f t="shared" si="0"/>
        <v>2863595.8040036503</v>
      </c>
      <c r="Z5" s="3">
        <f t="shared" si="0"/>
        <v>3919692.2709428002</v>
      </c>
      <c r="AA5" s="3">
        <f t="shared" si="0"/>
        <v>2987771.77842665</v>
      </c>
      <c r="AB5" s="3">
        <f t="shared" si="0"/>
        <v>2217347.4622036</v>
      </c>
      <c r="AC5" s="20">
        <f t="shared" si="0"/>
        <v>4413375.2508164002</v>
      </c>
      <c r="AD5" s="20">
        <f t="shared" si="0"/>
        <v>7154587.747974501</v>
      </c>
      <c r="AE5" s="3">
        <f t="shared" si="2"/>
        <v>51403781.101885758</v>
      </c>
    </row>
    <row r="6" spans="1:31" x14ac:dyDescent="0.25">
      <c r="A6" t="s">
        <v>36</v>
      </c>
      <c r="B6" t="s">
        <v>14</v>
      </c>
      <c r="D6" s="10">
        <v>16557</v>
      </c>
      <c r="E6" s="10">
        <v>16450</v>
      </c>
      <c r="F6" s="10">
        <v>16584</v>
      </c>
      <c r="G6" s="10">
        <v>16545</v>
      </c>
      <c r="H6" s="10">
        <v>16549</v>
      </c>
      <c r="I6" s="10">
        <v>16773</v>
      </c>
      <c r="J6" s="10">
        <v>16752</v>
      </c>
      <c r="K6" s="10">
        <v>16790</v>
      </c>
      <c r="L6" s="10">
        <v>16812</v>
      </c>
      <c r="M6" s="10">
        <v>16811</v>
      </c>
      <c r="N6" s="10">
        <v>16810</v>
      </c>
      <c r="O6" s="10">
        <v>16913</v>
      </c>
      <c r="P6" s="2">
        <f t="shared" si="1"/>
        <v>200346</v>
      </c>
      <c r="Q6" s="15">
        <v>1239</v>
      </c>
      <c r="R6" s="249">
        <v>13</v>
      </c>
      <c r="S6" s="3">
        <f t="shared" si="0"/>
        <v>215241</v>
      </c>
      <c r="T6" s="3">
        <f t="shared" si="0"/>
        <v>213850</v>
      </c>
      <c r="U6" s="3">
        <f t="shared" si="0"/>
        <v>215592</v>
      </c>
      <c r="V6" s="3">
        <f t="shared" si="0"/>
        <v>215085</v>
      </c>
      <c r="W6" s="3">
        <f t="shared" si="0"/>
        <v>215137</v>
      </c>
      <c r="X6" s="3">
        <f t="shared" si="0"/>
        <v>218049</v>
      </c>
      <c r="Y6" s="3">
        <f t="shared" si="0"/>
        <v>217776</v>
      </c>
      <c r="Z6" s="3">
        <f t="shared" si="0"/>
        <v>218270</v>
      </c>
      <c r="AA6" s="3">
        <f t="shared" si="0"/>
        <v>218556</v>
      </c>
      <c r="AB6" s="3">
        <f t="shared" si="0"/>
        <v>218543</v>
      </c>
      <c r="AC6" s="20">
        <f t="shared" si="0"/>
        <v>218530</v>
      </c>
      <c r="AD6" s="20">
        <f t="shared" si="0"/>
        <v>219869</v>
      </c>
      <c r="AE6" s="3">
        <f t="shared" si="2"/>
        <v>2604498</v>
      </c>
    </row>
    <row r="7" spans="1:31" x14ac:dyDescent="0.25">
      <c r="B7" t="s">
        <v>15</v>
      </c>
      <c r="D7" s="10">
        <v>23838206.491659999</v>
      </c>
      <c r="E7" s="10">
        <v>22932629.921659999</v>
      </c>
      <c r="F7" s="10">
        <v>22130568.757690001</v>
      </c>
      <c r="G7" s="10">
        <v>20222594.256659999</v>
      </c>
      <c r="H7" s="10">
        <v>18054418.156020001</v>
      </c>
      <c r="I7" s="10">
        <v>18988585.68406</v>
      </c>
      <c r="J7" s="10">
        <v>19660913.131659999</v>
      </c>
      <c r="K7" s="10">
        <v>21090037.74966</v>
      </c>
      <c r="L7" s="10">
        <v>20616927.918990001</v>
      </c>
      <c r="M7" s="10">
        <v>19296206.308030002</v>
      </c>
      <c r="N7" s="10">
        <v>21555993.80167</v>
      </c>
      <c r="O7" s="10">
        <v>24298722.049320001</v>
      </c>
      <c r="P7" s="2">
        <f t="shared" si="1"/>
        <v>252685804.22708008</v>
      </c>
      <c r="Q7" s="15">
        <f>IF(P7-P6*Q6&gt;0,P7-P6*Q6,0)</f>
        <v>4457110.2270800769</v>
      </c>
      <c r="R7" s="250">
        <v>9.3619999999999995E-2</v>
      </c>
      <c r="S7" s="3">
        <f t="shared" si="0"/>
        <v>2231732.8917492088</v>
      </c>
      <c r="T7" s="3">
        <f t="shared" si="0"/>
        <v>2146952.8132658089</v>
      </c>
      <c r="U7" s="3">
        <f t="shared" si="0"/>
        <v>2071863.8470949377</v>
      </c>
      <c r="V7" s="3">
        <f t="shared" si="0"/>
        <v>1893239.274308509</v>
      </c>
      <c r="W7" s="3">
        <f t="shared" si="0"/>
        <v>1690254.6277665924</v>
      </c>
      <c r="X7" s="3">
        <f t="shared" si="0"/>
        <v>1777711.391741697</v>
      </c>
      <c r="Y7" s="3">
        <f t="shared" si="0"/>
        <v>1840654.6873860091</v>
      </c>
      <c r="Z7" s="3">
        <f t="shared" si="0"/>
        <v>1974449.3341231691</v>
      </c>
      <c r="AA7" s="3">
        <f t="shared" si="0"/>
        <v>1930156.7917758438</v>
      </c>
      <c r="AB7" s="3">
        <f t="shared" si="0"/>
        <v>1806510.8345577687</v>
      </c>
      <c r="AC7" s="20">
        <f t="shared" si="0"/>
        <v>2018072.1397123453</v>
      </c>
      <c r="AD7" s="20">
        <f t="shared" si="0"/>
        <v>2274846.3582573384</v>
      </c>
      <c r="AE7" s="3">
        <f t="shared" si="2"/>
        <v>23656444.991739228</v>
      </c>
    </row>
    <row r="8" spans="1:31" x14ac:dyDescent="0.25">
      <c r="B8" t="s">
        <v>16</v>
      </c>
      <c r="D8" s="10">
        <v>11882451.89034</v>
      </c>
      <c r="E8" s="10">
        <v>10370406.52334</v>
      </c>
      <c r="F8" s="10">
        <v>8789551.9193099998</v>
      </c>
      <c r="G8" s="10">
        <v>7357342.2543400005</v>
      </c>
      <c r="H8" s="10">
        <v>6191110.3499800004</v>
      </c>
      <c r="I8" s="10">
        <v>8189756.5099400003</v>
      </c>
      <c r="J8" s="10">
        <v>9974803.7333400007</v>
      </c>
      <c r="K8" s="10">
        <v>12195104.02334</v>
      </c>
      <c r="L8" s="10">
        <v>15517349.90801</v>
      </c>
      <c r="M8" s="10">
        <v>4560382.8919700002</v>
      </c>
      <c r="N8" s="10">
        <v>9602160.0293300003</v>
      </c>
      <c r="O8" s="10">
        <v>13141296.08468</v>
      </c>
      <c r="P8" s="2">
        <f t="shared" si="1"/>
        <v>117771716.11792</v>
      </c>
      <c r="Q8" s="15">
        <f>IF(P7-P6*Q6&lt;0,P8+P7-P6*Q6,P8)</f>
        <v>117771716.11792</v>
      </c>
      <c r="R8" s="250">
        <v>6.6970000000000002E-2</v>
      </c>
      <c r="S8" s="3">
        <f t="shared" si="0"/>
        <v>795767.80309606984</v>
      </c>
      <c r="T8" s="3">
        <f t="shared" si="0"/>
        <v>694506.12486807979</v>
      </c>
      <c r="U8" s="3">
        <f t="shared" si="0"/>
        <v>588636.29203619075</v>
      </c>
      <c r="V8" s="3">
        <f t="shared" si="0"/>
        <v>492721.21077314985</v>
      </c>
      <c r="W8" s="3">
        <f t="shared" si="0"/>
        <v>414618.66013816063</v>
      </c>
      <c r="X8" s="3">
        <f t="shared" si="0"/>
        <v>548467.99347068183</v>
      </c>
      <c r="Y8" s="3">
        <f t="shared" si="0"/>
        <v>668012.60602177982</v>
      </c>
      <c r="Z8" s="3">
        <f t="shared" si="0"/>
        <v>816706.11644307978</v>
      </c>
      <c r="AA8" s="3">
        <f t="shared" si="0"/>
        <v>1039196.9233394298</v>
      </c>
      <c r="AB8" s="3">
        <f t="shared" si="0"/>
        <v>305408.84227523091</v>
      </c>
      <c r="AC8" s="20">
        <f t="shared" si="0"/>
        <v>643056.65716423013</v>
      </c>
      <c r="AD8" s="20">
        <f t="shared" si="0"/>
        <v>880072.59879101964</v>
      </c>
      <c r="AE8" s="3">
        <f t="shared" si="2"/>
        <v>7887171.8284171037</v>
      </c>
    </row>
    <row r="9" spans="1:31" x14ac:dyDescent="0.25">
      <c r="B9" t="s">
        <v>19</v>
      </c>
      <c r="D9" s="2">
        <f>D109/D111</f>
        <v>26280.856666666663</v>
      </c>
      <c r="E9" s="2">
        <f t="shared" ref="E9:O9" si="3">E109/E111</f>
        <v>25506.908333333329</v>
      </c>
      <c r="F9" s="2">
        <f t="shared" si="3"/>
        <v>22713.823333333334</v>
      </c>
      <c r="G9" s="2">
        <f t="shared" si="3"/>
        <v>19889.898333333334</v>
      </c>
      <c r="H9" s="2">
        <f t="shared" si="3"/>
        <v>17121.30166666667</v>
      </c>
      <c r="I9" s="2">
        <f t="shared" si="3"/>
        <v>23114.005000000001</v>
      </c>
      <c r="J9" s="2">
        <f t="shared" si="3"/>
        <v>25510.16333333333</v>
      </c>
      <c r="K9" s="2">
        <f t="shared" si="3"/>
        <v>29080.164999999997</v>
      </c>
      <c r="L9" s="2">
        <f t="shared" si="3"/>
        <v>30114.071666666667</v>
      </c>
      <c r="M9" s="2">
        <f t="shared" si="3"/>
        <v>26722.888333333336</v>
      </c>
      <c r="N9" s="2">
        <f t="shared" si="3"/>
        <v>29160.595000000001</v>
      </c>
      <c r="O9" s="2">
        <f t="shared" si="3"/>
        <v>26238.933333333334</v>
      </c>
      <c r="P9" s="2">
        <f t="shared" si="1"/>
        <v>301453.61</v>
      </c>
      <c r="Q9" s="15"/>
      <c r="R9" s="249">
        <v>6</v>
      </c>
      <c r="S9" s="3">
        <f t="shared" si="0"/>
        <v>157685.13999999998</v>
      </c>
      <c r="T9" s="3">
        <f t="shared" ref="T9:T10" si="4">$R9*E9</f>
        <v>153041.44999999998</v>
      </c>
      <c r="U9" s="3">
        <f t="shared" ref="U9:U10" si="5">$R9*F9</f>
        <v>136282.94</v>
      </c>
      <c r="V9" s="3">
        <f t="shared" ref="V9:V10" si="6">$R9*G9</f>
        <v>119339.39000000001</v>
      </c>
      <c r="W9" s="3">
        <f t="shared" ref="W9:W10" si="7">$R9*H9</f>
        <v>102727.81000000003</v>
      </c>
      <c r="X9" s="3">
        <f t="shared" ref="X9:X10" si="8">$R9*I9</f>
        <v>138684.03</v>
      </c>
      <c r="Y9" s="3">
        <f t="shared" ref="Y9:Y10" si="9">$R9*J9</f>
        <v>153060.97999999998</v>
      </c>
      <c r="Z9" s="3">
        <f t="shared" ref="Z9:Z10" si="10">$R9*K9</f>
        <v>174480.99</v>
      </c>
      <c r="AA9" s="3">
        <f t="shared" ref="AA9:AA10" si="11">$R9*L9</f>
        <v>180684.43</v>
      </c>
      <c r="AB9" s="3">
        <f t="shared" ref="AB9:AB10" si="12">$R9*M9</f>
        <v>160337.33000000002</v>
      </c>
      <c r="AC9" s="3">
        <f t="shared" ref="AC9:AC10" si="13">$R9*N9</f>
        <v>174963.57</v>
      </c>
      <c r="AD9" s="3">
        <f t="shared" ref="AD9:AD10" si="14">$R9*O9</f>
        <v>157433.60000000001</v>
      </c>
      <c r="AE9" s="3">
        <f t="shared" si="2"/>
        <v>1808721.6600000001</v>
      </c>
    </row>
    <row r="10" spans="1:31" x14ac:dyDescent="0.25">
      <c r="B10" t="s">
        <v>20</v>
      </c>
      <c r="D10" s="2">
        <f>D110/D112</f>
        <v>0</v>
      </c>
      <c r="E10" s="2">
        <f t="shared" ref="E10:O10" si="15">E110/E112</f>
        <v>0</v>
      </c>
      <c r="F10" s="2">
        <f t="shared" si="15"/>
        <v>0</v>
      </c>
      <c r="G10" s="2">
        <f t="shared" si="15"/>
        <v>0</v>
      </c>
      <c r="H10" s="2">
        <f t="shared" si="15"/>
        <v>0</v>
      </c>
      <c r="I10" s="2">
        <f t="shared" si="15"/>
        <v>0</v>
      </c>
      <c r="J10" s="2">
        <f t="shared" si="15"/>
        <v>0</v>
      </c>
      <c r="K10" s="2">
        <f t="shared" si="15"/>
        <v>0</v>
      </c>
      <c r="L10" s="2">
        <f t="shared" si="15"/>
        <v>0</v>
      </c>
      <c r="M10" s="2">
        <f t="shared" si="15"/>
        <v>0</v>
      </c>
      <c r="N10" s="2">
        <f t="shared" si="15"/>
        <v>0</v>
      </c>
      <c r="O10" s="2">
        <f t="shared" si="15"/>
        <v>0</v>
      </c>
      <c r="P10" s="2">
        <f t="shared" si="1"/>
        <v>0</v>
      </c>
      <c r="Q10" s="15"/>
      <c r="R10" s="249">
        <v>0.25</v>
      </c>
      <c r="S10" s="3">
        <f t="shared" si="0"/>
        <v>0</v>
      </c>
      <c r="T10" s="3">
        <f t="shared" si="4"/>
        <v>0</v>
      </c>
      <c r="U10" s="3">
        <f t="shared" si="5"/>
        <v>0</v>
      </c>
      <c r="V10" s="3">
        <f t="shared" si="6"/>
        <v>0</v>
      </c>
      <c r="W10" s="3">
        <f t="shared" si="7"/>
        <v>0</v>
      </c>
      <c r="X10" s="3">
        <f t="shared" si="8"/>
        <v>0</v>
      </c>
      <c r="Y10" s="3">
        <f t="shared" si="9"/>
        <v>0</v>
      </c>
      <c r="Z10" s="3">
        <f t="shared" si="10"/>
        <v>0</v>
      </c>
      <c r="AA10" s="3">
        <f t="shared" si="11"/>
        <v>0</v>
      </c>
      <c r="AB10" s="3">
        <f t="shared" si="12"/>
        <v>0</v>
      </c>
      <c r="AC10" s="3">
        <f t="shared" si="13"/>
        <v>0</v>
      </c>
      <c r="AD10" s="3">
        <f t="shared" si="14"/>
        <v>0</v>
      </c>
      <c r="AE10" s="3">
        <f t="shared" si="2"/>
        <v>0</v>
      </c>
    </row>
    <row r="11" spans="1:31" x14ac:dyDescent="0.25">
      <c r="A11" t="s">
        <v>37</v>
      </c>
      <c r="B11" t="s">
        <v>14</v>
      </c>
      <c r="D11" s="10">
        <v>5840</v>
      </c>
      <c r="E11" s="10">
        <v>5840</v>
      </c>
      <c r="F11" s="10">
        <v>5900</v>
      </c>
      <c r="G11" s="10">
        <v>5911</v>
      </c>
      <c r="H11" s="10">
        <v>5925</v>
      </c>
      <c r="I11" s="10">
        <v>5996</v>
      </c>
      <c r="J11" s="10">
        <v>5985</v>
      </c>
      <c r="K11" s="10">
        <v>6011</v>
      </c>
      <c r="L11" s="10">
        <v>6018</v>
      </c>
      <c r="M11" s="10">
        <v>6030</v>
      </c>
      <c r="N11" s="10">
        <v>6036</v>
      </c>
      <c r="O11" s="10">
        <v>6064</v>
      </c>
      <c r="P11" s="2">
        <f t="shared" si="1"/>
        <v>71556</v>
      </c>
      <c r="Q11" s="15"/>
      <c r="R11" s="249">
        <v>13</v>
      </c>
      <c r="S11" s="3">
        <f t="shared" ref="S11:AD13" si="16">$R11*D11</f>
        <v>75920</v>
      </c>
      <c r="T11" s="3">
        <f t="shared" si="16"/>
        <v>75920</v>
      </c>
      <c r="U11" s="3">
        <f t="shared" si="16"/>
        <v>76700</v>
      </c>
      <c r="V11" s="3">
        <f t="shared" si="16"/>
        <v>76843</v>
      </c>
      <c r="W11" s="3">
        <f t="shared" si="16"/>
        <v>77025</v>
      </c>
      <c r="X11" s="3">
        <f t="shared" si="16"/>
        <v>77948</v>
      </c>
      <c r="Y11" s="3">
        <f t="shared" si="16"/>
        <v>77805</v>
      </c>
      <c r="Z11" s="3">
        <f t="shared" si="16"/>
        <v>78143</v>
      </c>
      <c r="AA11" s="3">
        <f t="shared" si="16"/>
        <v>78234</v>
      </c>
      <c r="AB11" s="3">
        <f t="shared" si="16"/>
        <v>78390</v>
      </c>
      <c r="AC11" s="20">
        <f t="shared" si="16"/>
        <v>78468</v>
      </c>
      <c r="AD11" s="20">
        <f t="shared" si="16"/>
        <v>78832</v>
      </c>
      <c r="AE11" s="3">
        <f t="shared" si="2"/>
        <v>930228</v>
      </c>
    </row>
    <row r="12" spans="1:31" x14ac:dyDescent="0.25">
      <c r="B12" t="s">
        <v>15</v>
      </c>
      <c r="D12" s="10">
        <v>2897667.1310000001</v>
      </c>
      <c r="E12" s="10">
        <v>2660807.2760000001</v>
      </c>
      <c r="F12" s="10">
        <v>2541401.8149999999</v>
      </c>
      <c r="G12" s="10">
        <v>2339576.6853299998</v>
      </c>
      <c r="H12" s="10">
        <v>1817307.4950000001</v>
      </c>
      <c r="I12" s="10">
        <v>1748812.85</v>
      </c>
      <c r="J12" s="10">
        <v>1755260.0353300001</v>
      </c>
      <c r="K12" s="10">
        <v>1864737.8019999999</v>
      </c>
      <c r="L12" s="10">
        <v>1834812.3213299999</v>
      </c>
      <c r="M12" s="10">
        <v>1724767.86167</v>
      </c>
      <c r="N12" s="10">
        <v>2403129.4546699999</v>
      </c>
      <c r="O12" s="10">
        <v>3085382.4980000001</v>
      </c>
      <c r="P12" s="2">
        <f t="shared" si="1"/>
        <v>26673663.225329999</v>
      </c>
      <c r="Q12" s="15"/>
      <c r="R12" s="250">
        <v>9.0260000000000007E-2</v>
      </c>
      <c r="S12" s="3">
        <f t="shared" si="16"/>
        <v>261543.43524406003</v>
      </c>
      <c r="T12" s="3">
        <f t="shared" si="16"/>
        <v>240164.46473176003</v>
      </c>
      <c r="U12" s="3">
        <f t="shared" si="16"/>
        <v>229386.92782190003</v>
      </c>
      <c r="V12" s="3">
        <f t="shared" si="16"/>
        <v>211170.19161788581</v>
      </c>
      <c r="W12" s="3">
        <f t="shared" si="16"/>
        <v>164030.17449870001</v>
      </c>
      <c r="X12" s="3">
        <f t="shared" si="16"/>
        <v>157847.84784100001</v>
      </c>
      <c r="Y12" s="3">
        <f t="shared" si="16"/>
        <v>158429.77078888583</v>
      </c>
      <c r="Z12" s="3">
        <f t="shared" si="16"/>
        <v>168311.23400852</v>
      </c>
      <c r="AA12" s="3">
        <f t="shared" si="16"/>
        <v>165610.16012324582</v>
      </c>
      <c r="AB12" s="3">
        <f t="shared" si="16"/>
        <v>155677.54719433421</v>
      </c>
      <c r="AC12" s="20">
        <f t="shared" si="16"/>
        <v>216906.46457851422</v>
      </c>
      <c r="AD12" s="20">
        <f t="shared" si="16"/>
        <v>278486.62426948006</v>
      </c>
      <c r="AE12" s="3">
        <f t="shared" si="2"/>
        <v>2407564.8427182855</v>
      </c>
    </row>
    <row r="13" spans="1:31" x14ac:dyDescent="0.25">
      <c r="B13" t="s">
        <v>16</v>
      </c>
      <c r="D13" s="10">
        <v>336025.99</v>
      </c>
      <c r="E13" s="10">
        <v>334809.46000000002</v>
      </c>
      <c r="F13" s="10">
        <v>271358.98</v>
      </c>
      <c r="G13" s="10">
        <v>188897.92666999999</v>
      </c>
      <c r="H13" s="10">
        <v>82346.38</v>
      </c>
      <c r="I13" s="10">
        <v>66614.02</v>
      </c>
      <c r="J13" s="10">
        <v>82424.659669999994</v>
      </c>
      <c r="K13" s="10">
        <v>126058.25</v>
      </c>
      <c r="L13" s="10">
        <v>169909.61666999999</v>
      </c>
      <c r="M13" s="10">
        <v>146473.07333000001</v>
      </c>
      <c r="N13" s="10">
        <v>217894.49432999999</v>
      </c>
      <c r="O13" s="10">
        <v>337345.53899999999</v>
      </c>
      <c r="P13" s="2">
        <f t="shared" si="1"/>
        <v>2360158.3896699999</v>
      </c>
      <c r="Q13" s="15"/>
      <c r="R13" s="250">
        <v>6.361E-2</v>
      </c>
      <c r="S13" s="3">
        <f t="shared" si="16"/>
        <v>21374.6132239</v>
      </c>
      <c r="T13" s="3">
        <f t="shared" si="16"/>
        <v>21297.2297506</v>
      </c>
      <c r="U13" s="3">
        <f t="shared" si="16"/>
        <v>17261.144717799998</v>
      </c>
      <c r="V13" s="3">
        <f t="shared" si="16"/>
        <v>12015.797115478699</v>
      </c>
      <c r="W13" s="3">
        <f t="shared" si="16"/>
        <v>5238.0532318000005</v>
      </c>
      <c r="X13" s="3">
        <f t="shared" si="16"/>
        <v>4237.3178121999999</v>
      </c>
      <c r="Y13" s="3">
        <f t="shared" si="16"/>
        <v>5243.0326016086992</v>
      </c>
      <c r="Z13" s="3">
        <f t="shared" si="16"/>
        <v>8018.5652824999997</v>
      </c>
      <c r="AA13" s="3">
        <f t="shared" si="16"/>
        <v>10807.950716378698</v>
      </c>
      <c r="AB13" s="3">
        <f t="shared" si="16"/>
        <v>9317.1521945213008</v>
      </c>
      <c r="AC13" s="20">
        <f t="shared" si="16"/>
        <v>13860.2687843313</v>
      </c>
      <c r="AD13" s="20">
        <f t="shared" si="16"/>
        <v>21458.549735789999</v>
      </c>
      <c r="AE13" s="3">
        <f t="shared" si="2"/>
        <v>150129.67516690871</v>
      </c>
    </row>
    <row r="14" spans="1:31" x14ac:dyDescent="0.25">
      <c r="B14" t="s">
        <v>19</v>
      </c>
      <c r="D14" s="2">
        <f>D114/D116</f>
        <v>534.18666666666661</v>
      </c>
      <c r="E14" s="2">
        <f t="shared" ref="E14:O14" si="17">E114/E116</f>
        <v>574.05666666666673</v>
      </c>
      <c r="F14" s="2">
        <f t="shared" si="17"/>
        <v>510.78</v>
      </c>
      <c r="G14" s="2">
        <f t="shared" si="17"/>
        <v>466.05666666666667</v>
      </c>
      <c r="H14" s="2">
        <f t="shared" si="17"/>
        <v>242.83833333333334</v>
      </c>
      <c r="I14" s="2">
        <f t="shared" si="17"/>
        <v>171.55833333333331</v>
      </c>
      <c r="J14" s="2">
        <f t="shared" si="17"/>
        <v>146.94833333333335</v>
      </c>
      <c r="K14" s="2">
        <f t="shared" si="17"/>
        <v>164.85333333333332</v>
      </c>
      <c r="L14" s="2">
        <f t="shared" si="17"/>
        <v>259.20999999999998</v>
      </c>
      <c r="M14" s="2">
        <f t="shared" si="17"/>
        <v>241.66499999999999</v>
      </c>
      <c r="N14" s="2">
        <f t="shared" si="17"/>
        <v>497.69333333333333</v>
      </c>
      <c r="O14" s="2">
        <f t="shared" si="17"/>
        <v>512.66666666666663</v>
      </c>
      <c r="P14" s="2">
        <f t="shared" si="1"/>
        <v>4322.5133333333333</v>
      </c>
      <c r="Q14" s="15"/>
      <c r="R14" s="249">
        <v>6</v>
      </c>
      <c r="S14" s="3">
        <f t="shared" ref="S14:S15" si="18">$R14*D14</f>
        <v>3205.12</v>
      </c>
      <c r="T14" s="3">
        <f t="shared" ref="T14:T15" si="19">$R14*E14</f>
        <v>3444.34</v>
      </c>
      <c r="U14" s="3">
        <f t="shared" ref="U14:U15" si="20">$R14*F14</f>
        <v>3064.68</v>
      </c>
      <c r="V14" s="3">
        <f t="shared" ref="V14:V15" si="21">$R14*G14</f>
        <v>2796.34</v>
      </c>
      <c r="W14" s="3">
        <f t="shared" ref="W14:W15" si="22">$R14*H14</f>
        <v>1457.03</v>
      </c>
      <c r="X14" s="3">
        <f t="shared" ref="X14:X15" si="23">$R14*I14</f>
        <v>1029.3499999999999</v>
      </c>
      <c r="Y14" s="3">
        <f t="shared" ref="Y14:Y15" si="24">$R14*J14</f>
        <v>881.69</v>
      </c>
      <c r="Z14" s="3">
        <f t="shared" ref="Z14:Z15" si="25">$R14*K14</f>
        <v>989.11999999999989</v>
      </c>
      <c r="AA14" s="3">
        <f t="shared" ref="AA14:AA15" si="26">$R14*L14</f>
        <v>1555.2599999999998</v>
      </c>
      <c r="AB14" s="3">
        <f t="shared" ref="AB14:AB15" si="27">$R14*M14</f>
        <v>1449.99</v>
      </c>
      <c r="AC14" s="20">
        <f t="shared" ref="AC14:AC15" si="28">$R14*N14</f>
        <v>2986.16</v>
      </c>
      <c r="AD14" s="20">
        <f t="shared" ref="AD14:AD15" si="29">$R14*O14</f>
        <v>3076</v>
      </c>
      <c r="AE14" s="3">
        <f t="shared" si="2"/>
        <v>25935.08</v>
      </c>
    </row>
    <row r="15" spans="1:31" x14ac:dyDescent="0.25">
      <c r="B15" t="s">
        <v>20</v>
      </c>
      <c r="D15" s="2">
        <f>D115/D117</f>
        <v>0</v>
      </c>
      <c r="E15" s="2">
        <f t="shared" ref="E15:O15" si="30">E115/E117</f>
        <v>0</v>
      </c>
      <c r="F15" s="2">
        <f t="shared" si="30"/>
        <v>0</v>
      </c>
      <c r="G15" s="2">
        <f t="shared" si="30"/>
        <v>0</v>
      </c>
      <c r="H15" s="2">
        <f t="shared" si="30"/>
        <v>0</v>
      </c>
      <c r="I15" s="2">
        <f t="shared" si="30"/>
        <v>0</v>
      </c>
      <c r="J15" s="2">
        <f t="shared" si="30"/>
        <v>0</v>
      </c>
      <c r="K15" s="2">
        <f t="shared" si="30"/>
        <v>0</v>
      </c>
      <c r="L15" s="2">
        <f t="shared" si="30"/>
        <v>0</v>
      </c>
      <c r="M15" s="2">
        <f t="shared" si="30"/>
        <v>0</v>
      </c>
      <c r="N15" s="2">
        <f t="shared" si="30"/>
        <v>0</v>
      </c>
      <c r="O15" s="2">
        <f t="shared" si="30"/>
        <v>0</v>
      </c>
      <c r="P15" s="2">
        <f t="shared" si="1"/>
        <v>0</v>
      </c>
      <c r="Q15" s="15"/>
      <c r="R15" s="249">
        <v>0.25</v>
      </c>
      <c r="S15" s="3">
        <f t="shared" si="18"/>
        <v>0</v>
      </c>
      <c r="T15" s="3">
        <f t="shared" si="19"/>
        <v>0</v>
      </c>
      <c r="U15" s="3">
        <f t="shared" si="20"/>
        <v>0</v>
      </c>
      <c r="V15" s="3">
        <f t="shared" si="21"/>
        <v>0</v>
      </c>
      <c r="W15" s="3">
        <f t="shared" si="22"/>
        <v>0</v>
      </c>
      <c r="X15" s="3">
        <f t="shared" si="23"/>
        <v>0</v>
      </c>
      <c r="Y15" s="3">
        <f t="shared" si="24"/>
        <v>0</v>
      </c>
      <c r="Z15" s="3">
        <f t="shared" si="25"/>
        <v>0</v>
      </c>
      <c r="AA15" s="3">
        <f t="shared" si="26"/>
        <v>0</v>
      </c>
      <c r="AB15" s="3">
        <f t="shared" si="27"/>
        <v>0</v>
      </c>
      <c r="AC15" s="20">
        <f t="shared" si="28"/>
        <v>0</v>
      </c>
      <c r="AD15" s="20">
        <f t="shared" si="29"/>
        <v>0</v>
      </c>
      <c r="AE15" s="3">
        <f t="shared" si="2"/>
        <v>0</v>
      </c>
    </row>
    <row r="16" spans="1:31" x14ac:dyDescent="0.25">
      <c r="A16" t="s">
        <v>38</v>
      </c>
      <c r="B16" t="s">
        <v>14</v>
      </c>
      <c r="D16" s="10">
        <v>1031</v>
      </c>
      <c r="E16" s="10">
        <v>1033</v>
      </c>
      <c r="F16" s="10">
        <v>1039</v>
      </c>
      <c r="G16" s="10">
        <v>1020</v>
      </c>
      <c r="H16" s="10">
        <v>935</v>
      </c>
      <c r="I16" s="10">
        <v>903</v>
      </c>
      <c r="J16" s="10">
        <v>892</v>
      </c>
      <c r="K16" s="10">
        <v>881</v>
      </c>
      <c r="L16" s="10">
        <v>886</v>
      </c>
      <c r="M16" s="10">
        <v>878</v>
      </c>
      <c r="N16" s="10">
        <v>871</v>
      </c>
      <c r="O16" s="10">
        <v>874</v>
      </c>
      <c r="P16" s="2">
        <f t="shared" si="1"/>
        <v>11243</v>
      </c>
      <c r="Q16" s="15">
        <v>48001</v>
      </c>
      <c r="R16" s="249">
        <v>425</v>
      </c>
      <c r="S16" s="3">
        <f t="shared" ref="S16:AD21" si="31">$R16*D16</f>
        <v>438175</v>
      </c>
      <c r="T16" s="3">
        <f t="shared" si="31"/>
        <v>439025</v>
      </c>
      <c r="U16" s="3">
        <f t="shared" si="31"/>
        <v>441575</v>
      </c>
      <c r="V16" s="3">
        <f t="shared" si="31"/>
        <v>433500</v>
      </c>
      <c r="W16" s="3">
        <f t="shared" si="31"/>
        <v>397375</v>
      </c>
      <c r="X16" s="3">
        <f t="shared" si="31"/>
        <v>383775</v>
      </c>
      <c r="Y16" s="3">
        <f t="shared" si="31"/>
        <v>379100</v>
      </c>
      <c r="Z16" s="3">
        <f t="shared" si="31"/>
        <v>374425</v>
      </c>
      <c r="AA16" s="3">
        <f t="shared" si="31"/>
        <v>376550</v>
      </c>
      <c r="AB16" s="3">
        <f t="shared" si="31"/>
        <v>373150</v>
      </c>
      <c r="AC16" s="20">
        <f t="shared" si="31"/>
        <v>370175</v>
      </c>
      <c r="AD16" s="20">
        <f t="shared" si="31"/>
        <v>371450</v>
      </c>
      <c r="AE16" s="3">
        <f t="shared" si="2"/>
        <v>4778275</v>
      </c>
    </row>
    <row r="17" spans="1:31" x14ac:dyDescent="0.25">
      <c r="B17" t="s">
        <v>15</v>
      </c>
      <c r="D17" s="10">
        <v>49143789.799999997</v>
      </c>
      <c r="E17" s="10">
        <v>47616972.600000001</v>
      </c>
      <c r="F17" s="10">
        <v>46188085.799999997</v>
      </c>
      <c r="G17" s="10">
        <v>42458498.399999999</v>
      </c>
      <c r="H17" s="10">
        <v>37902936</v>
      </c>
      <c r="I17" s="10">
        <v>40434831.43</v>
      </c>
      <c r="J17" s="10">
        <v>41571957.600000001</v>
      </c>
      <c r="K17" s="10">
        <v>44368753.799999997</v>
      </c>
      <c r="L17" s="10">
        <v>43998609.399999999</v>
      </c>
      <c r="M17" s="10">
        <v>40939668.200000003</v>
      </c>
      <c r="N17" s="10">
        <v>42076237.399999999</v>
      </c>
      <c r="O17" s="10">
        <v>46786323.200000003</v>
      </c>
      <c r="P17" s="2">
        <f t="shared" si="1"/>
        <v>523486663.62999994</v>
      </c>
      <c r="Q17" s="15">
        <f>IF(P17-P16*Q16&gt;0,P17-P16*Q16,0)</f>
        <v>0</v>
      </c>
      <c r="R17" s="250">
        <v>6.3570000000000002E-2</v>
      </c>
      <c r="S17" s="3">
        <f t="shared" si="31"/>
        <v>3124070.717586</v>
      </c>
      <c r="T17" s="3">
        <f t="shared" si="31"/>
        <v>3027010.9481820003</v>
      </c>
      <c r="U17" s="3">
        <f t="shared" si="31"/>
        <v>2936176.6143060001</v>
      </c>
      <c r="V17" s="3">
        <f t="shared" si="31"/>
        <v>2699086.7432880001</v>
      </c>
      <c r="W17" s="3">
        <f t="shared" si="31"/>
        <v>2409489.6415200001</v>
      </c>
      <c r="X17" s="3">
        <f t="shared" si="31"/>
        <v>2570442.2340051001</v>
      </c>
      <c r="Y17" s="3">
        <f t="shared" si="31"/>
        <v>2642729.3446320002</v>
      </c>
      <c r="Z17" s="3">
        <f t="shared" si="31"/>
        <v>2820521.679066</v>
      </c>
      <c r="AA17" s="3">
        <f t="shared" si="31"/>
        <v>2796991.599558</v>
      </c>
      <c r="AB17" s="3">
        <f t="shared" si="31"/>
        <v>2602534.7074740003</v>
      </c>
      <c r="AC17" s="20">
        <f t="shared" si="31"/>
        <v>2674786.4115180001</v>
      </c>
      <c r="AD17" s="20">
        <f t="shared" si="31"/>
        <v>2974206.5658240002</v>
      </c>
      <c r="AE17" s="3">
        <f t="shared" si="2"/>
        <v>33278047.206959099</v>
      </c>
    </row>
    <row r="18" spans="1:31" x14ac:dyDescent="0.25">
      <c r="B18" t="s">
        <v>16</v>
      </c>
      <c r="D18" s="10">
        <v>3438802</v>
      </c>
      <c r="E18" s="10">
        <v>4002338</v>
      </c>
      <c r="F18" s="10">
        <v>4155588</v>
      </c>
      <c r="G18" s="10">
        <v>4035112</v>
      </c>
      <c r="H18" s="10">
        <v>3342080</v>
      </c>
      <c r="I18" s="10">
        <v>3562670</v>
      </c>
      <c r="J18" s="10">
        <v>4023280</v>
      </c>
      <c r="K18" s="10">
        <v>4744476</v>
      </c>
      <c r="L18" s="10">
        <v>4502400</v>
      </c>
      <c r="M18" s="10">
        <v>4057980</v>
      </c>
      <c r="N18" s="10">
        <v>3898958</v>
      </c>
      <c r="O18" s="10">
        <v>5079632</v>
      </c>
      <c r="P18" s="2">
        <f t="shared" si="1"/>
        <v>48843316</v>
      </c>
      <c r="Q18" s="15">
        <f>IF(P17-P16*Q16&lt;0,P18+P17-P16*Q16,P18)</f>
        <v>32654736.629999876</v>
      </c>
      <c r="R18" s="250">
        <v>5.4149999999999997E-2</v>
      </c>
      <c r="S18" s="3">
        <f t="shared" si="31"/>
        <v>186211.12829999998</v>
      </c>
      <c r="T18" s="3">
        <f t="shared" si="31"/>
        <v>216726.60269999999</v>
      </c>
      <c r="U18" s="3">
        <f t="shared" si="31"/>
        <v>225025.09019999998</v>
      </c>
      <c r="V18" s="3">
        <f t="shared" si="31"/>
        <v>218501.31479999999</v>
      </c>
      <c r="W18" s="3">
        <f t="shared" si="31"/>
        <v>180973.63199999998</v>
      </c>
      <c r="X18" s="3">
        <f t="shared" si="31"/>
        <v>192918.58049999998</v>
      </c>
      <c r="Y18" s="3">
        <f t="shared" si="31"/>
        <v>217860.61199999999</v>
      </c>
      <c r="Z18" s="3">
        <f t="shared" si="31"/>
        <v>256913.37539999999</v>
      </c>
      <c r="AA18" s="3">
        <f t="shared" si="31"/>
        <v>243804.96</v>
      </c>
      <c r="AB18" s="3">
        <f t="shared" si="31"/>
        <v>219739.617</v>
      </c>
      <c r="AC18" s="20">
        <f t="shared" si="31"/>
        <v>211128.57569999999</v>
      </c>
      <c r="AD18" s="20">
        <f t="shared" si="31"/>
        <v>275062.07279999997</v>
      </c>
      <c r="AE18" s="3">
        <f t="shared" si="2"/>
        <v>2644865.5614</v>
      </c>
    </row>
    <row r="19" spans="1:31" x14ac:dyDescent="0.25">
      <c r="B19" t="s">
        <v>19</v>
      </c>
      <c r="D19" s="2">
        <f>D119/D122</f>
        <v>86957.267272727273</v>
      </c>
      <c r="E19" s="2">
        <f t="shared" ref="E19:O19" si="32">E119/E122</f>
        <v>89278.474545454548</v>
      </c>
      <c r="F19" s="2">
        <f t="shared" si="32"/>
        <v>90411.356363636354</v>
      </c>
      <c r="G19" s="2">
        <f t="shared" si="32"/>
        <v>86690.654545454541</v>
      </c>
      <c r="H19" s="2">
        <f t="shared" si="32"/>
        <v>75433.734545454543</v>
      </c>
      <c r="I19" s="2">
        <f t="shared" si="32"/>
        <v>86533.236363636359</v>
      </c>
      <c r="J19" s="2">
        <f t="shared" si="32"/>
        <v>84696.256363636363</v>
      </c>
      <c r="K19" s="2">
        <f t="shared" si="32"/>
        <v>91246.056363636366</v>
      </c>
      <c r="L19" s="2">
        <f t="shared" si="32"/>
        <v>93990.085454545449</v>
      </c>
      <c r="M19" s="2">
        <f t="shared" si="32"/>
        <v>88974.447272727281</v>
      </c>
      <c r="N19" s="2">
        <f t="shared" si="32"/>
        <v>91398.247272727283</v>
      </c>
      <c r="O19" s="2">
        <f t="shared" si="32"/>
        <v>88524.785454545461</v>
      </c>
      <c r="P19" s="2">
        <f t="shared" si="1"/>
        <v>1054134.6018181818</v>
      </c>
      <c r="Q19" s="15"/>
      <c r="R19" s="249">
        <v>5.5</v>
      </c>
      <c r="S19" s="3">
        <f t="shared" si="31"/>
        <v>478264.97</v>
      </c>
      <c r="T19" s="3">
        <f t="shared" ref="T19:T21" si="33">$R19*E19</f>
        <v>491031.61</v>
      </c>
      <c r="U19" s="3">
        <f t="shared" ref="U19:U21" si="34">$R19*F19</f>
        <v>497262.45999999996</v>
      </c>
      <c r="V19" s="3">
        <f t="shared" ref="V19:V21" si="35">$R19*G19</f>
        <v>476798.6</v>
      </c>
      <c r="W19" s="3">
        <f t="shared" ref="W19:W21" si="36">$R19*H19</f>
        <v>414885.54</v>
      </c>
      <c r="X19" s="3">
        <f t="shared" ref="X19:X21" si="37">$R19*I19</f>
        <v>475932.8</v>
      </c>
      <c r="Y19" s="3">
        <f t="shared" ref="Y19:Y21" si="38">$R19*J19</f>
        <v>465829.41</v>
      </c>
      <c r="Z19" s="3">
        <f t="shared" ref="Z19:Z21" si="39">$R19*K19</f>
        <v>501853.31</v>
      </c>
      <c r="AA19" s="3">
        <f t="shared" ref="AA19:AA21" si="40">$R19*L19</f>
        <v>516945.47</v>
      </c>
      <c r="AB19" s="3">
        <f t="shared" ref="AB19:AB21" si="41">$R19*M19</f>
        <v>489359.46</v>
      </c>
      <c r="AC19" s="3">
        <f t="shared" ref="AC19:AC21" si="42">$R19*N19</f>
        <v>502690.36000000004</v>
      </c>
      <c r="AD19" s="3">
        <f t="shared" ref="AD19:AD21" si="43">$R19*O19</f>
        <v>486886.32000000007</v>
      </c>
      <c r="AE19" s="3">
        <f t="shared" si="2"/>
        <v>5797740.3100000005</v>
      </c>
    </row>
    <row r="20" spans="1:31" x14ac:dyDescent="0.25">
      <c r="B20" t="s">
        <v>20</v>
      </c>
      <c r="D20" s="2">
        <f t="shared" ref="D20:O21" si="44">D120/D123</f>
        <v>4178.72</v>
      </c>
      <c r="E20" s="2">
        <f t="shared" si="44"/>
        <v>3922.72</v>
      </c>
      <c r="F20" s="2">
        <f t="shared" si="44"/>
        <v>5576.72</v>
      </c>
      <c r="G20" s="2">
        <f t="shared" si="44"/>
        <v>6123</v>
      </c>
      <c r="H20" s="2">
        <f t="shared" si="44"/>
        <v>5030.5200000000004</v>
      </c>
      <c r="I20" s="2">
        <f t="shared" si="44"/>
        <v>7213.16</v>
      </c>
      <c r="J20" s="2">
        <f t="shared" si="44"/>
        <v>5601.8</v>
      </c>
      <c r="K20" s="2">
        <f t="shared" si="44"/>
        <v>5312.68</v>
      </c>
      <c r="L20" s="2">
        <f t="shared" si="44"/>
        <v>5273.6</v>
      </c>
      <c r="M20" s="2">
        <f t="shared" si="44"/>
        <v>5567.12</v>
      </c>
      <c r="N20" s="2">
        <f t="shared" si="44"/>
        <v>5506.44</v>
      </c>
      <c r="O20" s="2">
        <f t="shared" si="44"/>
        <v>5303.76</v>
      </c>
      <c r="P20" s="2">
        <f t="shared" si="1"/>
        <v>64610.240000000005</v>
      </c>
      <c r="Q20" s="15"/>
      <c r="R20" s="249">
        <v>0.25</v>
      </c>
      <c r="S20" s="3">
        <f t="shared" si="31"/>
        <v>1044.68</v>
      </c>
      <c r="T20" s="3">
        <f t="shared" si="33"/>
        <v>980.68</v>
      </c>
      <c r="U20" s="3">
        <f t="shared" si="34"/>
        <v>1394.18</v>
      </c>
      <c r="V20" s="3">
        <f t="shared" si="35"/>
        <v>1530.75</v>
      </c>
      <c r="W20" s="3">
        <f t="shared" si="36"/>
        <v>1257.6300000000001</v>
      </c>
      <c r="X20" s="3">
        <f t="shared" si="37"/>
        <v>1803.29</v>
      </c>
      <c r="Y20" s="3">
        <f t="shared" si="38"/>
        <v>1400.45</v>
      </c>
      <c r="Z20" s="3">
        <f t="shared" si="39"/>
        <v>1328.17</v>
      </c>
      <c r="AA20" s="3">
        <f t="shared" si="40"/>
        <v>1318.4</v>
      </c>
      <c r="AB20" s="3">
        <f t="shared" si="41"/>
        <v>1391.78</v>
      </c>
      <c r="AC20" s="3">
        <f t="shared" si="42"/>
        <v>1376.61</v>
      </c>
      <c r="AD20" s="3">
        <f t="shared" si="43"/>
        <v>1325.94</v>
      </c>
      <c r="AE20" s="3">
        <f t="shared" si="2"/>
        <v>16152.560000000001</v>
      </c>
    </row>
    <row r="21" spans="1:31" x14ac:dyDescent="0.25">
      <c r="B21" t="s">
        <v>21</v>
      </c>
      <c r="D21" s="2">
        <f t="shared" si="44"/>
        <v>8794.3499999999985</v>
      </c>
      <c r="E21" s="2">
        <f t="shared" si="44"/>
        <v>10375</v>
      </c>
      <c r="F21" s="2">
        <f t="shared" si="44"/>
        <v>11782.05</v>
      </c>
      <c r="G21" s="2">
        <f t="shared" si="44"/>
        <v>10682.449999999999</v>
      </c>
      <c r="H21" s="2">
        <f t="shared" si="44"/>
        <v>9428.6999999999989</v>
      </c>
      <c r="I21" s="2">
        <f t="shared" si="44"/>
        <v>12445.35</v>
      </c>
      <c r="J21" s="2">
        <f t="shared" si="44"/>
        <v>10125</v>
      </c>
      <c r="K21" s="2">
        <f t="shared" si="44"/>
        <v>10474.749999999998</v>
      </c>
      <c r="L21" s="2">
        <f t="shared" si="44"/>
        <v>10002.949999999999</v>
      </c>
      <c r="M21" s="2">
        <f t="shared" si="44"/>
        <v>9778.0999999999985</v>
      </c>
      <c r="N21" s="2">
        <f t="shared" si="44"/>
        <v>10287.4</v>
      </c>
      <c r="O21" s="2">
        <f t="shared" si="44"/>
        <v>10079.4</v>
      </c>
      <c r="P21" s="2">
        <f t="shared" si="1"/>
        <v>124255.49999999997</v>
      </c>
      <c r="Q21" s="2"/>
      <c r="R21" s="249">
        <v>-0.2</v>
      </c>
      <c r="S21" s="3">
        <f t="shared" si="31"/>
        <v>-1758.87</v>
      </c>
      <c r="T21" s="3">
        <f t="shared" si="33"/>
        <v>-2075</v>
      </c>
      <c r="U21" s="3">
        <f t="shared" si="34"/>
        <v>-2356.41</v>
      </c>
      <c r="V21" s="3">
        <f t="shared" si="35"/>
        <v>-2136.4899999999998</v>
      </c>
      <c r="W21" s="3">
        <f t="shared" si="36"/>
        <v>-1885.7399999999998</v>
      </c>
      <c r="X21" s="3">
        <f t="shared" si="37"/>
        <v>-2489.0700000000002</v>
      </c>
      <c r="Y21" s="3">
        <f t="shared" si="38"/>
        <v>-2025</v>
      </c>
      <c r="Z21" s="3">
        <f t="shared" si="39"/>
        <v>-2094.9499999999998</v>
      </c>
      <c r="AA21" s="3">
        <f t="shared" si="40"/>
        <v>-2000.59</v>
      </c>
      <c r="AB21" s="3">
        <f t="shared" si="41"/>
        <v>-1955.62</v>
      </c>
      <c r="AC21" s="3">
        <f t="shared" si="42"/>
        <v>-2057.48</v>
      </c>
      <c r="AD21" s="3">
        <f t="shared" si="43"/>
        <v>-2015.88</v>
      </c>
      <c r="AE21" s="3">
        <f t="shared" si="2"/>
        <v>-24851.1</v>
      </c>
    </row>
    <row r="22" spans="1:31" x14ac:dyDescent="0.25">
      <c r="A22" t="s">
        <v>39</v>
      </c>
      <c r="B22" t="s">
        <v>14</v>
      </c>
      <c r="D22" s="10">
        <v>18</v>
      </c>
      <c r="E22" s="10">
        <v>18</v>
      </c>
      <c r="F22" s="10">
        <v>18</v>
      </c>
      <c r="G22" s="10">
        <v>18</v>
      </c>
      <c r="H22" s="10">
        <v>19</v>
      </c>
      <c r="I22" s="10">
        <v>19</v>
      </c>
      <c r="J22" s="10">
        <v>19</v>
      </c>
      <c r="K22" s="10">
        <v>19</v>
      </c>
      <c r="L22" s="10">
        <v>14</v>
      </c>
      <c r="M22" s="10">
        <v>18</v>
      </c>
      <c r="N22" s="10">
        <v>18</v>
      </c>
      <c r="O22" s="10">
        <v>18</v>
      </c>
      <c r="P22" s="2">
        <f t="shared" si="1"/>
        <v>216</v>
      </c>
      <c r="Q22" s="2"/>
      <c r="R22" s="249">
        <v>425</v>
      </c>
      <c r="S22" s="3">
        <f t="shared" ref="S22:AD27" si="45">$R22*D22</f>
        <v>7650</v>
      </c>
      <c r="T22" s="3">
        <f t="shared" si="45"/>
        <v>7650</v>
      </c>
      <c r="U22" s="3">
        <f t="shared" si="45"/>
        <v>7650</v>
      </c>
      <c r="V22" s="3">
        <f t="shared" si="45"/>
        <v>7650</v>
      </c>
      <c r="W22" s="3">
        <f t="shared" si="45"/>
        <v>8075</v>
      </c>
      <c r="X22" s="3">
        <f t="shared" si="45"/>
        <v>8075</v>
      </c>
      <c r="Y22" s="3">
        <f t="shared" si="45"/>
        <v>8075</v>
      </c>
      <c r="Z22" s="3">
        <f t="shared" si="45"/>
        <v>8075</v>
      </c>
      <c r="AA22" s="3">
        <f t="shared" si="45"/>
        <v>5950</v>
      </c>
      <c r="AB22" s="3">
        <f t="shared" si="45"/>
        <v>7650</v>
      </c>
      <c r="AC22" s="20">
        <f t="shared" si="45"/>
        <v>7650</v>
      </c>
      <c r="AD22" s="20">
        <f t="shared" si="45"/>
        <v>7650</v>
      </c>
      <c r="AE22" s="3">
        <f t="shared" si="2"/>
        <v>91800</v>
      </c>
    </row>
    <row r="23" spans="1:31" x14ac:dyDescent="0.25">
      <c r="B23" t="s">
        <v>15</v>
      </c>
      <c r="D23" s="10">
        <v>707520</v>
      </c>
      <c r="E23" s="10">
        <v>685160</v>
      </c>
      <c r="F23" s="10">
        <v>607520</v>
      </c>
      <c r="G23" s="10">
        <v>557960</v>
      </c>
      <c r="H23" s="10">
        <v>460800</v>
      </c>
      <c r="I23" s="10">
        <v>459520</v>
      </c>
      <c r="J23" s="10">
        <v>503720</v>
      </c>
      <c r="K23" s="10">
        <v>538800</v>
      </c>
      <c r="L23" s="10">
        <v>533640</v>
      </c>
      <c r="M23" s="10">
        <v>494440</v>
      </c>
      <c r="N23" s="10">
        <v>564200</v>
      </c>
      <c r="O23" s="10">
        <v>726600</v>
      </c>
      <c r="P23" s="2">
        <f t="shared" si="1"/>
        <v>6839880</v>
      </c>
      <c r="Q23" s="2"/>
      <c r="R23" s="250">
        <v>6.021E-2</v>
      </c>
      <c r="S23" s="3">
        <f t="shared" si="45"/>
        <v>42599.779199999997</v>
      </c>
      <c r="T23" s="3">
        <f t="shared" si="45"/>
        <v>41253.4836</v>
      </c>
      <c r="U23" s="3">
        <f t="shared" si="45"/>
        <v>36578.779199999997</v>
      </c>
      <c r="V23" s="3">
        <f t="shared" si="45"/>
        <v>33594.7716</v>
      </c>
      <c r="W23" s="3">
        <f t="shared" si="45"/>
        <v>27744.768</v>
      </c>
      <c r="X23" s="3">
        <f t="shared" si="45"/>
        <v>27667.699199999999</v>
      </c>
      <c r="Y23" s="3">
        <f t="shared" si="45"/>
        <v>30328.981199999998</v>
      </c>
      <c r="Z23" s="3">
        <f t="shared" si="45"/>
        <v>32441.148000000001</v>
      </c>
      <c r="AA23" s="3">
        <f t="shared" si="45"/>
        <v>32130.464400000001</v>
      </c>
      <c r="AB23" s="3">
        <f t="shared" si="45"/>
        <v>29770.232400000001</v>
      </c>
      <c r="AC23" s="20">
        <f t="shared" si="45"/>
        <v>33970.481999999996</v>
      </c>
      <c r="AD23" s="20">
        <f t="shared" si="45"/>
        <v>43748.586000000003</v>
      </c>
      <c r="AE23" s="3">
        <f t="shared" si="2"/>
        <v>411829.17480000004</v>
      </c>
    </row>
    <row r="24" spans="1:31" x14ac:dyDescent="0.25">
      <c r="B24" t="s">
        <v>16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0">
        <v>0</v>
      </c>
      <c r="O24" s="10">
        <v>0</v>
      </c>
      <c r="P24" s="2">
        <f t="shared" si="1"/>
        <v>0</v>
      </c>
      <c r="Q24" s="2"/>
      <c r="R24" s="250">
        <v>5.0790000000000002E-2</v>
      </c>
      <c r="S24" s="3">
        <f t="shared" si="45"/>
        <v>0</v>
      </c>
      <c r="T24" s="3">
        <f t="shared" si="45"/>
        <v>0</v>
      </c>
      <c r="U24" s="3">
        <f t="shared" si="45"/>
        <v>0</v>
      </c>
      <c r="V24" s="3">
        <f t="shared" si="45"/>
        <v>0</v>
      </c>
      <c r="W24" s="3">
        <f t="shared" si="45"/>
        <v>0</v>
      </c>
      <c r="X24" s="3">
        <f t="shared" si="45"/>
        <v>0</v>
      </c>
      <c r="Y24" s="3">
        <f t="shared" si="45"/>
        <v>0</v>
      </c>
      <c r="Z24" s="3">
        <f t="shared" si="45"/>
        <v>0</v>
      </c>
      <c r="AA24" s="3">
        <f t="shared" si="45"/>
        <v>0</v>
      </c>
      <c r="AB24" s="3">
        <f t="shared" si="45"/>
        <v>0</v>
      </c>
      <c r="AC24" s="20">
        <f t="shared" si="45"/>
        <v>0</v>
      </c>
      <c r="AD24" s="20">
        <f t="shared" si="45"/>
        <v>0</v>
      </c>
      <c r="AE24" s="3">
        <f t="shared" si="2"/>
        <v>0</v>
      </c>
    </row>
    <row r="25" spans="1:31" x14ac:dyDescent="0.25">
      <c r="B25" t="s">
        <v>19</v>
      </c>
      <c r="D25" s="2">
        <f>D126/D129</f>
        <v>876.84</v>
      </c>
      <c r="E25" s="2">
        <f t="shared" ref="E25:O25" si="46">E126/E129</f>
        <v>940.2</v>
      </c>
      <c r="F25" s="2">
        <f t="shared" si="46"/>
        <v>811.6400000000001</v>
      </c>
      <c r="G25" s="2">
        <f t="shared" si="46"/>
        <v>869.7600000000001</v>
      </c>
      <c r="H25" s="2">
        <f t="shared" si="46"/>
        <v>671.16</v>
      </c>
      <c r="I25" s="2">
        <f t="shared" si="46"/>
        <v>493.92</v>
      </c>
      <c r="J25" s="2">
        <f t="shared" si="46"/>
        <v>504.32000000000005</v>
      </c>
      <c r="K25" s="2">
        <f t="shared" si="46"/>
        <v>559.64</v>
      </c>
      <c r="L25" s="2">
        <f t="shared" si="46"/>
        <v>724.4</v>
      </c>
      <c r="M25" s="2">
        <f t="shared" si="46"/>
        <v>501.47999999999996</v>
      </c>
      <c r="N25" s="2">
        <f t="shared" si="46"/>
        <v>813.6400000000001</v>
      </c>
      <c r="O25" s="2">
        <f t="shared" si="46"/>
        <v>758.04000000000008</v>
      </c>
      <c r="P25" s="2">
        <f t="shared" si="1"/>
        <v>8525.0400000000009</v>
      </c>
      <c r="Q25" s="2"/>
      <c r="R25" s="249">
        <v>5.5</v>
      </c>
      <c r="S25" s="3">
        <f t="shared" si="45"/>
        <v>4822.62</v>
      </c>
      <c r="T25" s="3">
        <f t="shared" ref="T25:T27" si="47">$R25*E25</f>
        <v>5171.1000000000004</v>
      </c>
      <c r="U25" s="3">
        <f t="shared" ref="U25:U27" si="48">$R25*F25</f>
        <v>4464.0200000000004</v>
      </c>
      <c r="V25" s="3">
        <f t="shared" ref="V25:V27" si="49">$R25*G25</f>
        <v>4783.68</v>
      </c>
      <c r="W25" s="3">
        <f t="shared" ref="W25:W27" si="50">$R25*H25</f>
        <v>3691.3799999999997</v>
      </c>
      <c r="X25" s="3">
        <f t="shared" ref="X25:X27" si="51">$R25*I25</f>
        <v>2716.56</v>
      </c>
      <c r="Y25" s="3">
        <f t="shared" ref="Y25:Y27" si="52">$R25*J25</f>
        <v>2773.76</v>
      </c>
      <c r="Z25" s="3">
        <f t="shared" ref="Z25:Z27" si="53">$R25*K25</f>
        <v>3078.02</v>
      </c>
      <c r="AA25" s="3">
        <f t="shared" ref="AA25:AA27" si="54">$R25*L25</f>
        <v>3984.2</v>
      </c>
      <c r="AB25" s="3">
        <f t="shared" ref="AB25:AB27" si="55">$R25*M25</f>
        <v>2758.14</v>
      </c>
      <c r="AC25" s="3">
        <f t="shared" ref="AC25:AC27" si="56">$R25*N25</f>
        <v>4475.0200000000004</v>
      </c>
      <c r="AD25" s="3">
        <f t="shared" ref="AD25:AD27" si="57">$R25*O25</f>
        <v>4169.22</v>
      </c>
      <c r="AE25" s="3">
        <f t="shared" si="2"/>
        <v>46887.72</v>
      </c>
    </row>
    <row r="26" spans="1:31" x14ac:dyDescent="0.25">
      <c r="B26" t="s">
        <v>20</v>
      </c>
      <c r="D26" s="2">
        <f t="shared" ref="D26:O27" si="58">D127/D130</f>
        <v>0</v>
      </c>
      <c r="E26" s="2">
        <f t="shared" si="58"/>
        <v>0</v>
      </c>
      <c r="F26" s="2">
        <f t="shared" si="58"/>
        <v>0</v>
      </c>
      <c r="G26" s="2">
        <f t="shared" si="58"/>
        <v>0</v>
      </c>
      <c r="H26" s="2">
        <f t="shared" si="58"/>
        <v>0</v>
      </c>
      <c r="I26" s="2">
        <f t="shared" si="58"/>
        <v>0</v>
      </c>
      <c r="J26" s="2">
        <f t="shared" si="58"/>
        <v>0</v>
      </c>
      <c r="K26" s="2">
        <f t="shared" si="58"/>
        <v>0</v>
      </c>
      <c r="L26" s="2">
        <f t="shared" si="58"/>
        <v>0</v>
      </c>
      <c r="M26" s="2">
        <f t="shared" si="58"/>
        <v>0</v>
      </c>
      <c r="N26" s="2">
        <f t="shared" si="58"/>
        <v>0</v>
      </c>
      <c r="O26" s="2">
        <f t="shared" si="58"/>
        <v>0</v>
      </c>
      <c r="P26" s="2">
        <f t="shared" si="1"/>
        <v>0</v>
      </c>
      <c r="Q26" s="2"/>
      <c r="R26" s="249">
        <v>0.25</v>
      </c>
      <c r="S26" s="3">
        <f t="shared" si="45"/>
        <v>0</v>
      </c>
      <c r="T26" s="3">
        <f t="shared" si="47"/>
        <v>0</v>
      </c>
      <c r="U26" s="3">
        <f t="shared" si="48"/>
        <v>0</v>
      </c>
      <c r="V26" s="3">
        <f t="shared" si="49"/>
        <v>0</v>
      </c>
      <c r="W26" s="3">
        <f t="shared" si="50"/>
        <v>0</v>
      </c>
      <c r="X26" s="3">
        <f t="shared" si="51"/>
        <v>0</v>
      </c>
      <c r="Y26" s="3">
        <f t="shared" si="52"/>
        <v>0</v>
      </c>
      <c r="Z26" s="3">
        <f t="shared" si="53"/>
        <v>0</v>
      </c>
      <c r="AA26" s="3">
        <f t="shared" si="54"/>
        <v>0</v>
      </c>
      <c r="AB26" s="3">
        <f t="shared" si="55"/>
        <v>0</v>
      </c>
      <c r="AC26" s="3">
        <f t="shared" si="56"/>
        <v>0</v>
      </c>
      <c r="AD26" s="3">
        <f t="shared" si="57"/>
        <v>0</v>
      </c>
      <c r="AE26" s="3">
        <f t="shared" si="2"/>
        <v>0</v>
      </c>
    </row>
    <row r="27" spans="1:31" x14ac:dyDescent="0.25">
      <c r="B27" t="s">
        <v>21</v>
      </c>
      <c r="D27" s="2">
        <f t="shared" si="58"/>
        <v>0</v>
      </c>
      <c r="E27" s="2">
        <f t="shared" si="58"/>
        <v>0</v>
      </c>
      <c r="F27" s="2">
        <f t="shared" si="58"/>
        <v>0</v>
      </c>
      <c r="G27" s="2">
        <f t="shared" si="58"/>
        <v>0</v>
      </c>
      <c r="H27" s="2">
        <f t="shared" si="58"/>
        <v>0</v>
      </c>
      <c r="I27" s="2">
        <f t="shared" si="58"/>
        <v>0</v>
      </c>
      <c r="J27" s="2">
        <f t="shared" si="58"/>
        <v>0</v>
      </c>
      <c r="K27" s="2">
        <f t="shared" si="58"/>
        <v>0</v>
      </c>
      <c r="L27" s="2">
        <f t="shared" si="58"/>
        <v>0</v>
      </c>
      <c r="M27" s="2">
        <f t="shared" si="58"/>
        <v>0</v>
      </c>
      <c r="N27" s="2">
        <f t="shared" si="58"/>
        <v>0</v>
      </c>
      <c r="O27" s="2">
        <f t="shared" si="58"/>
        <v>0</v>
      </c>
      <c r="P27" s="2">
        <f t="shared" si="1"/>
        <v>0</v>
      </c>
      <c r="Q27" s="2"/>
      <c r="R27" s="249">
        <v>-0.2</v>
      </c>
      <c r="S27" s="3">
        <f t="shared" si="45"/>
        <v>0</v>
      </c>
      <c r="T27" s="3">
        <f t="shared" si="47"/>
        <v>0</v>
      </c>
      <c r="U27" s="3">
        <f t="shared" si="48"/>
        <v>0</v>
      </c>
      <c r="V27" s="3">
        <f t="shared" si="49"/>
        <v>0</v>
      </c>
      <c r="W27" s="3">
        <f t="shared" si="50"/>
        <v>0</v>
      </c>
      <c r="X27" s="3">
        <f t="shared" si="51"/>
        <v>0</v>
      </c>
      <c r="Y27" s="3">
        <f t="shared" si="52"/>
        <v>0</v>
      </c>
      <c r="Z27" s="3">
        <f t="shared" si="53"/>
        <v>0</v>
      </c>
      <c r="AA27" s="3">
        <f t="shared" si="54"/>
        <v>0</v>
      </c>
      <c r="AB27" s="3">
        <f t="shared" si="55"/>
        <v>0</v>
      </c>
      <c r="AC27" s="3">
        <f t="shared" si="56"/>
        <v>0</v>
      </c>
      <c r="AD27" s="3">
        <f t="shared" si="57"/>
        <v>0</v>
      </c>
      <c r="AE27" s="3">
        <f t="shared" si="2"/>
        <v>0</v>
      </c>
    </row>
    <row r="28" spans="1:31" x14ac:dyDescent="0.25">
      <c r="A28" t="s">
        <v>40</v>
      </c>
      <c r="B28" t="s">
        <v>14</v>
      </c>
      <c r="D28" s="150">
        <f>'ID Sch 25'!F104</f>
        <v>11</v>
      </c>
      <c r="E28" s="150">
        <f>'ID Sch 25'!G104</f>
        <v>11</v>
      </c>
      <c r="F28" s="150">
        <f>'ID Sch 25'!H104</f>
        <v>11</v>
      </c>
      <c r="G28" s="150">
        <f>'ID Sch 25'!I104</f>
        <v>11</v>
      </c>
      <c r="H28" s="150">
        <f>'ID Sch 25'!J104</f>
        <v>10</v>
      </c>
      <c r="I28" s="150">
        <f>'ID Sch 25'!K104</f>
        <v>10</v>
      </c>
      <c r="J28" s="150">
        <f>'ID Sch 25'!L104</f>
        <v>10</v>
      </c>
      <c r="K28" s="150">
        <f>'ID Sch 25'!M104</f>
        <v>10</v>
      </c>
      <c r="L28" s="150">
        <f>'ID Sch 25'!N104</f>
        <v>10</v>
      </c>
      <c r="M28" s="150">
        <f>'ID Sch 25'!O104</f>
        <v>10</v>
      </c>
      <c r="N28" s="150">
        <f>'ID Sch 25'!P104</f>
        <v>10</v>
      </c>
      <c r="O28" s="150">
        <f>'ID Sch 25'!Q104</f>
        <v>10</v>
      </c>
      <c r="P28" s="2">
        <f t="shared" si="1"/>
        <v>124</v>
      </c>
      <c r="Q28" s="2"/>
      <c r="R28" s="249">
        <v>14000</v>
      </c>
      <c r="S28" s="3">
        <f t="shared" ref="S28:AD33" si="59">$R28*D28</f>
        <v>154000</v>
      </c>
      <c r="T28" s="3">
        <f t="shared" si="59"/>
        <v>154000</v>
      </c>
      <c r="U28" s="3">
        <f t="shared" si="59"/>
        <v>154000</v>
      </c>
      <c r="V28" s="3">
        <f t="shared" si="59"/>
        <v>154000</v>
      </c>
      <c r="W28" s="3">
        <f t="shared" si="59"/>
        <v>140000</v>
      </c>
      <c r="X28" s="3">
        <f t="shared" si="59"/>
        <v>140000</v>
      </c>
      <c r="Y28" s="3">
        <f t="shared" si="59"/>
        <v>140000</v>
      </c>
      <c r="Z28" s="3">
        <f t="shared" si="59"/>
        <v>140000</v>
      </c>
      <c r="AA28" s="3">
        <f t="shared" si="59"/>
        <v>140000</v>
      </c>
      <c r="AB28" s="3">
        <f t="shared" si="59"/>
        <v>140000</v>
      </c>
      <c r="AC28" s="20">
        <f t="shared" si="59"/>
        <v>140000</v>
      </c>
      <c r="AD28" s="20">
        <f t="shared" si="59"/>
        <v>140000</v>
      </c>
      <c r="AE28" s="3">
        <f t="shared" si="2"/>
        <v>1736000</v>
      </c>
    </row>
    <row r="29" spans="1:31" x14ac:dyDescent="0.25">
      <c r="B29" t="s">
        <v>15</v>
      </c>
      <c r="D29" s="150">
        <f>'ID Sch 25'!F105</f>
        <v>5500000</v>
      </c>
      <c r="E29" s="150">
        <f>'ID Sch 25'!G105</f>
        <v>5500000</v>
      </c>
      <c r="F29" s="150">
        <f>'ID Sch 25'!H105</f>
        <v>5500000</v>
      </c>
      <c r="G29" s="150">
        <f>'ID Sch 25'!I105</f>
        <v>5500000</v>
      </c>
      <c r="H29" s="150">
        <f>'ID Sch 25'!J105</f>
        <v>5000000</v>
      </c>
      <c r="I29" s="150">
        <f>'ID Sch 25'!K105</f>
        <v>5000000</v>
      </c>
      <c r="J29" s="150">
        <f>'ID Sch 25'!L105</f>
        <v>5000000</v>
      </c>
      <c r="K29" s="150">
        <f>'ID Sch 25'!M105</f>
        <v>5000000</v>
      </c>
      <c r="L29" s="150">
        <f>'ID Sch 25'!N105</f>
        <v>5000000</v>
      </c>
      <c r="M29" s="150">
        <f>'ID Sch 25'!O105</f>
        <v>5000000</v>
      </c>
      <c r="N29" s="150">
        <f>'ID Sch 25'!P105</f>
        <v>5000000</v>
      </c>
      <c r="O29" s="150">
        <f>'ID Sch 25'!Q105</f>
        <v>5000000</v>
      </c>
      <c r="P29" s="2">
        <f t="shared" si="1"/>
        <v>62000000</v>
      </c>
      <c r="Q29" s="2"/>
      <c r="R29" s="250">
        <v>5.4420000000000003E-2</v>
      </c>
      <c r="S29" s="3">
        <f t="shared" si="59"/>
        <v>299310</v>
      </c>
      <c r="T29" s="3">
        <f t="shared" si="59"/>
        <v>299310</v>
      </c>
      <c r="U29" s="3">
        <f t="shared" si="59"/>
        <v>299310</v>
      </c>
      <c r="V29" s="3">
        <f t="shared" si="59"/>
        <v>299310</v>
      </c>
      <c r="W29" s="3">
        <f t="shared" si="59"/>
        <v>272100</v>
      </c>
      <c r="X29" s="3">
        <f t="shared" si="59"/>
        <v>272100</v>
      </c>
      <c r="Y29" s="3">
        <f t="shared" si="59"/>
        <v>272100</v>
      </c>
      <c r="Z29" s="3">
        <f t="shared" si="59"/>
        <v>272100</v>
      </c>
      <c r="AA29" s="3">
        <f t="shared" si="59"/>
        <v>272100</v>
      </c>
      <c r="AB29" s="3">
        <f t="shared" si="59"/>
        <v>272100</v>
      </c>
      <c r="AC29" s="20">
        <f t="shared" si="59"/>
        <v>272100</v>
      </c>
      <c r="AD29" s="20">
        <f t="shared" si="59"/>
        <v>272100</v>
      </c>
      <c r="AE29" s="3">
        <f t="shared" si="2"/>
        <v>3374040</v>
      </c>
    </row>
    <row r="30" spans="1:31" x14ac:dyDescent="0.25">
      <c r="B30" t="s">
        <v>16</v>
      </c>
      <c r="D30" s="150">
        <f>'ID Sch 25'!F106</f>
        <v>22239144.160000004</v>
      </c>
      <c r="E30" s="150">
        <f>'ID Sch 25'!G106</f>
        <v>20614251.850000001</v>
      </c>
      <c r="F30" s="150">
        <f>'ID Sch 25'!H106</f>
        <v>22133923.990000002</v>
      </c>
      <c r="G30" s="150">
        <f>'ID Sch 25'!I106</f>
        <v>20302164.089999996</v>
      </c>
      <c r="H30" s="150">
        <f>'ID Sch 25'!J106</f>
        <v>20029523.640000001</v>
      </c>
      <c r="I30" s="150">
        <f>'ID Sch 25'!K106</f>
        <v>19676992.609999999</v>
      </c>
      <c r="J30" s="150">
        <f>'ID Sch 25'!L106</f>
        <v>20470885.170000002</v>
      </c>
      <c r="K30" s="150">
        <f>'ID Sch 25'!M106</f>
        <v>20961908.239999998</v>
      </c>
      <c r="L30" s="150">
        <f>'ID Sch 25'!N106</f>
        <v>19286387.700000003</v>
      </c>
      <c r="M30" s="150">
        <f>'ID Sch 25'!O106</f>
        <v>21943892.889999997</v>
      </c>
      <c r="N30" s="150">
        <f>'ID Sch 25'!P106</f>
        <v>19885078.810000002</v>
      </c>
      <c r="O30" s="150">
        <f>'ID Sch 25'!Q106</f>
        <v>20497042.370000005</v>
      </c>
      <c r="P30" s="2">
        <f t="shared" si="1"/>
        <v>248041195.51999998</v>
      </c>
      <c r="Q30" s="2"/>
      <c r="R30" s="250">
        <v>4.5969999999999997E-2</v>
      </c>
      <c r="S30" s="3">
        <f t="shared" si="59"/>
        <v>1022333.4570352001</v>
      </c>
      <c r="T30" s="3">
        <f t="shared" si="59"/>
        <v>947637.15754449996</v>
      </c>
      <c r="U30" s="3">
        <f t="shared" si="59"/>
        <v>1017496.4858203001</v>
      </c>
      <c r="V30" s="3">
        <f t="shared" si="59"/>
        <v>933290.4832172998</v>
      </c>
      <c r="W30" s="3">
        <f t="shared" si="59"/>
        <v>920757.20173079998</v>
      </c>
      <c r="X30" s="3">
        <f t="shared" si="59"/>
        <v>904551.35028169991</v>
      </c>
      <c r="Y30" s="3">
        <f t="shared" si="59"/>
        <v>941046.59126490005</v>
      </c>
      <c r="Z30" s="3">
        <f t="shared" si="59"/>
        <v>963618.92179279984</v>
      </c>
      <c r="AA30" s="3">
        <f t="shared" si="59"/>
        <v>886595.24256900011</v>
      </c>
      <c r="AB30" s="3">
        <f t="shared" si="59"/>
        <v>1008760.7561532998</v>
      </c>
      <c r="AC30" s="20">
        <f t="shared" si="59"/>
        <v>914117.0728957</v>
      </c>
      <c r="AD30" s="20">
        <f t="shared" si="59"/>
        <v>942249.03774890013</v>
      </c>
      <c r="AE30" s="3">
        <f t="shared" si="2"/>
        <v>11402453.758054398</v>
      </c>
    </row>
    <row r="31" spans="1:31" x14ac:dyDescent="0.25">
      <c r="B31" t="s">
        <v>19</v>
      </c>
      <c r="D31" s="2">
        <f>'ID Sch 25'!F109</f>
        <v>27352.368999999999</v>
      </c>
      <c r="E31" s="2">
        <f>'ID Sch 25'!G109</f>
        <v>27826.557000000001</v>
      </c>
      <c r="F31" s="2">
        <f>'ID Sch 25'!H109</f>
        <v>27238.645</v>
      </c>
      <c r="G31" s="2">
        <f>'ID Sch 25'!I109</f>
        <v>26523.517</v>
      </c>
      <c r="H31" s="2">
        <f>'ID Sch 25'!J109</f>
        <v>26122.625999999997</v>
      </c>
      <c r="I31" s="2">
        <f>'ID Sch 25'!K109</f>
        <v>26573.080999999998</v>
      </c>
      <c r="J31" s="2">
        <f>'ID Sch 25'!L109</f>
        <v>27563.137000000002</v>
      </c>
      <c r="K31" s="2">
        <f>'ID Sch 25'!M109</f>
        <v>27697.715999999993</v>
      </c>
      <c r="L31" s="2">
        <f>'ID Sch 25'!N109</f>
        <v>28897.344000000001</v>
      </c>
      <c r="M31" s="2">
        <f>'ID Sch 25'!O109</f>
        <v>28929.526999999998</v>
      </c>
      <c r="N31" s="2">
        <f>'ID Sch 25'!P109</f>
        <v>28789.480000000003</v>
      </c>
      <c r="O31" s="2">
        <f>'ID Sch 25'!Q109</f>
        <v>27812.418999999998</v>
      </c>
      <c r="P31" s="2">
        <f t="shared" si="1"/>
        <v>331326.41799999995</v>
      </c>
      <c r="Q31" s="2"/>
      <c r="R31" s="249">
        <v>5</v>
      </c>
      <c r="S31" s="3">
        <f t="shared" si="59"/>
        <v>136761.845</v>
      </c>
      <c r="T31" s="3">
        <f t="shared" ref="T31:T33" si="60">$R31*E31</f>
        <v>139132.785</v>
      </c>
      <c r="U31" s="3">
        <f t="shared" ref="U31:U33" si="61">$R31*F31</f>
        <v>136193.22500000001</v>
      </c>
      <c r="V31" s="3">
        <f t="shared" ref="V31:V33" si="62">$R31*G31</f>
        <v>132617.58499999999</v>
      </c>
      <c r="W31" s="3">
        <f t="shared" ref="W31:W33" si="63">$R31*H31</f>
        <v>130613.12999999998</v>
      </c>
      <c r="X31" s="3">
        <f t="shared" ref="X31:X33" si="64">$R31*I31</f>
        <v>132865.405</v>
      </c>
      <c r="Y31" s="3">
        <f t="shared" ref="Y31:Y33" si="65">$R31*J31</f>
        <v>137815.685</v>
      </c>
      <c r="Z31" s="3">
        <f t="shared" ref="Z31:Z33" si="66">$R31*K31</f>
        <v>138488.57999999996</v>
      </c>
      <c r="AA31" s="3">
        <f t="shared" ref="AA31:AA33" si="67">$R31*L31</f>
        <v>144486.72</v>
      </c>
      <c r="AB31" s="3">
        <f t="shared" ref="AB31:AB33" si="68">$R31*M31</f>
        <v>144647.63499999998</v>
      </c>
      <c r="AC31" s="3">
        <f t="shared" ref="AC31:AC33" si="69">$R31*N31</f>
        <v>143947.40000000002</v>
      </c>
      <c r="AD31" s="3">
        <f t="shared" ref="AD31:AD33" si="70">$R31*O31</f>
        <v>139062.095</v>
      </c>
      <c r="AE31" s="3">
        <f t="shared" si="2"/>
        <v>1656632.0899999996</v>
      </c>
    </row>
    <row r="32" spans="1:31" x14ac:dyDescent="0.25">
      <c r="B32" t="s">
        <v>22</v>
      </c>
      <c r="D32" s="2">
        <f>'ID Sch 25'!F108-D33</f>
        <v>50871.971000000012</v>
      </c>
      <c r="E32" s="2">
        <f>'ID Sch 25'!G108-E33</f>
        <v>51077.849000000002</v>
      </c>
      <c r="F32" s="2">
        <f>'ID Sch 25'!H108-F33</f>
        <v>50591.400999999998</v>
      </c>
      <c r="G32" s="2">
        <f>'ID Sch 25'!I108-G33</f>
        <v>48099.706999999995</v>
      </c>
      <c r="H32" s="2">
        <f>'ID Sch 25'!J108-H33</f>
        <v>46544.219999999994</v>
      </c>
      <c r="I32" s="2">
        <f>'ID Sch 25'!K108-I33</f>
        <v>47300.349999999991</v>
      </c>
      <c r="J32" s="2">
        <f>'ID Sch 25'!L108-J33</f>
        <v>47735.598999999995</v>
      </c>
      <c r="K32" s="2">
        <f>'ID Sch 25'!M108-K33</f>
        <v>48321.176999999996</v>
      </c>
      <c r="L32" s="2">
        <f>'ID Sch 25'!N108-L33</f>
        <v>48735.370999999999</v>
      </c>
      <c r="M32" s="2">
        <f>'ID Sch 25'!O108-M33</f>
        <v>48705.671000000002</v>
      </c>
      <c r="N32" s="2">
        <f>'ID Sch 25'!P108-N33</f>
        <v>48004.284</v>
      </c>
      <c r="O32" s="2">
        <f>'ID Sch 25'!Q108-O33</f>
        <v>47188.496999999988</v>
      </c>
      <c r="P32" s="2">
        <f t="shared" si="1"/>
        <v>583176.09699999995</v>
      </c>
      <c r="Q32" s="2"/>
      <c r="R32" s="249">
        <v>-0.2</v>
      </c>
      <c r="S32" s="3">
        <f t="shared" si="59"/>
        <v>-10174.394200000002</v>
      </c>
      <c r="T32" s="3">
        <f t="shared" si="60"/>
        <v>-10215.569800000001</v>
      </c>
      <c r="U32" s="3">
        <f t="shared" si="61"/>
        <v>-10118.280200000001</v>
      </c>
      <c r="V32" s="3">
        <f t="shared" si="62"/>
        <v>-9619.9413999999997</v>
      </c>
      <c r="W32" s="3">
        <f t="shared" si="63"/>
        <v>-9308.8439999999991</v>
      </c>
      <c r="X32" s="3">
        <f t="shared" si="64"/>
        <v>-9460.0699999999979</v>
      </c>
      <c r="Y32" s="3">
        <f t="shared" si="65"/>
        <v>-9547.1197999999986</v>
      </c>
      <c r="Z32" s="3">
        <f t="shared" si="66"/>
        <v>-9664.2353999999996</v>
      </c>
      <c r="AA32" s="3">
        <f t="shared" si="67"/>
        <v>-9747.0742000000009</v>
      </c>
      <c r="AB32" s="3">
        <f t="shared" si="68"/>
        <v>-9741.1342000000004</v>
      </c>
      <c r="AC32" s="3">
        <f t="shared" si="69"/>
        <v>-9600.8567999999996</v>
      </c>
      <c r="AD32" s="3">
        <f t="shared" si="70"/>
        <v>-9437.6993999999977</v>
      </c>
      <c r="AE32" s="3">
        <f t="shared" si="2"/>
        <v>-116635.2194</v>
      </c>
    </row>
    <row r="33" spans="1:35" x14ac:dyDescent="0.25">
      <c r="B33" t="s">
        <v>22</v>
      </c>
      <c r="D33" s="2">
        <f>'ID Sch 25'!F89</f>
        <v>7642.1509999999998</v>
      </c>
      <c r="E33" s="2">
        <f>'ID Sch 25'!G89</f>
        <v>7727.1100000000006</v>
      </c>
      <c r="F33" s="2">
        <f>'ID Sch 25'!H89</f>
        <v>7939.19</v>
      </c>
      <c r="G33" s="2">
        <f>'ID Sch 25'!I89</f>
        <v>8003.5929999999998</v>
      </c>
      <c r="H33" s="2">
        <f>'ID Sch 25'!J89</f>
        <v>7685.6379999999999</v>
      </c>
      <c r="I33" s="2">
        <f>'ID Sch 25'!K89</f>
        <v>7724.5940000000001</v>
      </c>
      <c r="J33" s="2">
        <f>'ID Sch 25'!L89</f>
        <v>8146.6549999999997</v>
      </c>
      <c r="K33" s="2">
        <f>'ID Sch 25'!M89</f>
        <v>7449.2060000000001</v>
      </c>
      <c r="L33" s="2">
        <f>'ID Sch 25'!N89</f>
        <v>7959.7860000000001</v>
      </c>
      <c r="M33" s="2">
        <f>'ID Sch 25'!O89</f>
        <v>8202.0720000000001</v>
      </c>
      <c r="N33" s="2">
        <f>'ID Sch 25'!P89</f>
        <v>8457.14</v>
      </c>
      <c r="O33" s="2">
        <f>'ID Sch 25'!Q89</f>
        <v>7586.5709999999999</v>
      </c>
      <c r="P33" s="2">
        <f t="shared" si="1"/>
        <v>94523.705999999991</v>
      </c>
      <c r="Q33" s="2"/>
      <c r="R33" s="249">
        <v>-0.2</v>
      </c>
      <c r="S33" s="3">
        <f t="shared" si="59"/>
        <v>-1528.4302</v>
      </c>
      <c r="T33" s="3">
        <f t="shared" si="60"/>
        <v>-1545.4220000000003</v>
      </c>
      <c r="U33" s="3">
        <f t="shared" si="61"/>
        <v>-1587.838</v>
      </c>
      <c r="V33" s="3">
        <f t="shared" si="62"/>
        <v>-1600.7186000000002</v>
      </c>
      <c r="W33" s="3">
        <f t="shared" si="63"/>
        <v>-1537.1276</v>
      </c>
      <c r="X33" s="3">
        <f t="shared" si="64"/>
        <v>-1544.9188000000001</v>
      </c>
      <c r="Y33" s="3">
        <f t="shared" si="65"/>
        <v>-1629.3310000000001</v>
      </c>
      <c r="Z33" s="3">
        <f t="shared" si="66"/>
        <v>-1489.8412000000001</v>
      </c>
      <c r="AA33" s="3">
        <f t="shared" si="67"/>
        <v>-1591.9572000000001</v>
      </c>
      <c r="AB33" s="3">
        <f t="shared" si="68"/>
        <v>-1640.4144000000001</v>
      </c>
      <c r="AC33" s="3">
        <f t="shared" si="69"/>
        <v>-1691.4279999999999</v>
      </c>
      <c r="AD33" s="3">
        <f t="shared" si="70"/>
        <v>-1517.3142</v>
      </c>
      <c r="AE33" s="3">
        <f t="shared" si="2"/>
        <v>-18904.741200000004</v>
      </c>
    </row>
    <row r="34" spans="1:35" x14ac:dyDescent="0.25">
      <c r="A34" t="s">
        <v>58</v>
      </c>
      <c r="B34" t="s">
        <v>14</v>
      </c>
      <c r="D34" s="233">
        <f>'ID Sch 25'!F99</f>
        <v>1</v>
      </c>
      <c r="E34" s="233">
        <f>'ID Sch 25'!G99</f>
        <v>1</v>
      </c>
      <c r="F34" s="233">
        <f>'ID Sch 25'!H99</f>
        <v>1</v>
      </c>
      <c r="G34" s="233">
        <f>'ID Sch 25'!I99</f>
        <v>1</v>
      </c>
      <c r="H34" s="233">
        <f>'ID Sch 25'!J99</f>
        <v>1</v>
      </c>
      <c r="I34" s="233">
        <f>'ID Sch 25'!K99</f>
        <v>1</v>
      </c>
      <c r="J34" s="233">
        <f>'ID Sch 25'!L99</f>
        <v>1</v>
      </c>
      <c r="K34" s="233">
        <f>'ID Sch 25'!M99</f>
        <v>1</v>
      </c>
      <c r="L34" s="233">
        <f>'ID Sch 25'!N99</f>
        <v>1</v>
      </c>
      <c r="M34" s="233">
        <f>'ID Sch 25'!O99</f>
        <v>1</v>
      </c>
      <c r="N34" s="233">
        <f>'ID Sch 25'!P99</f>
        <v>1</v>
      </c>
      <c r="O34" s="233">
        <f>'ID Sch 25'!Q99</f>
        <v>1</v>
      </c>
      <c r="P34" s="2">
        <f t="shared" si="1"/>
        <v>12</v>
      </c>
      <c r="Q34" s="2"/>
      <c r="R34" s="249">
        <v>14000</v>
      </c>
      <c r="S34" s="3">
        <f t="shared" ref="S34:AD49" si="71">$R34*D34</f>
        <v>14000</v>
      </c>
      <c r="T34" s="3">
        <f t="shared" si="71"/>
        <v>14000</v>
      </c>
      <c r="U34" s="3">
        <f t="shared" si="71"/>
        <v>14000</v>
      </c>
      <c r="V34" s="3">
        <f t="shared" si="71"/>
        <v>14000</v>
      </c>
      <c r="W34" s="3">
        <f t="shared" si="71"/>
        <v>14000</v>
      </c>
      <c r="X34" s="3">
        <f t="shared" si="71"/>
        <v>14000</v>
      </c>
      <c r="Y34" s="3">
        <f t="shared" si="71"/>
        <v>14000</v>
      </c>
      <c r="Z34" s="3">
        <f t="shared" si="71"/>
        <v>14000</v>
      </c>
      <c r="AA34" s="3">
        <f t="shared" si="71"/>
        <v>14000</v>
      </c>
      <c r="AB34" s="3">
        <f t="shared" si="71"/>
        <v>14000</v>
      </c>
      <c r="AC34" s="20">
        <f t="shared" si="71"/>
        <v>14000</v>
      </c>
      <c r="AD34" s="20">
        <f t="shared" si="71"/>
        <v>14000</v>
      </c>
      <c r="AE34" s="3">
        <f t="shared" si="2"/>
        <v>168000</v>
      </c>
      <c r="AH34" s="28"/>
    </row>
    <row r="35" spans="1:35" x14ac:dyDescent="0.25">
      <c r="B35" t="s">
        <v>15</v>
      </c>
      <c r="D35" s="233">
        <f>'ID Sch 25'!F100</f>
        <v>35210010</v>
      </c>
      <c r="E35" s="233">
        <f>'ID Sch 25'!G100</f>
        <v>30823170</v>
      </c>
      <c r="F35" s="233">
        <f>'ID Sch 25'!H100</f>
        <v>35740380</v>
      </c>
      <c r="G35" s="233">
        <f>'ID Sch 25'!I100</f>
        <v>31016760</v>
      </c>
      <c r="H35" s="233">
        <f>'ID Sch 25'!J100</f>
        <v>32290770</v>
      </c>
      <c r="I35" s="233">
        <f>'ID Sch 25'!K100</f>
        <v>29648650</v>
      </c>
      <c r="J35" s="233">
        <f>'ID Sch 25'!L100</f>
        <v>32657540</v>
      </c>
      <c r="K35" s="233">
        <f>'ID Sch 25'!M100</f>
        <v>39269540</v>
      </c>
      <c r="L35" s="233">
        <f>'ID Sch 25'!N100</f>
        <v>31549600</v>
      </c>
      <c r="M35" s="233">
        <f>'ID Sch 25'!O100</f>
        <v>29938810</v>
      </c>
      <c r="N35" s="233">
        <f>'ID Sch 25'!P100</f>
        <v>29702540</v>
      </c>
      <c r="O35" s="233">
        <f>'ID Sch 25'!Q100</f>
        <v>31900980</v>
      </c>
      <c r="P35" s="2">
        <f t="shared" si="1"/>
        <v>389748750</v>
      </c>
      <c r="Q35" s="2"/>
      <c r="R35" s="250">
        <v>4.3950000000000003E-2</v>
      </c>
      <c r="S35" s="3">
        <f t="shared" si="71"/>
        <v>1547479.9395000001</v>
      </c>
      <c r="T35" s="3">
        <f t="shared" ref="T35:T49" si="72">$R35*E35</f>
        <v>1354678.3215000001</v>
      </c>
      <c r="U35" s="3">
        <f t="shared" ref="U35:U49" si="73">$R35*F35</f>
        <v>1570789.7010000001</v>
      </c>
      <c r="V35" s="3">
        <f t="shared" ref="V35:V49" si="74">$R35*G35</f>
        <v>1363186.6020000002</v>
      </c>
      <c r="W35" s="3">
        <f t="shared" ref="W35:W49" si="75">$R35*H35</f>
        <v>1419179.3415000001</v>
      </c>
      <c r="X35" s="3">
        <f t="shared" ref="X35:X49" si="76">$R35*I35</f>
        <v>1303058.1675</v>
      </c>
      <c r="Y35" s="3">
        <f t="shared" ref="Y35:Y49" si="77">$R35*J35</f>
        <v>1435298.8830000001</v>
      </c>
      <c r="Z35" s="3">
        <f t="shared" ref="Z35:Z49" si="78">$R35*K35</f>
        <v>1725896.2830000001</v>
      </c>
      <c r="AA35" s="3">
        <f t="shared" ref="AA35:AA49" si="79">$R35*L35</f>
        <v>1386604.9200000002</v>
      </c>
      <c r="AB35" s="3">
        <f t="shared" ref="AB35:AB49" si="80">$R35*M35</f>
        <v>1315810.6995000001</v>
      </c>
      <c r="AC35" s="3">
        <f t="shared" ref="AC35:AD49" si="81">$R35*N35</f>
        <v>1305426.6330000001</v>
      </c>
      <c r="AD35" s="20">
        <f t="shared" si="71"/>
        <v>1402048.071</v>
      </c>
      <c r="AE35" s="3">
        <f t="shared" si="2"/>
        <v>17129457.5625</v>
      </c>
      <c r="AH35" s="28"/>
      <c r="AI35" s="2"/>
    </row>
    <row r="36" spans="1:35" x14ac:dyDescent="0.25">
      <c r="A36" t="s">
        <v>288</v>
      </c>
      <c r="B36" t="s">
        <v>16</v>
      </c>
      <c r="D36" s="233">
        <f>'ID Sch 25'!F39</f>
        <v>0</v>
      </c>
      <c r="E36" s="233">
        <f>'ID Sch 25'!G39</f>
        <v>0</v>
      </c>
      <c r="F36" s="233">
        <f>'ID Sch 25'!H39</f>
        <v>35226000</v>
      </c>
      <c r="G36" s="233">
        <f>'ID Sch 25'!I39</f>
        <v>34560000</v>
      </c>
      <c r="H36" s="233">
        <f>'ID Sch 25'!J39</f>
        <v>38765000</v>
      </c>
      <c r="I36" s="233">
        <f>'ID Sch 25'!K39</f>
        <v>34845000</v>
      </c>
      <c r="J36" s="233">
        <f>'ID Sch 25'!L39</f>
        <v>37966000</v>
      </c>
      <c r="K36" s="233">
        <f>'ID Sch 25'!M39</f>
        <v>32628000</v>
      </c>
      <c r="L36" s="233">
        <f>'ID Sch 25'!N39</f>
        <v>25108000</v>
      </c>
      <c r="M36" s="233">
        <f>'ID Sch 25'!O39</f>
        <v>40272000</v>
      </c>
      <c r="N36" s="233">
        <f>'ID Sch 25'!P39</f>
        <v>38741000</v>
      </c>
      <c r="O36" s="233">
        <f>'ID Sch 25'!Q39</f>
        <v>38137000</v>
      </c>
      <c r="P36" s="2">
        <f t="shared" si="1"/>
        <v>356248000</v>
      </c>
      <c r="Q36" s="2"/>
      <c r="R36" s="250">
        <v>2.4559999999999998E-2</v>
      </c>
      <c r="S36" s="3">
        <f t="shared" si="71"/>
        <v>0</v>
      </c>
      <c r="T36" s="3">
        <f t="shared" si="72"/>
        <v>0</v>
      </c>
      <c r="U36" s="3">
        <f t="shared" si="73"/>
        <v>865150.55999999994</v>
      </c>
      <c r="V36" s="3">
        <f t="shared" si="74"/>
        <v>848793.59999999998</v>
      </c>
      <c r="W36" s="3">
        <f t="shared" si="75"/>
        <v>952068.39999999991</v>
      </c>
      <c r="X36" s="3">
        <f t="shared" si="76"/>
        <v>855793.2</v>
      </c>
      <c r="Y36" s="3">
        <f t="shared" si="77"/>
        <v>932444.96</v>
      </c>
      <c r="Z36" s="3">
        <f t="shared" si="78"/>
        <v>801343.67999999993</v>
      </c>
      <c r="AA36" s="3">
        <f t="shared" si="79"/>
        <v>616652.48</v>
      </c>
      <c r="AB36" s="3">
        <f t="shared" si="80"/>
        <v>989080.32</v>
      </c>
      <c r="AC36" s="3">
        <f t="shared" si="81"/>
        <v>951478.96</v>
      </c>
      <c r="AD36" s="3">
        <f t="shared" ref="AD36" si="82">$R36*O36</f>
        <v>936644.72</v>
      </c>
      <c r="AE36" s="3">
        <f t="shared" si="2"/>
        <v>8749450.879999999</v>
      </c>
      <c r="AH36" s="28"/>
      <c r="AI36" s="2"/>
    </row>
    <row r="37" spans="1:35" x14ac:dyDescent="0.25">
      <c r="B37" t="s">
        <v>19</v>
      </c>
      <c r="D37" s="2">
        <f>'ID Sch 25'!F97</f>
        <v>52000</v>
      </c>
      <c r="E37" s="2">
        <f>'ID Sch 25'!G97</f>
        <v>52000</v>
      </c>
      <c r="F37" s="2">
        <f>'ID Sch 25'!H97</f>
        <v>52000</v>
      </c>
      <c r="G37" s="2">
        <f>'ID Sch 25'!I97</f>
        <v>52000</v>
      </c>
      <c r="H37" s="2">
        <f>'ID Sch 25'!J97</f>
        <v>52000</v>
      </c>
      <c r="I37" s="2">
        <f>'ID Sch 25'!K97</f>
        <v>50900</v>
      </c>
      <c r="J37" s="2">
        <f>'ID Sch 25'!L97</f>
        <v>52000</v>
      </c>
      <c r="K37" s="2">
        <f>'ID Sch 25'!M97</f>
        <v>52000</v>
      </c>
      <c r="L37" s="2">
        <f>'ID Sch 25'!N97</f>
        <v>52000</v>
      </c>
      <c r="M37" s="2">
        <f>'ID Sch 25'!O97</f>
        <v>52000</v>
      </c>
      <c r="N37" s="2">
        <f>'ID Sch 25'!P97</f>
        <v>52000</v>
      </c>
      <c r="O37" s="2">
        <f>'ID Sch 25'!Q97</f>
        <v>52000</v>
      </c>
      <c r="P37" s="2">
        <f t="shared" si="1"/>
        <v>622900</v>
      </c>
      <c r="Q37" s="2"/>
      <c r="R37" s="249">
        <v>5</v>
      </c>
      <c r="S37" s="3">
        <f t="shared" si="71"/>
        <v>260000</v>
      </c>
      <c r="T37" s="3">
        <f t="shared" si="72"/>
        <v>260000</v>
      </c>
      <c r="U37" s="3">
        <f t="shared" si="73"/>
        <v>260000</v>
      </c>
      <c r="V37" s="3">
        <f t="shared" si="74"/>
        <v>260000</v>
      </c>
      <c r="W37" s="3">
        <f t="shared" si="75"/>
        <v>260000</v>
      </c>
      <c r="X37" s="3">
        <f t="shared" si="76"/>
        <v>254500</v>
      </c>
      <c r="Y37" s="3">
        <f t="shared" si="77"/>
        <v>260000</v>
      </c>
      <c r="Z37" s="3">
        <f t="shared" si="78"/>
        <v>260000</v>
      </c>
      <c r="AA37" s="3">
        <f t="shared" si="79"/>
        <v>260000</v>
      </c>
      <c r="AB37" s="3">
        <f t="shared" si="80"/>
        <v>260000</v>
      </c>
      <c r="AC37" s="3">
        <f t="shared" si="81"/>
        <v>260000</v>
      </c>
      <c r="AD37" s="3">
        <f t="shared" si="81"/>
        <v>260000</v>
      </c>
      <c r="AE37" s="3">
        <f t="shared" si="2"/>
        <v>3114500</v>
      </c>
      <c r="AH37" s="28"/>
      <c r="AI37" s="29"/>
    </row>
    <row r="38" spans="1:35" x14ac:dyDescent="0.25">
      <c r="B38" t="s">
        <v>61</v>
      </c>
      <c r="D38" s="2">
        <f>'ID Sch 25'!F98</f>
        <v>40870</v>
      </c>
      <c r="E38" s="2">
        <f>'ID Sch 25'!G98</f>
        <v>18780</v>
      </c>
      <c r="F38" s="2">
        <f>'ID Sch 25'!H98</f>
        <v>23150</v>
      </c>
      <c r="G38" s="2">
        <f>'ID Sch 25'!I98</f>
        <v>7970</v>
      </c>
      <c r="H38" s="2">
        <f>'ID Sch 25'!J98</f>
        <v>6540</v>
      </c>
      <c r="I38" s="2">
        <f>'ID Sch 25'!K98</f>
        <v>0</v>
      </c>
      <c r="J38" s="2">
        <f>'ID Sch 25'!L98</f>
        <v>28520</v>
      </c>
      <c r="K38" s="2">
        <f>'ID Sch 25'!M98</f>
        <v>25500</v>
      </c>
      <c r="L38" s="2">
        <f>'ID Sch 25'!N98</f>
        <v>31480</v>
      </c>
      <c r="M38" s="2">
        <f>'ID Sch 25'!O98</f>
        <v>36940</v>
      </c>
      <c r="N38" s="2">
        <f>'ID Sch 25'!P98</f>
        <v>5180</v>
      </c>
      <c r="O38" s="2">
        <f>'ID Sch 25'!Q98</f>
        <v>18590</v>
      </c>
      <c r="P38" s="2">
        <f t="shared" si="1"/>
        <v>243520</v>
      </c>
      <c r="Q38" s="2"/>
      <c r="R38" s="249">
        <v>2.5</v>
      </c>
      <c r="S38" s="3">
        <f t="shared" si="71"/>
        <v>102175</v>
      </c>
      <c r="T38" s="3">
        <f t="shared" si="72"/>
        <v>46950</v>
      </c>
      <c r="U38" s="3">
        <f t="shared" si="73"/>
        <v>57875</v>
      </c>
      <c r="V38" s="3">
        <f t="shared" si="74"/>
        <v>19925</v>
      </c>
      <c r="W38" s="3">
        <f t="shared" si="75"/>
        <v>16350</v>
      </c>
      <c r="X38" s="3">
        <f t="shared" si="76"/>
        <v>0</v>
      </c>
      <c r="Y38" s="3">
        <f t="shared" si="77"/>
        <v>71300</v>
      </c>
      <c r="Z38" s="3">
        <f t="shared" si="78"/>
        <v>63750</v>
      </c>
      <c r="AA38" s="3">
        <f t="shared" si="79"/>
        <v>78700</v>
      </c>
      <c r="AB38" s="3">
        <f t="shared" si="80"/>
        <v>92350</v>
      </c>
      <c r="AC38" s="3">
        <f t="shared" si="81"/>
        <v>12950</v>
      </c>
      <c r="AD38" s="3">
        <f t="shared" si="81"/>
        <v>46475</v>
      </c>
      <c r="AE38" s="3">
        <f t="shared" si="2"/>
        <v>608800</v>
      </c>
      <c r="AH38" s="28"/>
      <c r="AI38" s="29"/>
    </row>
    <row r="39" spans="1:35" x14ac:dyDescent="0.25">
      <c r="B39" t="s">
        <v>21</v>
      </c>
      <c r="D39" s="2">
        <f>'ID Sch 25'!F96</f>
        <v>95870</v>
      </c>
      <c r="E39" s="2">
        <f>'ID Sch 25'!G96</f>
        <v>73780</v>
      </c>
      <c r="F39" s="2">
        <f>'ID Sch 25'!H96</f>
        <v>78150</v>
      </c>
      <c r="G39" s="2">
        <f>'ID Sch 25'!I96</f>
        <v>62970</v>
      </c>
      <c r="H39" s="2">
        <f>'ID Sch 25'!J96</f>
        <v>61540</v>
      </c>
      <c r="I39" s="2">
        <f>'ID Sch 25'!K96</f>
        <v>53900</v>
      </c>
      <c r="J39" s="2">
        <f>'ID Sch 25'!L96</f>
        <v>83520</v>
      </c>
      <c r="K39" s="2">
        <f>'ID Sch 25'!M96</f>
        <v>80500</v>
      </c>
      <c r="L39" s="2">
        <f>'ID Sch 25'!N96</f>
        <v>86480</v>
      </c>
      <c r="M39" s="2">
        <f>'ID Sch 25'!O96</f>
        <v>91940</v>
      </c>
      <c r="N39" s="2">
        <f>'ID Sch 25'!P96</f>
        <v>60180</v>
      </c>
      <c r="O39" s="2">
        <f>'ID Sch 25'!Q96</f>
        <v>73590</v>
      </c>
      <c r="P39" s="2">
        <f t="shared" si="1"/>
        <v>902420</v>
      </c>
      <c r="Q39" s="2"/>
      <c r="R39" s="249">
        <v>-0.2</v>
      </c>
      <c r="S39" s="3">
        <f t="shared" si="71"/>
        <v>-19174</v>
      </c>
      <c r="T39" s="3">
        <f t="shared" si="72"/>
        <v>-14756</v>
      </c>
      <c r="U39" s="3">
        <f t="shared" si="73"/>
        <v>-15630</v>
      </c>
      <c r="V39" s="3">
        <f t="shared" si="74"/>
        <v>-12594</v>
      </c>
      <c r="W39" s="3">
        <f t="shared" si="75"/>
        <v>-12308</v>
      </c>
      <c r="X39" s="3">
        <f t="shared" si="76"/>
        <v>-10780</v>
      </c>
      <c r="Y39" s="3">
        <f t="shared" si="77"/>
        <v>-16704</v>
      </c>
      <c r="Z39" s="3">
        <f t="shared" si="78"/>
        <v>-16100</v>
      </c>
      <c r="AA39" s="3">
        <f t="shared" si="79"/>
        <v>-17296</v>
      </c>
      <c r="AB39" s="3">
        <f t="shared" si="80"/>
        <v>-18388</v>
      </c>
      <c r="AC39" s="3">
        <f t="shared" si="81"/>
        <v>-12036</v>
      </c>
      <c r="AD39" s="3">
        <f t="shared" si="81"/>
        <v>-14718</v>
      </c>
      <c r="AE39" s="3">
        <f t="shared" si="2"/>
        <v>-180484</v>
      </c>
      <c r="AH39" s="28"/>
      <c r="AI39" s="29"/>
    </row>
    <row r="40" spans="1:35" x14ac:dyDescent="0.25">
      <c r="A40" t="s">
        <v>41</v>
      </c>
      <c r="B40" t="s">
        <v>14</v>
      </c>
      <c r="D40" s="10">
        <v>789</v>
      </c>
      <c r="E40" s="10">
        <v>760</v>
      </c>
      <c r="F40" s="10">
        <v>788</v>
      </c>
      <c r="G40" s="10">
        <v>779</v>
      </c>
      <c r="H40" s="10">
        <v>770</v>
      </c>
      <c r="I40" s="10">
        <v>788</v>
      </c>
      <c r="J40" s="10">
        <v>779</v>
      </c>
      <c r="K40" s="10">
        <v>776</v>
      </c>
      <c r="L40" s="10">
        <v>795</v>
      </c>
      <c r="M40" s="10">
        <v>783</v>
      </c>
      <c r="N40" s="10">
        <v>781</v>
      </c>
      <c r="O40" s="10">
        <v>800</v>
      </c>
      <c r="P40" s="2">
        <f t="shared" si="1"/>
        <v>9388</v>
      </c>
      <c r="Q40" s="2"/>
      <c r="R40" s="249">
        <v>11</v>
      </c>
      <c r="S40" s="3">
        <f t="shared" si="71"/>
        <v>8679</v>
      </c>
      <c r="T40" s="3">
        <f t="shared" si="72"/>
        <v>8360</v>
      </c>
      <c r="U40" s="3">
        <f t="shared" si="73"/>
        <v>8668</v>
      </c>
      <c r="V40" s="3">
        <f t="shared" si="74"/>
        <v>8569</v>
      </c>
      <c r="W40" s="3">
        <f t="shared" si="75"/>
        <v>8470</v>
      </c>
      <c r="X40" s="3">
        <f t="shared" si="76"/>
        <v>8668</v>
      </c>
      <c r="Y40" s="3">
        <f t="shared" si="77"/>
        <v>8569</v>
      </c>
      <c r="Z40" s="3">
        <f t="shared" si="78"/>
        <v>8536</v>
      </c>
      <c r="AA40" s="3">
        <f t="shared" si="79"/>
        <v>8745</v>
      </c>
      <c r="AB40" s="3">
        <f t="shared" si="80"/>
        <v>8613</v>
      </c>
      <c r="AC40" s="3">
        <f t="shared" si="81"/>
        <v>8591</v>
      </c>
      <c r="AD40" s="3">
        <f t="shared" si="81"/>
        <v>8800</v>
      </c>
      <c r="AE40" s="3">
        <f t="shared" si="2"/>
        <v>103268</v>
      </c>
    </row>
    <row r="41" spans="1:35" x14ac:dyDescent="0.25">
      <c r="B41" t="s">
        <v>15</v>
      </c>
      <c r="D41" s="10">
        <v>1245131.0249999999</v>
      </c>
      <c r="E41" s="10">
        <v>1314635.895</v>
      </c>
      <c r="F41" s="10">
        <v>1231341.3600000001</v>
      </c>
      <c r="G41" s="10">
        <v>1219617.5556699999</v>
      </c>
      <c r="H41" s="10">
        <v>1496835.165</v>
      </c>
      <c r="I41" s="10">
        <v>1678955.5149999999</v>
      </c>
      <c r="J41" s="10">
        <v>1940748.9</v>
      </c>
      <c r="K41" s="10">
        <v>2144007.3450000002</v>
      </c>
      <c r="L41" s="10">
        <v>2108801.4350000001</v>
      </c>
      <c r="M41" s="10">
        <v>1877636.04666</v>
      </c>
      <c r="N41" s="10">
        <v>1399854.047</v>
      </c>
      <c r="O41" s="10">
        <v>1405092.06333</v>
      </c>
      <c r="P41" s="2">
        <f t="shared" si="1"/>
        <v>19062656.35266</v>
      </c>
      <c r="Q41" s="2"/>
      <c r="R41" s="250">
        <v>0.10113</v>
      </c>
      <c r="S41" s="3">
        <f t="shared" si="71"/>
        <v>125920.10055824999</v>
      </c>
      <c r="T41" s="3">
        <f t="shared" si="72"/>
        <v>132949.12806135</v>
      </c>
      <c r="U41" s="3">
        <f t="shared" si="73"/>
        <v>124525.55173680001</v>
      </c>
      <c r="V41" s="3">
        <f t="shared" si="74"/>
        <v>123339.92340490709</v>
      </c>
      <c r="W41" s="3">
        <f t="shared" si="75"/>
        <v>151374.94023645</v>
      </c>
      <c r="X41" s="3">
        <f t="shared" si="76"/>
        <v>169792.77123195</v>
      </c>
      <c r="Y41" s="3">
        <f t="shared" si="77"/>
        <v>196267.93625699999</v>
      </c>
      <c r="Z41" s="3">
        <f t="shared" si="78"/>
        <v>216823.46279985001</v>
      </c>
      <c r="AA41" s="3">
        <f t="shared" si="79"/>
        <v>213263.08912155</v>
      </c>
      <c r="AB41" s="3">
        <f t="shared" si="80"/>
        <v>189885.33339872581</v>
      </c>
      <c r="AC41" s="3">
        <f t="shared" si="81"/>
        <v>141567.23977310999</v>
      </c>
      <c r="AD41" s="3">
        <f t="shared" si="81"/>
        <v>142096.9603645629</v>
      </c>
      <c r="AE41" s="3">
        <f t="shared" si="2"/>
        <v>1927806.4369445059</v>
      </c>
      <c r="AH41" s="3"/>
    </row>
    <row r="42" spans="1:35" x14ac:dyDescent="0.25">
      <c r="B42" t="s">
        <v>16</v>
      </c>
      <c r="D42" s="10">
        <v>352116.61499999999</v>
      </c>
      <c r="E42" s="10">
        <v>372272.73</v>
      </c>
      <c r="F42" s="10">
        <v>340995.31</v>
      </c>
      <c r="G42" s="10">
        <v>351959.95033000002</v>
      </c>
      <c r="H42" s="10">
        <v>369997.11</v>
      </c>
      <c r="I42" s="10">
        <v>408788.29</v>
      </c>
      <c r="J42" s="10">
        <v>489265.29499999998</v>
      </c>
      <c r="K42" s="10">
        <v>625186.505</v>
      </c>
      <c r="L42" s="10">
        <v>610550.82999999996</v>
      </c>
      <c r="M42" s="10">
        <v>455863.68333999999</v>
      </c>
      <c r="N42" s="10">
        <v>317198.04599999997</v>
      </c>
      <c r="O42" s="10">
        <v>361656.14166999998</v>
      </c>
      <c r="P42" s="2">
        <f t="shared" si="1"/>
        <v>5055850.5063399998</v>
      </c>
      <c r="Q42" s="2"/>
      <c r="R42" s="250">
        <v>0.10113</v>
      </c>
      <c r="S42" s="3">
        <f t="shared" si="71"/>
        <v>35609.553274949998</v>
      </c>
      <c r="T42" s="3">
        <f t="shared" si="72"/>
        <v>37647.941184899995</v>
      </c>
      <c r="U42" s="3">
        <f t="shared" si="73"/>
        <v>34484.855700300002</v>
      </c>
      <c r="V42" s="3">
        <f t="shared" si="74"/>
        <v>35593.7097768729</v>
      </c>
      <c r="W42" s="3">
        <f t="shared" si="75"/>
        <v>37417.807734299997</v>
      </c>
      <c r="X42" s="3">
        <f t="shared" si="76"/>
        <v>41340.759767699994</v>
      </c>
      <c r="Y42" s="3">
        <f t="shared" si="77"/>
        <v>49479.399283349994</v>
      </c>
      <c r="Z42" s="3">
        <f t="shared" si="78"/>
        <v>63225.111250649999</v>
      </c>
      <c r="AA42" s="3">
        <f t="shared" si="79"/>
        <v>61745.005437899992</v>
      </c>
      <c r="AB42" s="3">
        <f t="shared" si="80"/>
        <v>46101.494296174198</v>
      </c>
      <c r="AC42" s="3">
        <f t="shared" si="81"/>
        <v>32078.238391979998</v>
      </c>
      <c r="AD42" s="3">
        <f t="shared" si="81"/>
        <v>36574.285607087098</v>
      </c>
      <c r="AE42" s="3">
        <f t="shared" si="2"/>
        <v>511298.16170616413</v>
      </c>
    </row>
    <row r="43" spans="1:35" x14ac:dyDescent="0.25">
      <c r="B43" t="s">
        <v>17</v>
      </c>
      <c r="D43" s="10">
        <v>1819150.88</v>
      </c>
      <c r="E43" s="10">
        <v>1658535.5249999999</v>
      </c>
      <c r="F43" s="10">
        <v>1621541.37</v>
      </c>
      <c r="G43" s="10">
        <v>1643899.9140000001</v>
      </c>
      <c r="H43" s="10">
        <v>1942394.3149999999</v>
      </c>
      <c r="I43" s="10">
        <v>2454704.4449999998</v>
      </c>
      <c r="J43" s="10">
        <v>3081578.645</v>
      </c>
      <c r="K43" s="10">
        <v>5215117.63</v>
      </c>
      <c r="L43" s="10">
        <v>5100368.1349999998</v>
      </c>
      <c r="M43" s="10">
        <v>2781865.36</v>
      </c>
      <c r="N43" s="10">
        <v>1511702.287</v>
      </c>
      <c r="O43" s="10">
        <v>1875416.405</v>
      </c>
      <c r="P43" s="2">
        <f t="shared" si="1"/>
        <v>30706274.910999998</v>
      </c>
      <c r="Q43" s="2"/>
      <c r="R43" s="250">
        <v>8.6059999999999998E-2</v>
      </c>
      <c r="S43" s="3">
        <f t="shared" si="71"/>
        <v>156556.12473279997</v>
      </c>
      <c r="T43" s="3">
        <f t="shared" si="72"/>
        <v>142733.5672815</v>
      </c>
      <c r="U43" s="3">
        <f t="shared" si="73"/>
        <v>139549.85030220001</v>
      </c>
      <c r="V43" s="3">
        <f t="shared" si="74"/>
        <v>141474.02659883999</v>
      </c>
      <c r="W43" s="3">
        <f t="shared" si="75"/>
        <v>167162.4547489</v>
      </c>
      <c r="X43" s="3">
        <f t="shared" si="76"/>
        <v>211251.86453669998</v>
      </c>
      <c r="Y43" s="3">
        <f t="shared" si="77"/>
        <v>265200.65818869998</v>
      </c>
      <c r="Z43" s="3">
        <f t="shared" si="78"/>
        <v>448813.02323779999</v>
      </c>
      <c r="AA43" s="3">
        <f t="shared" si="79"/>
        <v>438937.68169809994</v>
      </c>
      <c r="AB43" s="3">
        <f t="shared" si="80"/>
        <v>239407.33288159998</v>
      </c>
      <c r="AC43" s="3">
        <f t="shared" si="81"/>
        <v>130097.09881922</v>
      </c>
      <c r="AD43" s="3">
        <f t="shared" si="81"/>
        <v>161398.33581429999</v>
      </c>
      <c r="AE43" s="3">
        <f t="shared" si="2"/>
        <v>2642582.0188406599</v>
      </c>
    </row>
    <row r="44" spans="1:35" x14ac:dyDescent="0.25">
      <c r="B44" t="s">
        <v>20</v>
      </c>
      <c r="D44" s="2">
        <f>D147/D148</f>
        <v>0</v>
      </c>
      <c r="E44" s="2">
        <f t="shared" ref="E44:O44" si="83">E147/E148</f>
        <v>0</v>
      </c>
      <c r="F44" s="2">
        <f t="shared" si="83"/>
        <v>0</v>
      </c>
      <c r="G44" s="2">
        <f t="shared" si="83"/>
        <v>0</v>
      </c>
      <c r="H44" s="2">
        <f t="shared" si="83"/>
        <v>0</v>
      </c>
      <c r="I44" s="2">
        <f t="shared" si="83"/>
        <v>0</v>
      </c>
      <c r="J44" s="2">
        <f t="shared" si="83"/>
        <v>0</v>
      </c>
      <c r="K44" s="2">
        <f t="shared" si="83"/>
        <v>0</v>
      </c>
      <c r="L44" s="2">
        <f t="shared" si="83"/>
        <v>0</v>
      </c>
      <c r="M44" s="2">
        <f t="shared" si="83"/>
        <v>0</v>
      </c>
      <c r="N44" s="2">
        <f t="shared" si="83"/>
        <v>0</v>
      </c>
      <c r="O44" s="2">
        <f t="shared" si="83"/>
        <v>0</v>
      </c>
      <c r="P44" s="2">
        <f t="shared" si="1"/>
        <v>0</v>
      </c>
      <c r="Q44" s="2"/>
      <c r="R44" s="249">
        <v>0.25</v>
      </c>
      <c r="S44" s="3">
        <f t="shared" si="71"/>
        <v>0</v>
      </c>
      <c r="T44" s="3">
        <f t="shared" si="72"/>
        <v>0</v>
      </c>
      <c r="U44" s="3">
        <f t="shared" si="73"/>
        <v>0</v>
      </c>
      <c r="V44" s="3">
        <f t="shared" si="74"/>
        <v>0</v>
      </c>
      <c r="W44" s="3">
        <f t="shared" si="75"/>
        <v>0</v>
      </c>
      <c r="X44" s="3">
        <f t="shared" si="76"/>
        <v>0</v>
      </c>
      <c r="Y44" s="3">
        <f t="shared" si="77"/>
        <v>0</v>
      </c>
      <c r="Z44" s="3">
        <f t="shared" si="78"/>
        <v>0</v>
      </c>
      <c r="AA44" s="3">
        <f t="shared" si="79"/>
        <v>0</v>
      </c>
      <c r="AB44" s="3">
        <f t="shared" si="80"/>
        <v>0</v>
      </c>
      <c r="AC44" s="3">
        <f t="shared" si="81"/>
        <v>0</v>
      </c>
      <c r="AD44" s="3">
        <f t="shared" si="81"/>
        <v>0</v>
      </c>
      <c r="AE44" s="3">
        <f t="shared" si="2"/>
        <v>0</v>
      </c>
    </row>
    <row r="45" spans="1:35" x14ac:dyDescent="0.25">
      <c r="A45" t="s">
        <v>42</v>
      </c>
      <c r="B45" t="s">
        <v>14</v>
      </c>
      <c r="D45" s="10">
        <v>672</v>
      </c>
      <c r="E45" s="10">
        <v>669</v>
      </c>
      <c r="F45" s="10">
        <v>673</v>
      </c>
      <c r="G45" s="10">
        <v>681</v>
      </c>
      <c r="H45" s="10">
        <v>681</v>
      </c>
      <c r="I45" s="10">
        <v>682</v>
      </c>
      <c r="J45" s="10">
        <v>682</v>
      </c>
      <c r="K45" s="10">
        <v>689</v>
      </c>
      <c r="L45" s="10">
        <v>709</v>
      </c>
      <c r="M45" s="10">
        <v>703</v>
      </c>
      <c r="N45" s="10">
        <v>709</v>
      </c>
      <c r="O45" s="10">
        <v>720</v>
      </c>
      <c r="P45" s="2">
        <f t="shared" si="1"/>
        <v>8270</v>
      </c>
      <c r="Q45" s="2"/>
      <c r="R45" s="249">
        <v>11</v>
      </c>
      <c r="S45" s="3">
        <f t="shared" si="71"/>
        <v>7392</v>
      </c>
      <c r="T45" s="3">
        <f t="shared" si="72"/>
        <v>7359</v>
      </c>
      <c r="U45" s="3">
        <f t="shared" si="73"/>
        <v>7403</v>
      </c>
      <c r="V45" s="3">
        <f t="shared" si="74"/>
        <v>7491</v>
      </c>
      <c r="W45" s="3">
        <f t="shared" si="75"/>
        <v>7491</v>
      </c>
      <c r="X45" s="3">
        <f t="shared" si="76"/>
        <v>7502</v>
      </c>
      <c r="Y45" s="3">
        <f t="shared" si="77"/>
        <v>7502</v>
      </c>
      <c r="Z45" s="3">
        <f t="shared" si="78"/>
        <v>7579</v>
      </c>
      <c r="AA45" s="3">
        <f t="shared" si="79"/>
        <v>7799</v>
      </c>
      <c r="AB45" s="3">
        <f t="shared" si="80"/>
        <v>7733</v>
      </c>
      <c r="AC45" s="3">
        <f t="shared" si="81"/>
        <v>7799</v>
      </c>
      <c r="AD45" s="3">
        <f t="shared" si="81"/>
        <v>7920</v>
      </c>
      <c r="AE45" s="3">
        <f t="shared" si="2"/>
        <v>90970</v>
      </c>
    </row>
    <row r="46" spans="1:35" x14ac:dyDescent="0.25">
      <c r="B46" t="s">
        <v>15</v>
      </c>
      <c r="D46" s="10">
        <v>107837.36500000001</v>
      </c>
      <c r="E46" s="10">
        <v>99380.606669999994</v>
      </c>
      <c r="F46" s="10">
        <v>99221.69</v>
      </c>
      <c r="G46" s="10">
        <v>115584.61</v>
      </c>
      <c r="H46" s="10">
        <v>146945.15650000001</v>
      </c>
      <c r="I46" s="10">
        <v>151814.53</v>
      </c>
      <c r="J46" s="10">
        <v>204358.36332999999</v>
      </c>
      <c r="K46" s="10">
        <v>281558.25666000001</v>
      </c>
      <c r="L46" s="10">
        <v>278411.94500000001</v>
      </c>
      <c r="M46" s="10">
        <v>130340.38667000001</v>
      </c>
      <c r="N46" s="10">
        <v>107903.102</v>
      </c>
      <c r="O46" s="10">
        <v>111722.32283999999</v>
      </c>
      <c r="P46" s="2">
        <f t="shared" si="1"/>
        <v>1835078.33467</v>
      </c>
      <c r="Q46" s="2"/>
      <c r="R46" s="250">
        <v>9.7769999999999996E-2</v>
      </c>
      <c r="S46" s="3">
        <f t="shared" si="71"/>
        <v>10543.25917605</v>
      </c>
      <c r="T46" s="3">
        <f t="shared" si="72"/>
        <v>9716.4419141258986</v>
      </c>
      <c r="U46" s="3">
        <f t="shared" si="73"/>
        <v>9700.9046312999999</v>
      </c>
      <c r="V46" s="3">
        <f t="shared" si="74"/>
        <v>11300.707319699999</v>
      </c>
      <c r="W46" s="3">
        <f t="shared" si="75"/>
        <v>14366.827951005</v>
      </c>
      <c r="X46" s="3">
        <f t="shared" si="76"/>
        <v>14842.906598099999</v>
      </c>
      <c r="Y46" s="3">
        <f t="shared" si="77"/>
        <v>19980.117182774098</v>
      </c>
      <c r="Z46" s="3">
        <f t="shared" si="78"/>
        <v>27527.950753648201</v>
      </c>
      <c r="AA46" s="3">
        <f t="shared" si="79"/>
        <v>27220.335862650001</v>
      </c>
      <c r="AB46" s="3">
        <f t="shared" si="80"/>
        <v>12743.3796047259</v>
      </c>
      <c r="AC46" s="3">
        <f t="shared" si="81"/>
        <v>10549.68628254</v>
      </c>
      <c r="AD46" s="3">
        <f t="shared" si="81"/>
        <v>10923.091504066799</v>
      </c>
      <c r="AE46" s="3">
        <f t="shared" si="2"/>
        <v>179415.6087806859</v>
      </c>
    </row>
    <row r="47" spans="1:35" x14ac:dyDescent="0.25">
      <c r="B47" t="s">
        <v>16</v>
      </c>
      <c r="D47" s="10">
        <v>48905.72</v>
      </c>
      <c r="E47" s="10">
        <v>45598.00333</v>
      </c>
      <c r="F47" s="10">
        <v>41015.620000000003</v>
      </c>
      <c r="G47" s="10">
        <v>44399.945</v>
      </c>
      <c r="H47" s="10">
        <v>51709.752</v>
      </c>
      <c r="I47" s="10">
        <v>58172.355000000003</v>
      </c>
      <c r="J47" s="10">
        <v>91187.271670000002</v>
      </c>
      <c r="K47" s="10">
        <v>130901.81333999999</v>
      </c>
      <c r="L47" s="10">
        <v>112199.75</v>
      </c>
      <c r="M47" s="10">
        <v>50337.273330000004</v>
      </c>
      <c r="N47" s="10">
        <v>44381.957999999999</v>
      </c>
      <c r="O47" s="10">
        <v>54984.672659999997</v>
      </c>
      <c r="P47" s="2">
        <f t="shared" si="1"/>
        <v>773794.13433000003</v>
      </c>
      <c r="Q47" s="2"/>
      <c r="R47" s="250">
        <v>9.7769999999999996E-2</v>
      </c>
      <c r="S47" s="3">
        <f t="shared" si="71"/>
        <v>4781.5122443999999</v>
      </c>
      <c r="T47" s="3">
        <f t="shared" si="72"/>
        <v>4458.1167855740996</v>
      </c>
      <c r="U47" s="3">
        <f t="shared" si="73"/>
        <v>4010.0971674000002</v>
      </c>
      <c r="V47" s="3">
        <f t="shared" si="74"/>
        <v>4340.9826226499999</v>
      </c>
      <c r="W47" s="3">
        <f t="shared" si="75"/>
        <v>5055.6624530399995</v>
      </c>
      <c r="X47" s="3">
        <f t="shared" si="76"/>
        <v>5687.5111483500004</v>
      </c>
      <c r="Y47" s="3">
        <f t="shared" si="77"/>
        <v>8915.3795511758999</v>
      </c>
      <c r="Z47" s="3">
        <f t="shared" si="78"/>
        <v>12798.270290251799</v>
      </c>
      <c r="AA47" s="3">
        <f t="shared" si="79"/>
        <v>10969.7695575</v>
      </c>
      <c r="AB47" s="3">
        <f t="shared" si="80"/>
        <v>4921.4752134741002</v>
      </c>
      <c r="AC47" s="3">
        <f t="shared" si="81"/>
        <v>4339.2240336599998</v>
      </c>
      <c r="AD47" s="3">
        <f t="shared" si="81"/>
        <v>5375.8514459681992</v>
      </c>
      <c r="AE47" s="3">
        <f t="shared" si="2"/>
        <v>75653.852513444101</v>
      </c>
    </row>
    <row r="48" spans="1:35" x14ac:dyDescent="0.25">
      <c r="B48" t="s">
        <v>17</v>
      </c>
      <c r="D48" s="10">
        <v>66909.714999999997</v>
      </c>
      <c r="E48" s="10">
        <v>58855.27</v>
      </c>
      <c r="F48" s="10">
        <v>52373.71</v>
      </c>
      <c r="G48" s="10">
        <v>53902.635000000002</v>
      </c>
      <c r="H48" s="10">
        <v>101070.3115</v>
      </c>
      <c r="I48" s="10">
        <v>53078.714999999997</v>
      </c>
      <c r="J48" s="10">
        <v>153882.72500000001</v>
      </c>
      <c r="K48" s="10">
        <v>495456.22</v>
      </c>
      <c r="L48" s="10">
        <v>201090.85500000001</v>
      </c>
      <c r="M48" s="10">
        <v>40085.47</v>
      </c>
      <c r="N48" s="10">
        <v>44366.52</v>
      </c>
      <c r="O48" s="10">
        <v>78909.6345</v>
      </c>
      <c r="P48" s="2">
        <f t="shared" si="1"/>
        <v>1399981.781</v>
      </c>
      <c r="Q48" s="2"/>
      <c r="R48" s="250">
        <v>8.2699999999999996E-2</v>
      </c>
      <c r="S48" s="3">
        <f t="shared" si="71"/>
        <v>5533.4334304999993</v>
      </c>
      <c r="T48" s="3">
        <f t="shared" si="72"/>
        <v>4867.3308289999995</v>
      </c>
      <c r="U48" s="3">
        <f t="shared" si="73"/>
        <v>4331.3058169999995</v>
      </c>
      <c r="V48" s="3">
        <f t="shared" si="74"/>
        <v>4457.7479144999998</v>
      </c>
      <c r="W48" s="3">
        <f t="shared" si="75"/>
        <v>8358.5147610499989</v>
      </c>
      <c r="X48" s="3">
        <f t="shared" si="76"/>
        <v>4389.6097304999994</v>
      </c>
      <c r="Y48" s="3">
        <f t="shared" si="77"/>
        <v>12726.1013575</v>
      </c>
      <c r="Z48" s="3">
        <f t="shared" si="78"/>
        <v>40974.229393999994</v>
      </c>
      <c r="AA48" s="3">
        <f t="shared" si="79"/>
        <v>16630.213708499999</v>
      </c>
      <c r="AB48" s="3">
        <f t="shared" si="80"/>
        <v>3315.0683690000001</v>
      </c>
      <c r="AC48" s="3">
        <f t="shared" si="81"/>
        <v>3669.1112039999994</v>
      </c>
      <c r="AD48" s="3">
        <f t="shared" si="81"/>
        <v>6525.82677315</v>
      </c>
      <c r="AE48" s="3">
        <f t="shared" si="2"/>
        <v>115778.49328869999</v>
      </c>
    </row>
    <row r="49" spans="1:32" x14ac:dyDescent="0.25">
      <c r="B49" t="s">
        <v>20</v>
      </c>
      <c r="D49" s="2">
        <f>D150/D151</f>
        <v>0</v>
      </c>
      <c r="E49" s="2">
        <f t="shared" ref="E49:O49" si="84">E150/E151</f>
        <v>0</v>
      </c>
      <c r="F49" s="2">
        <f t="shared" si="84"/>
        <v>0</v>
      </c>
      <c r="G49" s="2">
        <f t="shared" si="84"/>
        <v>0</v>
      </c>
      <c r="H49" s="2">
        <f t="shared" si="84"/>
        <v>0</v>
      </c>
      <c r="I49" s="2">
        <f t="shared" si="84"/>
        <v>0</v>
      </c>
      <c r="J49" s="2">
        <f t="shared" si="84"/>
        <v>0</v>
      </c>
      <c r="K49" s="2">
        <f t="shared" si="84"/>
        <v>0</v>
      </c>
      <c r="L49" s="2">
        <f t="shared" si="84"/>
        <v>0</v>
      </c>
      <c r="M49" s="2">
        <f t="shared" si="84"/>
        <v>0</v>
      </c>
      <c r="N49" s="2">
        <f t="shared" si="84"/>
        <v>0</v>
      </c>
      <c r="O49" s="2">
        <f t="shared" si="84"/>
        <v>0</v>
      </c>
      <c r="P49" s="2">
        <f t="shared" si="1"/>
        <v>0</v>
      </c>
      <c r="Q49" s="2"/>
      <c r="R49" s="249">
        <v>0.25</v>
      </c>
      <c r="S49" s="3">
        <f t="shared" si="71"/>
        <v>0</v>
      </c>
      <c r="T49" s="3">
        <f t="shared" si="72"/>
        <v>0</v>
      </c>
      <c r="U49" s="3">
        <f t="shared" si="73"/>
        <v>0</v>
      </c>
      <c r="V49" s="3">
        <f t="shared" si="74"/>
        <v>0</v>
      </c>
      <c r="W49" s="3">
        <f t="shared" si="75"/>
        <v>0</v>
      </c>
      <c r="X49" s="3">
        <f t="shared" si="76"/>
        <v>0</v>
      </c>
      <c r="Y49" s="3">
        <f t="shared" si="77"/>
        <v>0</v>
      </c>
      <c r="Z49" s="3">
        <f t="shared" si="78"/>
        <v>0</v>
      </c>
      <c r="AA49" s="3">
        <f t="shared" si="79"/>
        <v>0</v>
      </c>
      <c r="AB49" s="3">
        <f t="shared" si="80"/>
        <v>0</v>
      </c>
      <c r="AC49" s="3">
        <f t="shared" si="81"/>
        <v>0</v>
      </c>
      <c r="AD49" s="3">
        <f t="shared" si="81"/>
        <v>0</v>
      </c>
      <c r="AE49" s="3">
        <f t="shared" si="2"/>
        <v>0</v>
      </c>
    </row>
    <row r="50" spans="1:32" x14ac:dyDescent="0.25">
      <c r="A50" t="s">
        <v>32</v>
      </c>
      <c r="D50" s="10">
        <v>944304.85500000021</v>
      </c>
      <c r="E50" s="10">
        <v>856485.55355999991</v>
      </c>
      <c r="F50" s="10">
        <v>890412.85400000005</v>
      </c>
      <c r="G50" s="10">
        <v>907778.34600000002</v>
      </c>
      <c r="H50" s="10">
        <v>855607.46699999995</v>
      </c>
      <c r="I50" s="10">
        <v>933529.13599999994</v>
      </c>
      <c r="J50" s="10">
        <v>909502.58299999987</v>
      </c>
      <c r="K50" s="10">
        <v>877291.77609000006</v>
      </c>
      <c r="L50" s="10">
        <v>920441.6129999999</v>
      </c>
      <c r="M50" s="10">
        <v>884672.34600000002</v>
      </c>
      <c r="N50" s="10">
        <v>863774.14400000009</v>
      </c>
      <c r="O50" s="10">
        <v>947935.30200000003</v>
      </c>
      <c r="P50" s="2">
        <f t="shared" si="1"/>
        <v>10791735.975649998</v>
      </c>
      <c r="Q50" s="2"/>
      <c r="R50" s="238" t="s">
        <v>290</v>
      </c>
      <c r="S50" s="11">
        <v>311362.33999999997</v>
      </c>
      <c r="T50" s="11">
        <v>302830.57</v>
      </c>
      <c r="U50" s="11">
        <v>316078</v>
      </c>
      <c r="V50" s="11">
        <v>314266.20999999996</v>
      </c>
      <c r="W50" s="11">
        <v>305229.71999999997</v>
      </c>
      <c r="X50" s="11">
        <v>329820.95</v>
      </c>
      <c r="Y50" s="11">
        <v>317467.58999999997</v>
      </c>
      <c r="Z50" s="11">
        <v>315084.42999999993</v>
      </c>
      <c r="AA50" s="11">
        <v>317946.3</v>
      </c>
      <c r="AB50" s="11">
        <v>317964.26</v>
      </c>
      <c r="AC50" s="11">
        <v>316575.14</v>
      </c>
      <c r="AD50" s="11">
        <v>317554.90999999997</v>
      </c>
      <c r="AE50" s="3">
        <f t="shared" si="2"/>
        <v>3782180.4199999995</v>
      </c>
    </row>
    <row r="52" spans="1:32" x14ac:dyDescent="0.25">
      <c r="A52" t="s">
        <v>34</v>
      </c>
      <c r="B52" t="s">
        <v>26</v>
      </c>
      <c r="D52" s="10">
        <v>60527628</v>
      </c>
      <c r="E52" s="10">
        <v>54597823</v>
      </c>
      <c r="F52" s="10">
        <v>53041569</v>
      </c>
      <c r="G52" s="10">
        <v>47138225</v>
      </c>
      <c r="H52" s="10">
        <v>45129547</v>
      </c>
      <c r="I52" s="10">
        <v>44178815</v>
      </c>
      <c r="J52" s="10">
        <v>53024633</v>
      </c>
      <c r="K52" s="10">
        <v>50719701</v>
      </c>
      <c r="L52" s="10">
        <v>38029509</v>
      </c>
      <c r="M52" s="10">
        <v>49243884</v>
      </c>
      <c r="N52" s="10">
        <v>65512887</v>
      </c>
      <c r="O52" s="10">
        <v>69420871</v>
      </c>
      <c r="P52" s="2">
        <f t="shared" si="1"/>
        <v>630565092</v>
      </c>
      <c r="Q52" s="2"/>
      <c r="S52" s="3">
        <f t="shared" ref="S52:AD52" si="85">SUM(S4:S5)/SUM(D4:D5)*D52</f>
        <v>5547209.6796197649</v>
      </c>
      <c r="T52" s="3">
        <f t="shared" si="85"/>
        <v>4980673.420584064</v>
      </c>
      <c r="U52" s="3">
        <f t="shared" si="85"/>
        <v>4822483.6390888682</v>
      </c>
      <c r="V52" s="3">
        <f t="shared" si="85"/>
        <v>4272120.8536490463</v>
      </c>
      <c r="W52" s="3">
        <f t="shared" si="85"/>
        <v>4037511.4274580847</v>
      </c>
      <c r="X52" s="3">
        <f t="shared" si="85"/>
        <v>3943638.793623012</v>
      </c>
      <c r="Y52" s="3">
        <f t="shared" si="85"/>
        <v>4748656.332674141</v>
      </c>
      <c r="Z52" s="3">
        <f t="shared" si="85"/>
        <v>4577252.9535587644</v>
      </c>
      <c r="AA52" s="3">
        <f t="shared" si="85"/>
        <v>3407875.7224488873</v>
      </c>
      <c r="AB52" s="3">
        <f t="shared" si="85"/>
        <v>4382405.9658835102</v>
      </c>
      <c r="AC52" s="20">
        <f t="shared" si="85"/>
        <v>5928462.1518177371</v>
      </c>
      <c r="AD52" s="20">
        <f t="shared" si="85"/>
        <v>6360611.8247974161</v>
      </c>
      <c r="AE52" s="3">
        <f t="shared" ref="AE52:AE85" si="86">SUM(S52:AD52)</f>
        <v>57008902.76520329</v>
      </c>
      <c r="AF52" t="s">
        <v>30</v>
      </c>
    </row>
    <row r="53" spans="1:32" x14ac:dyDescent="0.25">
      <c r="B53" t="s">
        <v>27</v>
      </c>
      <c r="D53" s="10">
        <v>-61056190</v>
      </c>
      <c r="E53" s="10">
        <v>-60527628</v>
      </c>
      <c r="F53" s="10">
        <v>-54597823</v>
      </c>
      <c r="G53" s="10">
        <v>-53041569</v>
      </c>
      <c r="H53" s="10">
        <v>-47138225</v>
      </c>
      <c r="I53" s="10">
        <v>-45129547</v>
      </c>
      <c r="J53" s="10">
        <v>-44178815</v>
      </c>
      <c r="K53" s="10">
        <v>-53024633</v>
      </c>
      <c r="L53" s="10">
        <v>-50719701</v>
      </c>
      <c r="M53" s="10">
        <v>-38029509</v>
      </c>
      <c r="N53" s="10">
        <v>-49243884</v>
      </c>
      <c r="O53" s="10">
        <v>-65512887</v>
      </c>
      <c r="P53" s="2">
        <f t="shared" si="1"/>
        <v>-622200411</v>
      </c>
      <c r="Q53" s="2"/>
      <c r="S53" s="3">
        <f>SUM(S4:S5)/SUM(D4:D5)*D53</f>
        <v>-5595651.0995062198</v>
      </c>
      <c r="T53" s="3">
        <f>-S52</f>
        <v>-5547209.6796197649</v>
      </c>
      <c r="U53" s="3">
        <f t="shared" ref="U53:AD53" si="87">-T52</f>
        <v>-4980673.420584064</v>
      </c>
      <c r="V53" s="3">
        <f t="shared" si="87"/>
        <v>-4822483.6390888682</v>
      </c>
      <c r="W53" s="3">
        <f t="shared" si="87"/>
        <v>-4272120.8536490463</v>
      </c>
      <c r="X53" s="3">
        <f t="shared" si="87"/>
        <v>-4037511.4274580847</v>
      </c>
      <c r="Y53" s="3">
        <f t="shared" si="87"/>
        <v>-3943638.793623012</v>
      </c>
      <c r="Z53" s="3">
        <f t="shared" si="87"/>
        <v>-4748656.332674141</v>
      </c>
      <c r="AA53" s="3">
        <f t="shared" si="87"/>
        <v>-4577252.9535587644</v>
      </c>
      <c r="AB53" s="3">
        <f t="shared" si="87"/>
        <v>-3407875.7224488873</v>
      </c>
      <c r="AC53" s="20">
        <f t="shared" si="87"/>
        <v>-4382405.9658835102</v>
      </c>
      <c r="AD53" s="20">
        <f t="shared" si="87"/>
        <v>-5928462.1518177371</v>
      </c>
      <c r="AE53" s="3">
        <f t="shared" si="86"/>
        <v>-56243942.039912097</v>
      </c>
      <c r="AF53" t="s">
        <v>31</v>
      </c>
    </row>
    <row r="54" spans="1:32" x14ac:dyDescent="0.25">
      <c r="B54" t="s">
        <v>25</v>
      </c>
      <c r="D54" s="6">
        <f>D52+D53</f>
        <v>-528562</v>
      </c>
      <c r="E54" s="6">
        <f t="shared" ref="E54:O54" si="88">E52+E53</f>
        <v>-5929805</v>
      </c>
      <c r="F54" s="6">
        <f t="shared" si="88"/>
        <v>-1556254</v>
      </c>
      <c r="G54" s="6">
        <f t="shared" si="88"/>
        <v>-5903344</v>
      </c>
      <c r="H54" s="6">
        <f t="shared" si="88"/>
        <v>-2008678</v>
      </c>
      <c r="I54" s="6">
        <f t="shared" si="88"/>
        <v>-950732</v>
      </c>
      <c r="J54" s="6">
        <f t="shared" si="88"/>
        <v>8845818</v>
      </c>
      <c r="K54" s="6">
        <f t="shared" si="88"/>
        <v>-2304932</v>
      </c>
      <c r="L54" s="6">
        <f t="shared" si="88"/>
        <v>-12690192</v>
      </c>
      <c r="M54" s="6">
        <f t="shared" si="88"/>
        <v>11214375</v>
      </c>
      <c r="N54" s="16">
        <f t="shared" si="88"/>
        <v>16269003</v>
      </c>
      <c r="O54" s="16">
        <f t="shared" si="88"/>
        <v>3907984</v>
      </c>
      <c r="P54" s="2">
        <f t="shared" si="1"/>
        <v>8364681</v>
      </c>
      <c r="Q54" s="2"/>
      <c r="R54" s="237">
        <f>ROUND(SUM(AE4:AE5)/SUM(P4:P5),5)</f>
        <v>9.0469999999999995E-2</v>
      </c>
      <c r="S54" s="3">
        <f t="shared" ref="S54:AD54" si="89">$R54*D54</f>
        <v>-47819.004139999997</v>
      </c>
      <c r="T54" s="3">
        <f t="shared" si="89"/>
        <v>-536469.45834999997</v>
      </c>
      <c r="U54" s="3">
        <f t="shared" si="89"/>
        <v>-140794.29937999998</v>
      </c>
      <c r="V54" s="3">
        <f t="shared" si="89"/>
        <v>-534075.53168000001</v>
      </c>
      <c r="W54" s="3">
        <f t="shared" si="89"/>
        <v>-181725.09865999999</v>
      </c>
      <c r="X54" s="3">
        <f t="shared" si="89"/>
        <v>-86012.724040000001</v>
      </c>
      <c r="Y54" s="3">
        <f t="shared" si="89"/>
        <v>800281.15445999999</v>
      </c>
      <c r="Z54" s="3">
        <f t="shared" si="89"/>
        <v>-208527.19803999999</v>
      </c>
      <c r="AA54" s="3">
        <f t="shared" si="89"/>
        <v>-1148081.6702399999</v>
      </c>
      <c r="AB54" s="3">
        <f t="shared" si="89"/>
        <v>1014564.50625</v>
      </c>
      <c r="AC54" s="20">
        <f t="shared" si="89"/>
        <v>1471856.70141</v>
      </c>
      <c r="AD54" s="20">
        <f t="shared" si="89"/>
        <v>353555.31247999996</v>
      </c>
      <c r="AE54" s="3">
        <f t="shared" si="86"/>
        <v>756752.6900699999</v>
      </c>
      <c r="AF54" t="s">
        <v>33</v>
      </c>
    </row>
    <row r="55" spans="1:32" x14ac:dyDescent="0.25">
      <c r="A55" t="s">
        <v>36</v>
      </c>
      <c r="B55" t="s">
        <v>26</v>
      </c>
      <c r="D55" s="10">
        <v>16247886</v>
      </c>
      <c r="E55" s="10">
        <v>15251433</v>
      </c>
      <c r="F55" s="10">
        <v>14767529</v>
      </c>
      <c r="G55" s="10">
        <v>12411019</v>
      </c>
      <c r="H55" s="10">
        <v>13330209</v>
      </c>
      <c r="I55" s="10">
        <v>15052600</v>
      </c>
      <c r="J55" s="10">
        <v>18648183</v>
      </c>
      <c r="K55" s="10">
        <v>17361505</v>
      </c>
      <c r="L55" s="10">
        <v>15870654</v>
      </c>
      <c r="M55" s="10">
        <v>15264369</v>
      </c>
      <c r="N55" s="10">
        <v>19632052</v>
      </c>
      <c r="O55" s="10">
        <v>19149846</v>
      </c>
      <c r="P55" s="2">
        <f t="shared" si="1"/>
        <v>192987285</v>
      </c>
      <c r="Q55" s="2"/>
      <c r="S55" s="3">
        <f t="shared" ref="S55:AD55" si="90">SUM(S7:S8)/SUM(D7:D8)*D55</f>
        <v>1377087.8920740851</v>
      </c>
      <c r="T55" s="3">
        <f t="shared" si="90"/>
        <v>1301272.3536116634</v>
      </c>
      <c r="U55" s="3">
        <f t="shared" si="90"/>
        <v>1270661.6953260531</v>
      </c>
      <c r="V55" s="3">
        <f t="shared" si="90"/>
        <v>1073686.3336065742</v>
      </c>
      <c r="W55" s="3">
        <f t="shared" si="90"/>
        <v>1157260.846648237</v>
      </c>
      <c r="X55" s="3">
        <f t="shared" si="90"/>
        <v>1288343.7688696817</v>
      </c>
      <c r="Y55" s="3">
        <f t="shared" si="90"/>
        <v>1578571.1203373361</v>
      </c>
      <c r="Z55" s="3">
        <f t="shared" si="90"/>
        <v>1455864.5909115979</v>
      </c>
      <c r="AA55" s="3">
        <f t="shared" si="90"/>
        <v>1304179.5284198604</v>
      </c>
      <c r="AB55" s="3">
        <f t="shared" si="90"/>
        <v>1351287.938744389</v>
      </c>
      <c r="AC55" s="20">
        <f t="shared" si="90"/>
        <v>1676717.4076597609</v>
      </c>
      <c r="AD55" s="20">
        <f t="shared" si="90"/>
        <v>1613680.0990246194</v>
      </c>
      <c r="AE55" s="3">
        <f t="shared" si="86"/>
        <v>16448613.575233858</v>
      </c>
      <c r="AF55" t="s">
        <v>30</v>
      </c>
    </row>
    <row r="56" spans="1:32" x14ac:dyDescent="0.25">
      <c r="B56" t="s">
        <v>27</v>
      </c>
      <c r="D56" s="10">
        <v>-16557519</v>
      </c>
      <c r="E56" s="10">
        <v>-16247886</v>
      </c>
      <c r="F56" s="10">
        <v>-15251433</v>
      </c>
      <c r="G56" s="10">
        <v>-14767529</v>
      </c>
      <c r="H56" s="10">
        <v>-12411019</v>
      </c>
      <c r="I56" s="10">
        <v>-13330209</v>
      </c>
      <c r="J56" s="10">
        <v>-15052600</v>
      </c>
      <c r="K56" s="10">
        <v>-18648183</v>
      </c>
      <c r="L56" s="10">
        <v>-17361505</v>
      </c>
      <c r="M56" s="10">
        <v>-15870654</v>
      </c>
      <c r="N56" s="10">
        <v>-15264369</v>
      </c>
      <c r="O56" s="10">
        <v>-19632052</v>
      </c>
      <c r="P56" s="2">
        <f t="shared" si="1"/>
        <v>-190394958</v>
      </c>
      <c r="Q56" s="2"/>
      <c r="S56" s="3">
        <f>SUM(S7:S8)/SUM(D7:D8)*D56</f>
        <v>-1403330.8048620364</v>
      </c>
      <c r="T56" s="3">
        <f>-S55</f>
        <v>-1377087.8920740851</v>
      </c>
      <c r="U56" s="3">
        <f t="shared" ref="U56:AD56" si="91">-T55</f>
        <v>-1301272.3536116634</v>
      </c>
      <c r="V56" s="3">
        <f t="shared" si="91"/>
        <v>-1270661.6953260531</v>
      </c>
      <c r="W56" s="3">
        <f t="shared" si="91"/>
        <v>-1073686.3336065742</v>
      </c>
      <c r="X56" s="3">
        <f t="shared" si="91"/>
        <v>-1157260.846648237</v>
      </c>
      <c r="Y56" s="3">
        <f t="shared" si="91"/>
        <v>-1288343.7688696817</v>
      </c>
      <c r="Z56" s="3">
        <f t="shared" si="91"/>
        <v>-1578571.1203373361</v>
      </c>
      <c r="AA56" s="3">
        <f t="shared" si="91"/>
        <v>-1455864.5909115979</v>
      </c>
      <c r="AB56" s="3">
        <f t="shared" si="91"/>
        <v>-1304179.5284198604</v>
      </c>
      <c r="AC56" s="20">
        <f t="shared" si="91"/>
        <v>-1351287.938744389</v>
      </c>
      <c r="AD56" s="20">
        <f t="shared" si="91"/>
        <v>-1676717.4076597609</v>
      </c>
      <c r="AE56" s="3">
        <f t="shared" si="86"/>
        <v>-16238264.281071272</v>
      </c>
      <c r="AF56" t="s">
        <v>31</v>
      </c>
    </row>
    <row r="57" spans="1:32" x14ac:dyDescent="0.25">
      <c r="B57" t="s">
        <v>25</v>
      </c>
      <c r="D57" s="6">
        <f>D55+D56</f>
        <v>-309633</v>
      </c>
      <c r="E57" s="6">
        <f t="shared" ref="E57:O57" si="92">E55+E56</f>
        <v>-996453</v>
      </c>
      <c r="F57" s="6">
        <f t="shared" si="92"/>
        <v>-483904</v>
      </c>
      <c r="G57" s="6">
        <f t="shared" si="92"/>
        <v>-2356510</v>
      </c>
      <c r="H57" s="6">
        <f t="shared" si="92"/>
        <v>919190</v>
      </c>
      <c r="I57" s="6">
        <f t="shared" si="92"/>
        <v>1722391</v>
      </c>
      <c r="J57" s="6">
        <f t="shared" si="92"/>
        <v>3595583</v>
      </c>
      <c r="K57" s="6">
        <f t="shared" si="92"/>
        <v>-1286678</v>
      </c>
      <c r="L57" s="6">
        <f t="shared" si="92"/>
        <v>-1490851</v>
      </c>
      <c r="M57" s="6">
        <f t="shared" si="92"/>
        <v>-606285</v>
      </c>
      <c r="N57" s="16">
        <f t="shared" si="92"/>
        <v>4367683</v>
      </c>
      <c r="O57" s="16">
        <f t="shared" si="92"/>
        <v>-482206</v>
      </c>
      <c r="P57" s="2">
        <f t="shared" si="1"/>
        <v>2592327</v>
      </c>
      <c r="Q57" s="2"/>
      <c r="R57" s="237">
        <f>ROUND(SUM(AE7:AE8)/SUM(P7:P8),5)</f>
        <v>8.5150000000000003E-2</v>
      </c>
      <c r="S57" s="3">
        <f t="shared" ref="S57:AD57" si="93">$R57*D57</f>
        <v>-26365.249950000001</v>
      </c>
      <c r="T57" s="3">
        <f t="shared" si="93"/>
        <v>-84847.97295000001</v>
      </c>
      <c r="U57" s="3">
        <f t="shared" si="93"/>
        <v>-41204.425600000002</v>
      </c>
      <c r="V57" s="3">
        <f t="shared" si="93"/>
        <v>-200656.8265</v>
      </c>
      <c r="W57" s="3">
        <f t="shared" si="93"/>
        <v>78269.0285</v>
      </c>
      <c r="X57" s="3">
        <f t="shared" si="93"/>
        <v>146661.59365</v>
      </c>
      <c r="Y57" s="3">
        <f t="shared" si="93"/>
        <v>306163.89244999998</v>
      </c>
      <c r="Z57" s="3">
        <f t="shared" si="93"/>
        <v>-109560.6317</v>
      </c>
      <c r="AA57" s="3">
        <f t="shared" si="93"/>
        <v>-126945.96265</v>
      </c>
      <c r="AB57" s="3">
        <f t="shared" si="93"/>
        <v>-51625.167750000001</v>
      </c>
      <c r="AC57" s="20">
        <f t="shared" si="93"/>
        <v>371908.20744999999</v>
      </c>
      <c r="AD57" s="20">
        <f t="shared" si="93"/>
        <v>-41059.840900000003</v>
      </c>
      <c r="AE57" s="3">
        <f t="shared" si="86"/>
        <v>220736.64405</v>
      </c>
      <c r="AF57" t="s">
        <v>33</v>
      </c>
    </row>
    <row r="58" spans="1:32" x14ac:dyDescent="0.25">
      <c r="A58" t="s">
        <v>37</v>
      </c>
      <c r="B58" t="s">
        <v>26</v>
      </c>
      <c r="D58" s="10">
        <v>1477393</v>
      </c>
      <c r="E58" s="10">
        <v>1379475</v>
      </c>
      <c r="F58" s="10">
        <v>1350557</v>
      </c>
      <c r="G58" s="10">
        <v>1143124</v>
      </c>
      <c r="H58" s="10">
        <v>1048067</v>
      </c>
      <c r="I58" s="10">
        <v>1008438</v>
      </c>
      <c r="J58" s="10">
        <v>1159117</v>
      </c>
      <c r="K58" s="10">
        <v>1040532</v>
      </c>
      <c r="L58" s="10">
        <v>882238</v>
      </c>
      <c r="M58" s="10">
        <v>1201122</v>
      </c>
      <c r="N58" s="10">
        <v>1659932</v>
      </c>
      <c r="O58" s="10">
        <v>1761239</v>
      </c>
      <c r="P58" s="2">
        <f t="shared" si="1"/>
        <v>15111234</v>
      </c>
      <c r="Q58" s="2"/>
      <c r="S58" s="3">
        <f t="shared" ref="S58:AD58" si="94">SUM(S12:S13)/SUM(D12:D13)*D58</f>
        <v>129258.1357413924</v>
      </c>
      <c r="T58" s="3">
        <f t="shared" si="94"/>
        <v>120402.54237518508</v>
      </c>
      <c r="U58" s="3">
        <f t="shared" si="94"/>
        <v>118428.9405260285</v>
      </c>
      <c r="V58" s="3">
        <f t="shared" si="94"/>
        <v>100902.44093178128</v>
      </c>
      <c r="W58" s="3">
        <f t="shared" si="94"/>
        <v>93387.772355541325</v>
      </c>
      <c r="X58" s="3">
        <f t="shared" si="94"/>
        <v>90035.485858475644</v>
      </c>
      <c r="Y58" s="3">
        <f t="shared" si="94"/>
        <v>103236.38726695703</v>
      </c>
      <c r="Z58" s="3">
        <f t="shared" si="94"/>
        <v>92162.528919805001</v>
      </c>
      <c r="AA58" s="3">
        <f t="shared" si="94"/>
        <v>77638.07953645922</v>
      </c>
      <c r="AB58" s="3">
        <f t="shared" si="94"/>
        <v>105907.66780085479</v>
      </c>
      <c r="AC58" s="20">
        <f t="shared" si="94"/>
        <v>146147.87682142423</v>
      </c>
      <c r="AD58" s="20">
        <f t="shared" si="94"/>
        <v>154343.29944102064</v>
      </c>
      <c r="AE58" s="3">
        <f t="shared" si="86"/>
        <v>1331851.1575749253</v>
      </c>
      <c r="AF58" t="s">
        <v>30</v>
      </c>
    </row>
    <row r="59" spans="1:32" x14ac:dyDescent="0.25">
      <c r="B59" t="s">
        <v>27</v>
      </c>
      <c r="D59" s="10">
        <v>-1487188</v>
      </c>
      <c r="E59" s="10">
        <v>-1477393</v>
      </c>
      <c r="F59" s="10">
        <v>-1379475</v>
      </c>
      <c r="G59" s="10">
        <v>-1350557</v>
      </c>
      <c r="H59" s="10">
        <v>-1143124</v>
      </c>
      <c r="I59" s="10">
        <v>-1048067</v>
      </c>
      <c r="J59" s="10">
        <v>-1008438</v>
      </c>
      <c r="K59" s="10">
        <v>-1159117</v>
      </c>
      <c r="L59" s="10">
        <v>-1040532</v>
      </c>
      <c r="M59" s="10">
        <v>-882238</v>
      </c>
      <c r="N59" s="10">
        <v>-1201122</v>
      </c>
      <c r="O59" s="10">
        <v>-1659932</v>
      </c>
      <c r="P59" s="2">
        <f t="shared" si="1"/>
        <v>-14837183</v>
      </c>
      <c r="Q59" s="2"/>
      <c r="S59" s="3">
        <f>SUM(S12:S13)/SUM(D12:D13)*D59</f>
        <v>-130115.10706830876</v>
      </c>
      <c r="T59" s="3">
        <f>-S58</f>
        <v>-129258.1357413924</v>
      </c>
      <c r="U59" s="3">
        <f t="shared" ref="U59:AD59" si="95">-T58</f>
        <v>-120402.54237518508</v>
      </c>
      <c r="V59" s="3">
        <f t="shared" si="95"/>
        <v>-118428.9405260285</v>
      </c>
      <c r="W59" s="3">
        <f t="shared" si="95"/>
        <v>-100902.44093178128</v>
      </c>
      <c r="X59" s="3">
        <f t="shared" si="95"/>
        <v>-93387.772355541325</v>
      </c>
      <c r="Y59" s="3">
        <f t="shared" si="95"/>
        <v>-90035.485858475644</v>
      </c>
      <c r="Z59" s="3">
        <f t="shared" si="95"/>
        <v>-103236.38726695703</v>
      </c>
      <c r="AA59" s="3">
        <f t="shared" si="95"/>
        <v>-92162.528919805001</v>
      </c>
      <c r="AB59" s="3">
        <f t="shared" si="95"/>
        <v>-77638.07953645922</v>
      </c>
      <c r="AC59" s="20">
        <f t="shared" si="95"/>
        <v>-105907.66780085479</v>
      </c>
      <c r="AD59" s="20">
        <f t="shared" si="95"/>
        <v>-146147.87682142423</v>
      </c>
      <c r="AE59" s="3">
        <f t="shared" si="86"/>
        <v>-1307622.9652022133</v>
      </c>
      <c r="AF59" t="s">
        <v>31</v>
      </c>
    </row>
    <row r="60" spans="1:32" x14ac:dyDescent="0.25">
      <c r="B60" t="s">
        <v>25</v>
      </c>
      <c r="D60" s="6">
        <f>D58+D59</f>
        <v>-9795</v>
      </c>
      <c r="E60" s="6">
        <f t="shared" ref="E60:O60" si="96">E58+E59</f>
        <v>-97918</v>
      </c>
      <c r="F60" s="6">
        <f t="shared" si="96"/>
        <v>-28918</v>
      </c>
      <c r="G60" s="6">
        <f t="shared" si="96"/>
        <v>-207433</v>
      </c>
      <c r="H60" s="6">
        <f t="shared" si="96"/>
        <v>-95057</v>
      </c>
      <c r="I60" s="6">
        <f t="shared" si="96"/>
        <v>-39629</v>
      </c>
      <c r="J60" s="6">
        <f t="shared" si="96"/>
        <v>150679</v>
      </c>
      <c r="K60" s="6">
        <f t="shared" si="96"/>
        <v>-118585</v>
      </c>
      <c r="L60" s="6">
        <f t="shared" si="96"/>
        <v>-158294</v>
      </c>
      <c r="M60" s="6">
        <f t="shared" si="96"/>
        <v>318884</v>
      </c>
      <c r="N60" s="16">
        <f t="shared" si="96"/>
        <v>458810</v>
      </c>
      <c r="O60" s="16">
        <f t="shared" si="96"/>
        <v>101307</v>
      </c>
      <c r="P60" s="2">
        <f t="shared" si="1"/>
        <v>274051</v>
      </c>
      <c r="Q60" s="2"/>
      <c r="R60" s="237">
        <f>ROUND(SUM(AE12:AE13)/SUM(P12:P13),5)</f>
        <v>8.8090000000000002E-2</v>
      </c>
      <c r="S60" s="3">
        <f t="shared" ref="S60:AD60" si="97">$R60*D60</f>
        <v>-862.84154999999998</v>
      </c>
      <c r="T60" s="3">
        <f t="shared" si="97"/>
        <v>-8625.5966200000003</v>
      </c>
      <c r="U60" s="3">
        <f t="shared" si="97"/>
        <v>-2547.3866200000002</v>
      </c>
      <c r="V60" s="3">
        <f t="shared" si="97"/>
        <v>-18272.772970000002</v>
      </c>
      <c r="W60" s="3">
        <f t="shared" si="97"/>
        <v>-8373.5711300000003</v>
      </c>
      <c r="X60" s="3">
        <f t="shared" si="97"/>
        <v>-3490.9186100000002</v>
      </c>
      <c r="Y60" s="3">
        <f t="shared" si="97"/>
        <v>13273.313110000001</v>
      </c>
      <c r="Z60" s="3">
        <f t="shared" si="97"/>
        <v>-10446.15265</v>
      </c>
      <c r="AA60" s="3">
        <f t="shared" si="97"/>
        <v>-13944.11846</v>
      </c>
      <c r="AB60" s="3">
        <f t="shared" si="97"/>
        <v>28090.491560000002</v>
      </c>
      <c r="AC60" s="20">
        <f t="shared" si="97"/>
        <v>40416.572899999999</v>
      </c>
      <c r="AD60" s="20">
        <f t="shared" si="97"/>
        <v>8924.1336300000003</v>
      </c>
      <c r="AE60" s="3">
        <f t="shared" si="86"/>
        <v>24141.152590000009</v>
      </c>
      <c r="AF60" t="s">
        <v>33</v>
      </c>
    </row>
    <row r="61" spans="1:32" x14ac:dyDescent="0.25">
      <c r="A61" t="s">
        <v>38</v>
      </c>
      <c r="B61" t="s">
        <v>26</v>
      </c>
      <c r="D61" s="10">
        <v>23948973</v>
      </c>
      <c r="E61" s="10">
        <v>23699928</v>
      </c>
      <c r="F61" s="10">
        <v>24106044</v>
      </c>
      <c r="G61" s="10">
        <v>20968355</v>
      </c>
      <c r="H61" s="10">
        <v>22708030</v>
      </c>
      <c r="I61" s="10">
        <v>24402412</v>
      </c>
      <c r="J61" s="10">
        <v>28720328</v>
      </c>
      <c r="K61" s="10">
        <v>25639909</v>
      </c>
      <c r="L61" s="10">
        <v>21319259</v>
      </c>
      <c r="M61" s="10">
        <v>28852123</v>
      </c>
      <c r="N61" s="10">
        <v>29061203</v>
      </c>
      <c r="O61" s="10">
        <v>26636985</v>
      </c>
      <c r="P61" s="2">
        <f t="shared" si="1"/>
        <v>300063549</v>
      </c>
      <c r="Q61" s="2"/>
      <c r="S61" s="3">
        <f t="shared" ref="S61:AD61" si="98">SUM(S17:S18)/SUM(D17:D18)*D61</f>
        <v>1507682.4446206545</v>
      </c>
      <c r="T61" s="3">
        <f t="shared" si="98"/>
        <v>1489294.3263523506</v>
      </c>
      <c r="U61" s="3">
        <f t="shared" si="98"/>
        <v>1513677.1242486606</v>
      </c>
      <c r="V61" s="3">
        <f t="shared" si="98"/>
        <v>1315815.6920794821</v>
      </c>
      <c r="W61" s="3">
        <f t="shared" si="98"/>
        <v>1426216.3876719158</v>
      </c>
      <c r="X61" s="3">
        <f t="shared" si="98"/>
        <v>1532647.6938126674</v>
      </c>
      <c r="Y61" s="3">
        <f t="shared" si="98"/>
        <v>1801878.5766339952</v>
      </c>
      <c r="Z61" s="3">
        <f t="shared" si="98"/>
        <v>1606596.7371976476</v>
      </c>
      <c r="AA61" s="3">
        <f t="shared" si="98"/>
        <v>1336622.2728454375</v>
      </c>
      <c r="AB61" s="3">
        <f t="shared" si="98"/>
        <v>1809619.1513730215</v>
      </c>
      <c r="AC61" s="20">
        <f t="shared" si="98"/>
        <v>1824204.5641046846</v>
      </c>
      <c r="AD61" s="20">
        <f t="shared" si="98"/>
        <v>1668738.5714627292</v>
      </c>
      <c r="AE61" s="3">
        <f t="shared" si="86"/>
        <v>18832993.542403247</v>
      </c>
      <c r="AF61" t="s">
        <v>30</v>
      </c>
    </row>
    <row r="62" spans="1:32" x14ac:dyDescent="0.25">
      <c r="B62" t="s">
        <v>27</v>
      </c>
      <c r="D62" s="10">
        <v>-26656800</v>
      </c>
      <c r="E62" s="10">
        <v>-23948973</v>
      </c>
      <c r="F62" s="10">
        <v>-23699928</v>
      </c>
      <c r="G62" s="10">
        <v>-24106044</v>
      </c>
      <c r="H62" s="10">
        <v>-20968355</v>
      </c>
      <c r="I62" s="10">
        <v>-22708030</v>
      </c>
      <c r="J62" s="10">
        <v>-24402412</v>
      </c>
      <c r="K62" s="10">
        <v>-28720328</v>
      </c>
      <c r="L62" s="10">
        <v>-25639909</v>
      </c>
      <c r="M62" s="10">
        <v>-21319259</v>
      </c>
      <c r="N62" s="10">
        <v>-28852123</v>
      </c>
      <c r="O62" s="10">
        <v>-29061203</v>
      </c>
      <c r="P62" s="2">
        <f t="shared" ref="P62:P85" si="99">SUM(D62:O62)</f>
        <v>-300083364</v>
      </c>
      <c r="Q62" s="2"/>
      <c r="S62" s="3">
        <f>SUM(S17:S18)/SUM(D17:D18)*D62</f>
        <v>-1678150.8497155122</v>
      </c>
      <c r="T62" s="3">
        <f>-S61</f>
        <v>-1507682.4446206545</v>
      </c>
      <c r="U62" s="3">
        <f t="shared" ref="U62:AD62" si="100">-T61</f>
        <v>-1489294.3263523506</v>
      </c>
      <c r="V62" s="3">
        <f t="shared" si="100"/>
        <v>-1513677.1242486606</v>
      </c>
      <c r="W62" s="3">
        <f t="shared" si="100"/>
        <v>-1315815.6920794821</v>
      </c>
      <c r="X62" s="3">
        <f t="shared" si="100"/>
        <v>-1426216.3876719158</v>
      </c>
      <c r="Y62" s="3">
        <f t="shared" si="100"/>
        <v>-1532647.6938126674</v>
      </c>
      <c r="Z62" s="3">
        <f t="shared" si="100"/>
        <v>-1801878.5766339952</v>
      </c>
      <c r="AA62" s="3">
        <f t="shared" si="100"/>
        <v>-1606596.7371976476</v>
      </c>
      <c r="AB62" s="3">
        <f t="shared" si="100"/>
        <v>-1336622.2728454375</v>
      </c>
      <c r="AC62" s="20">
        <f t="shared" si="100"/>
        <v>-1809619.1513730215</v>
      </c>
      <c r="AD62" s="20">
        <f t="shared" si="100"/>
        <v>-1824204.5641046846</v>
      </c>
      <c r="AE62" s="3">
        <f t="shared" si="86"/>
        <v>-18842405.820656031</v>
      </c>
      <c r="AF62" t="s">
        <v>31</v>
      </c>
    </row>
    <row r="63" spans="1:32" x14ac:dyDescent="0.25">
      <c r="B63" t="s">
        <v>25</v>
      </c>
      <c r="D63" s="6">
        <f>D61+D62</f>
        <v>-2707827</v>
      </c>
      <c r="E63" s="6">
        <f t="shared" ref="E63:O63" si="101">E61+E62</f>
        <v>-249045</v>
      </c>
      <c r="F63" s="6">
        <f t="shared" si="101"/>
        <v>406116</v>
      </c>
      <c r="G63" s="6">
        <f t="shared" si="101"/>
        <v>-3137689</v>
      </c>
      <c r="H63" s="6">
        <f t="shared" si="101"/>
        <v>1739675</v>
      </c>
      <c r="I63" s="6">
        <f t="shared" si="101"/>
        <v>1694382</v>
      </c>
      <c r="J63" s="6">
        <f t="shared" si="101"/>
        <v>4317916</v>
      </c>
      <c r="K63" s="6">
        <f t="shared" si="101"/>
        <v>-3080419</v>
      </c>
      <c r="L63" s="6">
        <f t="shared" si="101"/>
        <v>-4320650</v>
      </c>
      <c r="M63" s="6">
        <f t="shared" si="101"/>
        <v>7532864</v>
      </c>
      <c r="N63" s="16">
        <f t="shared" si="101"/>
        <v>209080</v>
      </c>
      <c r="O63" s="16">
        <f t="shared" si="101"/>
        <v>-2424218</v>
      </c>
      <c r="P63" s="2">
        <f t="shared" si="99"/>
        <v>-19815</v>
      </c>
      <c r="Q63" s="2"/>
      <c r="R63" s="237">
        <f>ROUND(SUM(AE17:AE18)/SUM(P17:P18),5)</f>
        <v>6.2770000000000006E-2</v>
      </c>
      <c r="S63" s="3">
        <f t="shared" ref="S63:AD63" si="102">$R63*D63</f>
        <v>-169970.30079000001</v>
      </c>
      <c r="T63" s="3">
        <f t="shared" si="102"/>
        <v>-15632.554650000002</v>
      </c>
      <c r="U63" s="3">
        <f t="shared" si="102"/>
        <v>25491.901320000001</v>
      </c>
      <c r="V63" s="3">
        <f t="shared" si="102"/>
        <v>-196952.73853000003</v>
      </c>
      <c r="W63" s="3">
        <f t="shared" si="102"/>
        <v>109199.39975000001</v>
      </c>
      <c r="X63" s="3">
        <f t="shared" si="102"/>
        <v>106356.35814000001</v>
      </c>
      <c r="Y63" s="3">
        <f t="shared" si="102"/>
        <v>271035.58732000005</v>
      </c>
      <c r="Z63" s="3">
        <f t="shared" si="102"/>
        <v>-193357.90063000002</v>
      </c>
      <c r="AA63" s="3">
        <f t="shared" si="102"/>
        <v>-271207.20050000004</v>
      </c>
      <c r="AB63" s="3">
        <f t="shared" si="102"/>
        <v>472837.87328000006</v>
      </c>
      <c r="AC63" s="20">
        <f t="shared" si="102"/>
        <v>13123.951600000002</v>
      </c>
      <c r="AD63" s="20">
        <f t="shared" si="102"/>
        <v>-152168.16386000003</v>
      </c>
      <c r="AE63" s="3">
        <f t="shared" si="86"/>
        <v>-1243.7875499999791</v>
      </c>
      <c r="AF63" t="s">
        <v>33</v>
      </c>
    </row>
    <row r="64" spans="1:32" x14ac:dyDescent="0.25">
      <c r="A64" t="s">
        <v>39</v>
      </c>
      <c r="B64" t="s">
        <v>26</v>
      </c>
      <c r="D64" s="10">
        <v>323248</v>
      </c>
      <c r="E64" s="10">
        <v>315515</v>
      </c>
      <c r="F64" s="10">
        <v>291703</v>
      </c>
      <c r="G64" s="10">
        <v>252262</v>
      </c>
      <c r="H64" s="10">
        <v>254230</v>
      </c>
      <c r="I64" s="10">
        <v>255255</v>
      </c>
      <c r="J64" s="10">
        <v>317721</v>
      </c>
      <c r="K64" s="10">
        <v>281615</v>
      </c>
      <c r="L64" s="10">
        <v>234844</v>
      </c>
      <c r="M64" s="10">
        <v>317511</v>
      </c>
      <c r="N64" s="10">
        <v>357316</v>
      </c>
      <c r="O64" s="10">
        <v>373888</v>
      </c>
      <c r="P64" s="2">
        <f t="shared" si="99"/>
        <v>3575108</v>
      </c>
      <c r="Q64" s="2"/>
      <c r="S64" s="3">
        <f t="shared" ref="S64:AD64" si="103">SUM(S23:S24)/SUM(D23:D24)*D64</f>
        <v>19462.762079999997</v>
      </c>
      <c r="T64" s="3">
        <f t="shared" si="103"/>
        <v>18997.158149999999</v>
      </c>
      <c r="U64" s="3">
        <f t="shared" si="103"/>
        <v>17563.437629999997</v>
      </c>
      <c r="V64" s="3">
        <f t="shared" si="103"/>
        <v>15188.695019999999</v>
      </c>
      <c r="W64" s="3">
        <f t="shared" si="103"/>
        <v>15307.1883</v>
      </c>
      <c r="X64" s="3">
        <f t="shared" si="103"/>
        <v>15368.903549999999</v>
      </c>
      <c r="Y64" s="3">
        <f t="shared" si="103"/>
        <v>19129.98141</v>
      </c>
      <c r="Z64" s="3">
        <f t="shared" si="103"/>
        <v>16956.039150000001</v>
      </c>
      <c r="AA64" s="3">
        <f t="shared" si="103"/>
        <v>14139.95724</v>
      </c>
      <c r="AB64" s="3">
        <f t="shared" si="103"/>
        <v>19117.337309999999</v>
      </c>
      <c r="AC64" s="20">
        <f t="shared" si="103"/>
        <v>21513.996359999997</v>
      </c>
      <c r="AD64" s="20">
        <f t="shared" si="103"/>
        <v>22511.796480000001</v>
      </c>
      <c r="AE64" s="3">
        <f t="shared" si="86"/>
        <v>215257.25267999995</v>
      </c>
      <c r="AF64" t="s">
        <v>30</v>
      </c>
    </row>
    <row r="65" spans="1:32" x14ac:dyDescent="0.25">
      <c r="B65" t="s">
        <v>27</v>
      </c>
      <c r="D65" s="10">
        <v>-321421</v>
      </c>
      <c r="E65" s="10">
        <v>-323248</v>
      </c>
      <c r="F65" s="10">
        <v>-315515</v>
      </c>
      <c r="G65" s="10">
        <v>-291703</v>
      </c>
      <c r="H65" s="10">
        <v>-252262</v>
      </c>
      <c r="I65" s="10">
        <v>-254230</v>
      </c>
      <c r="J65" s="10">
        <v>-255255</v>
      </c>
      <c r="K65" s="10">
        <v>-317721</v>
      </c>
      <c r="L65" s="10">
        <v>-281615</v>
      </c>
      <c r="M65" s="10">
        <v>-234844</v>
      </c>
      <c r="N65" s="10">
        <v>-317511</v>
      </c>
      <c r="O65" s="10">
        <v>-357316</v>
      </c>
      <c r="P65" s="2">
        <f t="shared" si="99"/>
        <v>-3522641</v>
      </c>
      <c r="Q65" s="2"/>
      <c r="S65" s="3">
        <f>SUM(S23:S24)/SUM(D23:D24)*D65</f>
        <v>-19352.758409999999</v>
      </c>
      <c r="T65" s="3">
        <f>-S64</f>
        <v>-19462.762079999997</v>
      </c>
      <c r="U65" s="3">
        <f t="shared" ref="U65:AD65" si="104">-T64</f>
        <v>-18997.158149999999</v>
      </c>
      <c r="V65" s="3">
        <f t="shared" si="104"/>
        <v>-17563.437629999997</v>
      </c>
      <c r="W65" s="3">
        <f t="shared" si="104"/>
        <v>-15188.695019999999</v>
      </c>
      <c r="X65" s="3">
        <f t="shared" si="104"/>
        <v>-15307.1883</v>
      </c>
      <c r="Y65" s="3">
        <f t="shared" si="104"/>
        <v>-15368.903549999999</v>
      </c>
      <c r="Z65" s="3">
        <f t="shared" si="104"/>
        <v>-19129.98141</v>
      </c>
      <c r="AA65" s="3">
        <f t="shared" si="104"/>
        <v>-16956.039150000001</v>
      </c>
      <c r="AB65" s="3">
        <f t="shared" si="104"/>
        <v>-14139.95724</v>
      </c>
      <c r="AC65" s="20">
        <f t="shared" si="104"/>
        <v>-19117.337309999999</v>
      </c>
      <c r="AD65" s="20">
        <f t="shared" si="104"/>
        <v>-21513.996359999997</v>
      </c>
      <c r="AE65" s="3">
        <f t="shared" si="86"/>
        <v>-212098.21460999997</v>
      </c>
      <c r="AF65" t="s">
        <v>31</v>
      </c>
    </row>
    <row r="66" spans="1:32" x14ac:dyDescent="0.25">
      <c r="B66" t="s">
        <v>25</v>
      </c>
      <c r="D66" s="6">
        <f>D64+D65</f>
        <v>1827</v>
      </c>
      <c r="E66" s="6">
        <f t="shared" ref="E66:O66" si="105">E64+E65</f>
        <v>-7733</v>
      </c>
      <c r="F66" s="6">
        <f t="shared" si="105"/>
        <v>-23812</v>
      </c>
      <c r="G66" s="6">
        <f t="shared" si="105"/>
        <v>-39441</v>
      </c>
      <c r="H66" s="6">
        <f t="shared" si="105"/>
        <v>1968</v>
      </c>
      <c r="I66" s="6">
        <f t="shared" si="105"/>
        <v>1025</v>
      </c>
      <c r="J66" s="6">
        <f t="shared" si="105"/>
        <v>62466</v>
      </c>
      <c r="K66" s="6">
        <f t="shared" si="105"/>
        <v>-36106</v>
      </c>
      <c r="L66" s="6">
        <f t="shared" si="105"/>
        <v>-46771</v>
      </c>
      <c r="M66" s="6">
        <f t="shared" si="105"/>
        <v>82667</v>
      </c>
      <c r="N66" s="16">
        <f t="shared" si="105"/>
        <v>39805</v>
      </c>
      <c r="O66" s="16">
        <f t="shared" si="105"/>
        <v>16572</v>
      </c>
      <c r="P66" s="2">
        <f t="shared" si="99"/>
        <v>52467</v>
      </c>
      <c r="Q66" s="2"/>
      <c r="R66" s="237">
        <f>ROUND(SUM(AE23:AE24)/SUM(P23:P24),5)</f>
        <v>6.021E-2</v>
      </c>
      <c r="S66" s="3">
        <f t="shared" ref="S66:AD66" si="106">$R66*D66</f>
        <v>110.00367</v>
      </c>
      <c r="T66" s="3">
        <f t="shared" si="106"/>
        <v>-465.60392999999999</v>
      </c>
      <c r="U66" s="3">
        <f t="shared" si="106"/>
        <v>-1433.7205200000001</v>
      </c>
      <c r="V66" s="3">
        <f t="shared" si="106"/>
        <v>-2374.7426099999998</v>
      </c>
      <c r="W66" s="3">
        <f t="shared" si="106"/>
        <v>118.49328</v>
      </c>
      <c r="X66" s="3">
        <f t="shared" si="106"/>
        <v>61.715249999999997</v>
      </c>
      <c r="Y66" s="3">
        <f t="shared" si="106"/>
        <v>3761.0778599999999</v>
      </c>
      <c r="Z66" s="3">
        <f t="shared" si="106"/>
        <v>-2173.9422599999998</v>
      </c>
      <c r="AA66" s="3">
        <f t="shared" si="106"/>
        <v>-2816.0819099999999</v>
      </c>
      <c r="AB66" s="3">
        <f t="shared" si="106"/>
        <v>4977.3800700000002</v>
      </c>
      <c r="AC66" s="20">
        <f t="shared" si="106"/>
        <v>2396.6590500000002</v>
      </c>
      <c r="AD66" s="20">
        <f t="shared" si="106"/>
        <v>997.80011999999999</v>
      </c>
      <c r="AE66" s="3">
        <f t="shared" si="86"/>
        <v>3159.0380700000014</v>
      </c>
      <c r="AF66" t="s">
        <v>33</v>
      </c>
    </row>
    <row r="67" spans="1:32" x14ac:dyDescent="0.25">
      <c r="A67" t="s">
        <v>40</v>
      </c>
      <c r="B67" t="s">
        <v>26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10"/>
      <c r="O67" s="10"/>
      <c r="P67" s="2">
        <f t="shared" si="99"/>
        <v>0</v>
      </c>
      <c r="Q67" s="2"/>
      <c r="S67" s="3">
        <f t="shared" ref="S67:AD67" si="107">SUM(S29:S30)/SUM(D29:D30)*D67</f>
        <v>0</v>
      </c>
      <c r="T67" s="3">
        <f t="shared" si="107"/>
        <v>0</v>
      </c>
      <c r="U67" s="3">
        <f t="shared" si="107"/>
        <v>0</v>
      </c>
      <c r="V67" s="3">
        <f t="shared" si="107"/>
        <v>0</v>
      </c>
      <c r="W67" s="3">
        <f t="shared" si="107"/>
        <v>0</v>
      </c>
      <c r="X67" s="3">
        <f t="shared" si="107"/>
        <v>0</v>
      </c>
      <c r="Y67" s="3">
        <f t="shared" si="107"/>
        <v>0</v>
      </c>
      <c r="Z67" s="3">
        <f t="shared" si="107"/>
        <v>0</v>
      </c>
      <c r="AA67" s="3">
        <f t="shared" si="107"/>
        <v>0</v>
      </c>
      <c r="AB67" s="3">
        <f t="shared" si="107"/>
        <v>0</v>
      </c>
      <c r="AC67" s="20">
        <f t="shared" si="107"/>
        <v>0</v>
      </c>
      <c r="AD67" s="20">
        <f t="shared" si="107"/>
        <v>0</v>
      </c>
      <c r="AE67" s="3">
        <f t="shared" si="86"/>
        <v>0</v>
      </c>
      <c r="AF67" t="s">
        <v>30</v>
      </c>
    </row>
    <row r="68" spans="1:32" x14ac:dyDescent="0.25">
      <c r="B68" t="s">
        <v>27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10"/>
      <c r="O68" s="10"/>
      <c r="P68" s="2">
        <f t="shared" si="99"/>
        <v>0</v>
      </c>
      <c r="Q68" s="2"/>
      <c r="S68" s="3">
        <f>SUM(S29:S30)/SUM(D29:D30)*D68</f>
        <v>0</v>
      </c>
      <c r="T68" s="3">
        <f>-S67</f>
        <v>0</v>
      </c>
      <c r="U68" s="3">
        <f t="shared" ref="U68:AD68" si="108">-T67</f>
        <v>0</v>
      </c>
      <c r="V68" s="3">
        <f t="shared" si="108"/>
        <v>0</v>
      </c>
      <c r="W68" s="3">
        <f t="shared" si="108"/>
        <v>0</v>
      </c>
      <c r="X68" s="3">
        <f t="shared" si="108"/>
        <v>0</v>
      </c>
      <c r="Y68" s="3">
        <f t="shared" si="108"/>
        <v>0</v>
      </c>
      <c r="Z68" s="3">
        <f t="shared" si="108"/>
        <v>0</v>
      </c>
      <c r="AA68" s="3">
        <f t="shared" si="108"/>
        <v>0</v>
      </c>
      <c r="AB68" s="3">
        <f t="shared" si="108"/>
        <v>0</v>
      </c>
      <c r="AC68" s="20">
        <f t="shared" si="108"/>
        <v>0</v>
      </c>
      <c r="AD68" s="20">
        <f t="shared" si="108"/>
        <v>0</v>
      </c>
      <c r="AE68" s="3">
        <f t="shared" si="86"/>
        <v>0</v>
      </c>
      <c r="AF68" t="s">
        <v>31</v>
      </c>
    </row>
    <row r="69" spans="1:32" x14ac:dyDescent="0.25">
      <c r="B69" t="s">
        <v>25</v>
      </c>
      <c r="D69" s="6">
        <f t="shared" ref="D69:O69" si="109">D67+D68</f>
        <v>0</v>
      </c>
      <c r="E69" s="6">
        <f t="shared" si="109"/>
        <v>0</v>
      </c>
      <c r="F69" s="6">
        <f t="shared" si="109"/>
        <v>0</v>
      </c>
      <c r="G69" s="6">
        <f t="shared" si="109"/>
        <v>0</v>
      </c>
      <c r="H69" s="6">
        <f t="shared" si="109"/>
        <v>0</v>
      </c>
      <c r="I69" s="6">
        <f t="shared" si="109"/>
        <v>0</v>
      </c>
      <c r="J69" s="6">
        <f t="shared" si="109"/>
        <v>0</v>
      </c>
      <c r="K69" s="6">
        <f t="shared" si="109"/>
        <v>0</v>
      </c>
      <c r="L69" s="6">
        <f t="shared" si="109"/>
        <v>0</v>
      </c>
      <c r="M69" s="6">
        <f t="shared" si="109"/>
        <v>0</v>
      </c>
      <c r="N69" s="16">
        <f t="shared" si="109"/>
        <v>0</v>
      </c>
      <c r="O69" s="16">
        <f t="shared" si="109"/>
        <v>0</v>
      </c>
      <c r="P69" s="2">
        <f t="shared" si="99"/>
        <v>0</v>
      </c>
      <c r="Q69" s="2"/>
      <c r="R69" s="237">
        <f>ROUND(SUM(AE29:AE30)/SUM(P29:P30),5)</f>
        <v>4.7660000000000001E-2</v>
      </c>
      <c r="S69" s="3">
        <f t="shared" ref="S69:AD69" si="110">$R69*D69</f>
        <v>0</v>
      </c>
      <c r="T69" s="3">
        <f t="shared" si="110"/>
        <v>0</v>
      </c>
      <c r="U69" s="3">
        <f t="shared" si="110"/>
        <v>0</v>
      </c>
      <c r="V69" s="3">
        <f t="shared" si="110"/>
        <v>0</v>
      </c>
      <c r="W69" s="3">
        <f t="shared" si="110"/>
        <v>0</v>
      </c>
      <c r="X69" s="3">
        <f t="shared" si="110"/>
        <v>0</v>
      </c>
      <c r="Y69" s="3">
        <f t="shared" si="110"/>
        <v>0</v>
      </c>
      <c r="Z69" s="3">
        <f t="shared" si="110"/>
        <v>0</v>
      </c>
      <c r="AA69" s="3">
        <f t="shared" si="110"/>
        <v>0</v>
      </c>
      <c r="AB69" s="3">
        <f t="shared" si="110"/>
        <v>0</v>
      </c>
      <c r="AC69" s="20">
        <f t="shared" si="110"/>
        <v>0</v>
      </c>
      <c r="AD69" s="20">
        <f t="shared" si="110"/>
        <v>0</v>
      </c>
      <c r="AE69" s="3">
        <f t="shared" si="86"/>
        <v>0</v>
      </c>
      <c r="AF69" t="s">
        <v>33</v>
      </c>
    </row>
    <row r="70" spans="1:32" x14ac:dyDescent="0.25">
      <c r="A70" t="s">
        <v>58</v>
      </c>
      <c r="B70" t="s">
        <v>26</v>
      </c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2"/>
      <c r="O70" s="152"/>
      <c r="P70" s="2">
        <f t="shared" si="99"/>
        <v>0</v>
      </c>
      <c r="Q70" s="2"/>
      <c r="S70" s="3">
        <f>SUM(S35:S35)/SUM(D35:D35)*D70</f>
        <v>0</v>
      </c>
      <c r="T70" s="3">
        <f t="shared" ref="T70:AD70" si="111">SUM(T35:T35)/SUM(E35:E35)*E70</f>
        <v>0</v>
      </c>
      <c r="U70" s="3">
        <f t="shared" si="111"/>
        <v>0</v>
      </c>
      <c r="V70" s="3">
        <f t="shared" si="111"/>
        <v>0</v>
      </c>
      <c r="W70" s="3">
        <f>SUM(W35:W35)/SUM(H35:H35+1)*H70</f>
        <v>0</v>
      </c>
      <c r="X70" s="3">
        <f t="shared" si="111"/>
        <v>0</v>
      </c>
      <c r="Y70" s="3">
        <f t="shared" si="111"/>
        <v>0</v>
      </c>
      <c r="Z70" s="3">
        <f t="shared" si="111"/>
        <v>0</v>
      </c>
      <c r="AA70" s="3">
        <f t="shared" si="111"/>
        <v>0</v>
      </c>
      <c r="AB70" s="3">
        <f t="shared" si="111"/>
        <v>0</v>
      </c>
      <c r="AC70" s="3">
        <f t="shared" si="111"/>
        <v>0</v>
      </c>
      <c r="AD70" s="3">
        <f t="shared" si="111"/>
        <v>0</v>
      </c>
      <c r="AE70" s="3">
        <f t="shared" si="86"/>
        <v>0</v>
      </c>
      <c r="AF70" t="s">
        <v>30</v>
      </c>
    </row>
    <row r="71" spans="1:32" x14ac:dyDescent="0.25">
      <c r="B71" s="14" t="s">
        <v>27</v>
      </c>
      <c r="C71" s="14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">
        <f t="shared" si="99"/>
        <v>0</v>
      </c>
      <c r="Q71" s="2"/>
      <c r="S71" s="3">
        <f>SUM(S35:S35)/SUM(D35:D35)*D71</f>
        <v>0</v>
      </c>
      <c r="T71" s="3">
        <f>-S70</f>
        <v>0</v>
      </c>
      <c r="U71" s="3">
        <f t="shared" ref="U71:AD71" si="112">-T70</f>
        <v>0</v>
      </c>
      <c r="V71" s="3">
        <f t="shared" si="112"/>
        <v>0</v>
      </c>
      <c r="W71" s="3">
        <f t="shared" si="112"/>
        <v>0</v>
      </c>
      <c r="X71" s="3">
        <f t="shared" si="112"/>
        <v>0</v>
      </c>
      <c r="Y71" s="3">
        <f t="shared" si="112"/>
        <v>0</v>
      </c>
      <c r="Z71" s="3">
        <f t="shared" si="112"/>
        <v>0</v>
      </c>
      <c r="AA71" s="3">
        <f t="shared" si="112"/>
        <v>0</v>
      </c>
      <c r="AB71" s="3">
        <f t="shared" si="112"/>
        <v>0</v>
      </c>
      <c r="AC71" s="3">
        <f t="shared" si="112"/>
        <v>0</v>
      </c>
      <c r="AD71" s="3">
        <f t="shared" si="112"/>
        <v>0</v>
      </c>
      <c r="AE71" s="3">
        <f t="shared" si="86"/>
        <v>0</v>
      </c>
      <c r="AF71" t="s">
        <v>31</v>
      </c>
    </row>
    <row r="72" spans="1:32" x14ac:dyDescent="0.25">
      <c r="B72" s="14" t="s">
        <v>25</v>
      </c>
      <c r="C72" s="14"/>
      <c r="D72" s="16">
        <f t="shared" ref="D72:O72" si="113">D70+D71</f>
        <v>0</v>
      </c>
      <c r="E72" s="16">
        <f t="shared" si="113"/>
        <v>0</v>
      </c>
      <c r="F72" s="16">
        <f t="shared" si="113"/>
        <v>0</v>
      </c>
      <c r="G72" s="16">
        <f t="shared" si="113"/>
        <v>0</v>
      </c>
      <c r="H72" s="16">
        <f t="shared" si="113"/>
        <v>0</v>
      </c>
      <c r="I72" s="16">
        <f t="shared" si="113"/>
        <v>0</v>
      </c>
      <c r="J72" s="16">
        <f t="shared" si="113"/>
        <v>0</v>
      </c>
      <c r="K72" s="16">
        <f t="shared" si="113"/>
        <v>0</v>
      </c>
      <c r="L72" s="16">
        <f t="shared" si="113"/>
        <v>0</v>
      </c>
      <c r="M72" s="16">
        <f t="shared" si="113"/>
        <v>0</v>
      </c>
      <c r="N72" s="16">
        <f t="shared" si="113"/>
        <v>0</v>
      </c>
      <c r="O72" s="16">
        <f t="shared" si="113"/>
        <v>0</v>
      </c>
      <c r="P72" s="15">
        <f t="shared" si="99"/>
        <v>0</v>
      </c>
      <c r="Q72" s="2"/>
      <c r="R72" s="237">
        <f>ROUND(SUM(AE35:AE35)/SUM(P35:P35),5)</f>
        <v>4.3950000000000003E-2</v>
      </c>
      <c r="S72" s="3">
        <f t="shared" ref="S72" si="114">$R72*D72</f>
        <v>0</v>
      </c>
      <c r="T72" s="3">
        <f t="shared" ref="T72" si="115">$R72*E72</f>
        <v>0</v>
      </c>
      <c r="U72" s="3">
        <f t="shared" ref="U72" si="116">$R72*F72</f>
        <v>0</v>
      </c>
      <c r="V72" s="3">
        <f t="shared" ref="V72" si="117">$R72*G72</f>
        <v>0</v>
      </c>
      <c r="W72" s="3">
        <f t="shared" ref="W72" si="118">$R72*H72</f>
        <v>0</v>
      </c>
      <c r="X72" s="3">
        <f t="shared" ref="X72" si="119">$R72*I72</f>
        <v>0</v>
      </c>
      <c r="Y72" s="3">
        <f t="shared" ref="Y72" si="120">$R72*J72</f>
        <v>0</v>
      </c>
      <c r="Z72" s="3">
        <f t="shared" ref="Z72" si="121">$R72*K72</f>
        <v>0</v>
      </c>
      <c r="AA72" s="3">
        <f t="shared" ref="AA72" si="122">$R72*L72</f>
        <v>0</v>
      </c>
      <c r="AB72" s="3">
        <f t="shared" ref="AB72" si="123">$R72*M72</f>
        <v>0</v>
      </c>
      <c r="AC72" s="3">
        <f t="shared" ref="AC72" si="124">$R72*N72</f>
        <v>0</v>
      </c>
      <c r="AD72" s="3">
        <f t="shared" ref="AD72" si="125">$R72*O72</f>
        <v>0</v>
      </c>
      <c r="AE72" s="3">
        <f t="shared" si="86"/>
        <v>0</v>
      </c>
      <c r="AF72" t="s">
        <v>33</v>
      </c>
    </row>
    <row r="73" spans="1:32" x14ac:dyDescent="0.25">
      <c r="A73" t="s">
        <v>285</v>
      </c>
      <c r="B73" s="14" t="s">
        <v>26</v>
      </c>
      <c r="C73" s="1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5">
        <f t="shared" si="99"/>
        <v>0</v>
      </c>
      <c r="Q73" s="2"/>
      <c r="R73" s="237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2" x14ac:dyDescent="0.25">
      <c r="B74" s="14" t="s">
        <v>27</v>
      </c>
      <c r="C74" s="14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5">
        <f t="shared" si="99"/>
        <v>0</v>
      </c>
      <c r="Q74" s="2"/>
      <c r="R74" s="237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2" x14ac:dyDescent="0.25">
      <c r="B75" s="14" t="s">
        <v>25</v>
      </c>
      <c r="C75" s="14"/>
      <c r="D75" s="16">
        <f t="shared" ref="D75:O75" si="126">D73+D74</f>
        <v>0</v>
      </c>
      <c r="E75" s="16">
        <f t="shared" si="126"/>
        <v>0</v>
      </c>
      <c r="F75" s="16">
        <f t="shared" si="126"/>
        <v>0</v>
      </c>
      <c r="G75" s="16">
        <f t="shared" si="126"/>
        <v>0</v>
      </c>
      <c r="H75" s="16">
        <f t="shared" si="126"/>
        <v>0</v>
      </c>
      <c r="I75" s="16">
        <f t="shared" si="126"/>
        <v>0</v>
      </c>
      <c r="J75" s="16">
        <f t="shared" si="126"/>
        <v>0</v>
      </c>
      <c r="K75" s="16">
        <f t="shared" si="126"/>
        <v>0</v>
      </c>
      <c r="L75" s="16">
        <f t="shared" si="126"/>
        <v>0</v>
      </c>
      <c r="M75" s="16">
        <f t="shared" si="126"/>
        <v>0</v>
      </c>
      <c r="N75" s="16">
        <f t="shared" si="126"/>
        <v>0</v>
      </c>
      <c r="O75" s="16">
        <f t="shared" si="126"/>
        <v>0</v>
      </c>
      <c r="P75" s="15">
        <f t="shared" si="99"/>
        <v>0</v>
      </c>
      <c r="Q75" s="2"/>
      <c r="R75" s="237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2" x14ac:dyDescent="0.25">
      <c r="A76" t="s">
        <v>41</v>
      </c>
      <c r="B76" s="14" t="s">
        <v>26</v>
      </c>
      <c r="C76" s="14"/>
      <c r="D76" s="10">
        <v>1442579</v>
      </c>
      <c r="E76" s="10">
        <v>1423692</v>
      </c>
      <c r="F76" s="10">
        <v>1464254</v>
      </c>
      <c r="G76" s="10">
        <v>1393735</v>
      </c>
      <c r="H76" s="10">
        <v>1833653</v>
      </c>
      <c r="I76" s="10">
        <v>2182937</v>
      </c>
      <c r="J76" s="10">
        <v>2956597</v>
      </c>
      <c r="K76" s="10">
        <v>3606357</v>
      </c>
      <c r="L76" s="10">
        <v>3131596</v>
      </c>
      <c r="M76" s="10">
        <v>3064631</v>
      </c>
      <c r="N76" s="10">
        <v>1878542</v>
      </c>
      <c r="O76" s="10">
        <v>1759673</v>
      </c>
      <c r="P76" s="15">
        <f t="shared" si="99"/>
        <v>26138246</v>
      </c>
      <c r="Q76" s="2"/>
      <c r="S76" s="3">
        <f t="shared" ref="S76:AD76" si="127">SUM(S41:S43)/SUM(D41:D43)*D76</f>
        <v>134312.15991685938</v>
      </c>
      <c r="T76" s="3">
        <f t="shared" si="127"/>
        <v>133341.4340751931</v>
      </c>
      <c r="U76" s="3">
        <f t="shared" si="127"/>
        <v>136876.87700053852</v>
      </c>
      <c r="V76" s="3">
        <f t="shared" si="127"/>
        <v>130210.42135147148</v>
      </c>
      <c r="W76" s="3">
        <f t="shared" si="127"/>
        <v>171346.67888908504</v>
      </c>
      <c r="X76" s="3">
        <f t="shared" si="127"/>
        <v>202983.20584630396</v>
      </c>
      <c r="Y76" s="3">
        <f t="shared" si="127"/>
        <v>274089.0608703469</v>
      </c>
      <c r="Z76" s="3">
        <f t="shared" si="127"/>
        <v>329212.49753295467</v>
      </c>
      <c r="AA76" s="3">
        <f t="shared" si="127"/>
        <v>285916.8388098682</v>
      </c>
      <c r="AB76" s="3">
        <f t="shared" si="127"/>
        <v>284810.10760499205</v>
      </c>
      <c r="AC76" s="20">
        <f t="shared" si="127"/>
        <v>176722.38916273951</v>
      </c>
      <c r="AD76" s="20">
        <f t="shared" si="127"/>
        <v>164300.99275222706</v>
      </c>
      <c r="AE76" s="3">
        <f t="shared" si="86"/>
        <v>2424122.6638125796</v>
      </c>
      <c r="AF76" t="s">
        <v>30</v>
      </c>
    </row>
    <row r="77" spans="1:32" x14ac:dyDescent="0.25">
      <c r="B77" s="14" t="s">
        <v>27</v>
      </c>
      <c r="C77" s="14"/>
      <c r="D77" s="10">
        <v>-1583253</v>
      </c>
      <c r="E77" s="10">
        <v>-1442579</v>
      </c>
      <c r="F77" s="10">
        <v>-1423692</v>
      </c>
      <c r="G77" s="10">
        <v>-1464254</v>
      </c>
      <c r="H77" s="10">
        <v>-1393735</v>
      </c>
      <c r="I77" s="10">
        <v>-1833653</v>
      </c>
      <c r="J77" s="10">
        <v>-2182937</v>
      </c>
      <c r="K77" s="10">
        <v>-2956597</v>
      </c>
      <c r="L77" s="10">
        <v>-3606357</v>
      </c>
      <c r="M77" s="10">
        <v>-3131596</v>
      </c>
      <c r="N77" s="10">
        <v>-3064631</v>
      </c>
      <c r="O77" s="10">
        <v>-1878542</v>
      </c>
      <c r="P77" s="15">
        <f t="shared" si="99"/>
        <v>-25961826</v>
      </c>
      <c r="Q77" s="2"/>
      <c r="S77" s="3">
        <f>SUM(S41:S43)/SUM(D41:D43)*D77</f>
        <v>-147409.69480690302</v>
      </c>
      <c r="T77" s="3">
        <f>-S76</f>
        <v>-134312.15991685938</v>
      </c>
      <c r="U77" s="3">
        <f t="shared" ref="U77:AD77" si="128">-T76</f>
        <v>-133341.4340751931</v>
      </c>
      <c r="V77" s="3">
        <f t="shared" si="128"/>
        <v>-136876.87700053852</v>
      </c>
      <c r="W77" s="3">
        <f t="shared" si="128"/>
        <v>-130210.42135147148</v>
      </c>
      <c r="X77" s="3">
        <f t="shared" si="128"/>
        <v>-171346.67888908504</v>
      </c>
      <c r="Y77" s="3">
        <f t="shared" si="128"/>
        <v>-202983.20584630396</v>
      </c>
      <c r="Z77" s="3">
        <f t="shared" si="128"/>
        <v>-274089.0608703469</v>
      </c>
      <c r="AA77" s="3">
        <f t="shared" si="128"/>
        <v>-329212.49753295467</v>
      </c>
      <c r="AB77" s="3">
        <f t="shared" si="128"/>
        <v>-285916.8388098682</v>
      </c>
      <c r="AC77" s="20">
        <f t="shared" si="128"/>
        <v>-284810.10760499205</v>
      </c>
      <c r="AD77" s="20">
        <f t="shared" si="128"/>
        <v>-176722.38916273951</v>
      </c>
      <c r="AE77" s="3">
        <f t="shared" si="86"/>
        <v>-2407231.3658672562</v>
      </c>
      <c r="AF77" t="s">
        <v>31</v>
      </c>
    </row>
    <row r="78" spans="1:32" x14ac:dyDescent="0.25">
      <c r="B78" s="14" t="s">
        <v>25</v>
      </c>
      <c r="C78" s="14"/>
      <c r="D78" s="16">
        <f t="shared" ref="D78:O78" si="129">D76+D77</f>
        <v>-140674</v>
      </c>
      <c r="E78" s="16">
        <f t="shared" si="129"/>
        <v>-18887</v>
      </c>
      <c r="F78" s="16">
        <f t="shared" si="129"/>
        <v>40562</v>
      </c>
      <c r="G78" s="16">
        <f t="shared" si="129"/>
        <v>-70519</v>
      </c>
      <c r="H78" s="16">
        <f t="shared" si="129"/>
        <v>439918</v>
      </c>
      <c r="I78" s="16">
        <f t="shared" si="129"/>
        <v>349284</v>
      </c>
      <c r="J78" s="16">
        <f t="shared" si="129"/>
        <v>773660</v>
      </c>
      <c r="K78" s="16">
        <f t="shared" si="129"/>
        <v>649760</v>
      </c>
      <c r="L78" s="16">
        <f t="shared" si="129"/>
        <v>-474761</v>
      </c>
      <c r="M78" s="16">
        <f t="shared" si="129"/>
        <v>-66965</v>
      </c>
      <c r="N78" s="16">
        <f t="shared" si="129"/>
        <v>-1186089</v>
      </c>
      <c r="O78" s="16">
        <f t="shared" si="129"/>
        <v>-118869</v>
      </c>
      <c r="P78" s="15">
        <f t="shared" si="99"/>
        <v>176420</v>
      </c>
      <c r="Q78" s="2"/>
      <c r="R78" s="237">
        <f>ROUND(SUM(AE41:AE43)/SUM(P41:P43),5)</f>
        <v>9.2689999999999995E-2</v>
      </c>
      <c r="S78" s="3">
        <f t="shared" ref="S78:AD78" si="130">$R78*D78</f>
        <v>-13039.073059999999</v>
      </c>
      <c r="T78" s="3">
        <f t="shared" si="130"/>
        <v>-1750.6360299999999</v>
      </c>
      <c r="U78" s="3">
        <f t="shared" si="130"/>
        <v>3759.6917799999997</v>
      </c>
      <c r="V78" s="3">
        <f t="shared" si="130"/>
        <v>-6536.4061099999999</v>
      </c>
      <c r="W78" s="3">
        <f t="shared" si="130"/>
        <v>40775.99942</v>
      </c>
      <c r="X78" s="3">
        <f t="shared" si="130"/>
        <v>32375.133959999999</v>
      </c>
      <c r="Y78" s="3">
        <f t="shared" si="130"/>
        <v>71710.545400000003</v>
      </c>
      <c r="Z78" s="3">
        <f t="shared" si="130"/>
        <v>60226.254399999998</v>
      </c>
      <c r="AA78" s="3">
        <f t="shared" si="130"/>
        <v>-44005.597089999996</v>
      </c>
      <c r="AB78" s="3">
        <f t="shared" si="130"/>
        <v>-6206.98585</v>
      </c>
      <c r="AC78" s="20">
        <f t="shared" si="130"/>
        <v>-109938.58941</v>
      </c>
      <c r="AD78" s="20">
        <f t="shared" si="130"/>
        <v>-11017.96761</v>
      </c>
      <c r="AE78" s="3">
        <f t="shared" si="86"/>
        <v>16352.369800000022</v>
      </c>
      <c r="AF78" t="s">
        <v>33</v>
      </c>
    </row>
    <row r="79" spans="1:32" x14ac:dyDescent="0.25">
      <c r="A79" t="s">
        <v>42</v>
      </c>
      <c r="B79" s="14" t="s">
        <v>26</v>
      </c>
      <c r="C79" s="14"/>
      <c r="D79" s="10">
        <v>97012</v>
      </c>
      <c r="E79" s="10">
        <v>89352</v>
      </c>
      <c r="F79" s="10">
        <v>88145</v>
      </c>
      <c r="G79" s="10">
        <v>82647</v>
      </c>
      <c r="H79" s="10">
        <v>100535</v>
      </c>
      <c r="I79" s="10">
        <v>111605</v>
      </c>
      <c r="J79" s="10">
        <v>166252</v>
      </c>
      <c r="K79" s="10">
        <v>191023</v>
      </c>
      <c r="L79" s="10">
        <v>142480</v>
      </c>
      <c r="M79" s="10">
        <v>136006</v>
      </c>
      <c r="N79" s="10">
        <v>119062</v>
      </c>
      <c r="O79" s="10">
        <v>121719</v>
      </c>
      <c r="P79" s="15">
        <f t="shared" si="99"/>
        <v>1445838</v>
      </c>
      <c r="Q79" s="2"/>
      <c r="S79" s="3">
        <f t="shared" ref="S79:AD79" si="131">SUM(S46:S48)/SUM(D46:D48)*D79</f>
        <v>9047.4886475839394</v>
      </c>
      <c r="T79" s="3">
        <f t="shared" si="131"/>
        <v>8347.1448081565359</v>
      </c>
      <c r="U79" s="3">
        <f t="shared" si="131"/>
        <v>8256.7404751082067</v>
      </c>
      <c r="V79" s="3">
        <f t="shared" si="131"/>
        <v>7766.5158000115944</v>
      </c>
      <c r="W79" s="3">
        <f t="shared" si="131"/>
        <v>9318.4128925581408</v>
      </c>
      <c r="X79" s="3">
        <f t="shared" si="131"/>
        <v>10572.266638302404</v>
      </c>
      <c r="Y79" s="3">
        <f t="shared" si="131"/>
        <v>15396.611655525578</v>
      </c>
      <c r="Z79" s="3">
        <f t="shared" si="131"/>
        <v>17105.383078872801</v>
      </c>
      <c r="AA79" s="3">
        <f t="shared" si="131"/>
        <v>13200.549954449329</v>
      </c>
      <c r="AB79" s="3">
        <f t="shared" si="131"/>
        <v>12925.144850946459</v>
      </c>
      <c r="AC79" s="20">
        <f t="shared" si="131"/>
        <v>11235.88815425766</v>
      </c>
      <c r="AD79" s="20">
        <f t="shared" si="131"/>
        <v>11311.156520372233</v>
      </c>
      <c r="AE79" s="3">
        <f t="shared" si="86"/>
        <v>134483.30347614485</v>
      </c>
      <c r="AF79" t="s">
        <v>30</v>
      </c>
    </row>
    <row r="80" spans="1:32" x14ac:dyDescent="0.25">
      <c r="B80" s="14" t="s">
        <v>27</v>
      </c>
      <c r="C80" s="14"/>
      <c r="D80" s="10">
        <v>-96665</v>
      </c>
      <c r="E80" s="10">
        <v>-97012</v>
      </c>
      <c r="F80" s="10">
        <v>-89352</v>
      </c>
      <c r="G80" s="10">
        <v>-88145</v>
      </c>
      <c r="H80" s="10">
        <v>-82647</v>
      </c>
      <c r="I80" s="10">
        <v>-100535</v>
      </c>
      <c r="J80" s="10">
        <v>-111605</v>
      </c>
      <c r="K80" s="10">
        <v>-166252</v>
      </c>
      <c r="L80" s="10">
        <v>-191023</v>
      </c>
      <c r="M80" s="10">
        <v>-142480</v>
      </c>
      <c r="N80" s="10">
        <v>-136006</v>
      </c>
      <c r="O80" s="10">
        <v>-119062</v>
      </c>
      <c r="P80" s="15">
        <f t="shared" si="99"/>
        <v>-1420784</v>
      </c>
      <c r="Q80" s="2"/>
      <c r="S80" s="3">
        <f>SUM(S46:S48)/SUM(D46:D48)*D80</f>
        <v>-9015.1268927421515</v>
      </c>
      <c r="T80" s="3">
        <f>-S79</f>
        <v>-9047.4886475839394</v>
      </c>
      <c r="U80" s="3">
        <f t="shared" ref="U80:AD80" si="132">-T79</f>
        <v>-8347.1448081565359</v>
      </c>
      <c r="V80" s="3">
        <f t="shared" si="132"/>
        <v>-8256.7404751082067</v>
      </c>
      <c r="W80" s="3">
        <f t="shared" si="132"/>
        <v>-7766.5158000115944</v>
      </c>
      <c r="X80" s="3">
        <f t="shared" si="132"/>
        <v>-9318.4128925581408</v>
      </c>
      <c r="Y80" s="3">
        <f t="shared" si="132"/>
        <v>-10572.266638302404</v>
      </c>
      <c r="Z80" s="3">
        <f t="shared" si="132"/>
        <v>-15396.611655525578</v>
      </c>
      <c r="AA80" s="3">
        <f t="shared" si="132"/>
        <v>-17105.383078872801</v>
      </c>
      <c r="AB80" s="3">
        <f t="shared" si="132"/>
        <v>-13200.549954449329</v>
      </c>
      <c r="AC80" s="20">
        <f t="shared" si="132"/>
        <v>-12925.144850946459</v>
      </c>
      <c r="AD80" s="20">
        <f t="shared" si="132"/>
        <v>-11235.88815425766</v>
      </c>
      <c r="AE80" s="3">
        <f t="shared" si="86"/>
        <v>-132187.27384851477</v>
      </c>
      <c r="AF80" t="s">
        <v>31</v>
      </c>
    </row>
    <row r="81" spans="1:34" x14ac:dyDescent="0.25">
      <c r="B81" s="14" t="s">
        <v>25</v>
      </c>
      <c r="C81" s="14"/>
      <c r="D81" s="16">
        <f t="shared" ref="D81:O81" si="133">D79+D80</f>
        <v>347</v>
      </c>
      <c r="E81" s="16">
        <f t="shared" si="133"/>
        <v>-7660</v>
      </c>
      <c r="F81" s="16">
        <f t="shared" si="133"/>
        <v>-1207</v>
      </c>
      <c r="G81" s="16">
        <f t="shared" si="133"/>
        <v>-5498</v>
      </c>
      <c r="H81" s="16">
        <f t="shared" si="133"/>
        <v>17888</v>
      </c>
      <c r="I81" s="16">
        <f t="shared" si="133"/>
        <v>11070</v>
      </c>
      <c r="J81" s="16">
        <f t="shared" si="133"/>
        <v>54647</v>
      </c>
      <c r="K81" s="16">
        <f t="shared" si="133"/>
        <v>24771</v>
      </c>
      <c r="L81" s="16">
        <f t="shared" si="133"/>
        <v>-48543</v>
      </c>
      <c r="M81" s="16">
        <f t="shared" si="133"/>
        <v>-6474</v>
      </c>
      <c r="N81" s="16">
        <f t="shared" si="133"/>
        <v>-16944</v>
      </c>
      <c r="O81" s="16">
        <f t="shared" si="133"/>
        <v>2657</v>
      </c>
      <c r="P81" s="15">
        <f t="shared" si="99"/>
        <v>25054</v>
      </c>
      <c r="Q81" s="2"/>
      <c r="R81" s="237">
        <f>ROUND(SUM(AE46:AE48)/SUM(P46:P48),5)</f>
        <v>9.2509999999999995E-2</v>
      </c>
      <c r="S81" s="3">
        <f t="shared" ref="S81:AD81" si="134">$R81*D81</f>
        <v>32.100969999999997</v>
      </c>
      <c r="T81" s="3">
        <f t="shared" si="134"/>
        <v>-708.62659999999994</v>
      </c>
      <c r="U81" s="3">
        <f t="shared" si="134"/>
        <v>-111.65956999999999</v>
      </c>
      <c r="V81" s="3">
        <f t="shared" si="134"/>
        <v>-508.61998</v>
      </c>
      <c r="W81" s="3">
        <f t="shared" si="134"/>
        <v>1654.8188799999998</v>
      </c>
      <c r="X81" s="3">
        <f t="shared" si="134"/>
        <v>1024.0856999999999</v>
      </c>
      <c r="Y81" s="3">
        <f t="shared" si="134"/>
        <v>5055.3939700000001</v>
      </c>
      <c r="Z81" s="3">
        <f t="shared" si="134"/>
        <v>2291.5652099999998</v>
      </c>
      <c r="AA81" s="3">
        <f t="shared" si="134"/>
        <v>-4490.7129299999997</v>
      </c>
      <c r="AB81" s="3">
        <f t="shared" si="134"/>
        <v>-598.90973999999994</v>
      </c>
      <c r="AC81" s="20">
        <f t="shared" si="134"/>
        <v>-1567.4894399999998</v>
      </c>
      <c r="AD81" s="20">
        <f t="shared" si="134"/>
        <v>245.79907</v>
      </c>
      <c r="AE81" s="3">
        <f t="shared" si="86"/>
        <v>2317.7455400000013</v>
      </c>
      <c r="AF81" t="s">
        <v>33</v>
      </c>
    </row>
    <row r="82" spans="1:34" x14ac:dyDescent="0.25">
      <c r="B82" s="14"/>
      <c r="C82" s="14"/>
      <c r="D82" s="16">
        <f>D54+D57+D60+D63+D66+D69+D72+D78+D81</f>
        <v>-3694317</v>
      </c>
      <c r="E82" s="16">
        <f t="shared" ref="E82:O82" si="135">E54+E57+E60+E63+E66+E69+E72+E78+E81</f>
        <v>-7307501</v>
      </c>
      <c r="F82" s="16">
        <f t="shared" si="135"/>
        <v>-1647417</v>
      </c>
      <c r="G82" s="16">
        <f t="shared" si="135"/>
        <v>-11720434</v>
      </c>
      <c r="H82" s="16">
        <f t="shared" si="135"/>
        <v>1014904</v>
      </c>
      <c r="I82" s="16">
        <f t="shared" si="135"/>
        <v>2787791</v>
      </c>
      <c r="J82" s="16">
        <f t="shared" si="135"/>
        <v>17800769</v>
      </c>
      <c r="K82" s="16">
        <f t="shared" si="135"/>
        <v>-6152189</v>
      </c>
      <c r="L82" s="16">
        <f t="shared" si="135"/>
        <v>-19230062</v>
      </c>
      <c r="M82" s="16">
        <f t="shared" si="135"/>
        <v>18469066</v>
      </c>
      <c r="N82" s="16">
        <f t="shared" si="135"/>
        <v>20141348</v>
      </c>
      <c r="O82" s="16">
        <f t="shared" si="135"/>
        <v>1003227</v>
      </c>
      <c r="P82" s="15">
        <f t="shared" si="99"/>
        <v>11465185</v>
      </c>
    </row>
    <row r="83" spans="1:34" x14ac:dyDescent="0.25">
      <c r="A83" t="s">
        <v>34</v>
      </c>
      <c r="B83" s="14" t="s">
        <v>28</v>
      </c>
      <c r="C83" s="14"/>
      <c r="D83" s="10">
        <v>9749195</v>
      </c>
      <c r="E83" s="10">
        <v>3227019</v>
      </c>
      <c r="F83" s="10">
        <v>-2068174</v>
      </c>
      <c r="G83" s="10">
        <v>1534059</v>
      </c>
      <c r="H83" s="10">
        <v>655170</v>
      </c>
      <c r="I83" s="10">
        <v>408097</v>
      </c>
      <c r="J83" s="10">
        <v>507648</v>
      </c>
      <c r="K83" s="10">
        <v>-4580714</v>
      </c>
      <c r="L83" s="10">
        <v>-3063669</v>
      </c>
      <c r="M83" s="10">
        <v>494650</v>
      </c>
      <c r="N83" s="10">
        <v>2002500</v>
      </c>
      <c r="O83" s="10">
        <v>7099120</v>
      </c>
      <c r="P83" s="15">
        <f t="shared" si="99"/>
        <v>15964901</v>
      </c>
      <c r="Q83" s="2"/>
      <c r="R83" s="237">
        <f>ROUND((Q4*R4+Q5*R5)/SUM(Q4:Q5),5)</f>
        <v>9.6350000000000005E-2</v>
      </c>
      <c r="S83" s="3">
        <f t="shared" ref="S83:AD85" si="136">$R83*D83</f>
        <v>939334.93825000001</v>
      </c>
      <c r="T83" s="3">
        <f t="shared" si="136"/>
        <v>310923.28065000003</v>
      </c>
      <c r="U83" s="3">
        <f t="shared" si="136"/>
        <v>-199268.5649</v>
      </c>
      <c r="V83" s="3">
        <f t="shared" si="136"/>
        <v>147806.58465</v>
      </c>
      <c r="W83" s="3">
        <f t="shared" si="136"/>
        <v>63125.629500000003</v>
      </c>
      <c r="X83" s="3">
        <f t="shared" si="136"/>
        <v>39320.145950000006</v>
      </c>
      <c r="Y83" s="3">
        <f t="shared" si="136"/>
        <v>48911.8848</v>
      </c>
      <c r="Z83" s="3">
        <f t="shared" si="136"/>
        <v>-441351.79390000005</v>
      </c>
      <c r="AA83" s="3">
        <f t="shared" si="136"/>
        <v>-295184.50815000001</v>
      </c>
      <c r="AB83" s="3">
        <f t="shared" si="136"/>
        <v>47659.527500000004</v>
      </c>
      <c r="AC83" s="20">
        <f t="shared" si="136"/>
        <v>192940.875</v>
      </c>
      <c r="AD83" s="20">
        <f t="shared" si="136"/>
        <v>684000.21200000006</v>
      </c>
      <c r="AE83" s="3">
        <f t="shared" si="86"/>
        <v>1538218.2113500005</v>
      </c>
    </row>
    <row r="84" spans="1:34" x14ac:dyDescent="0.25">
      <c r="A84" t="s">
        <v>36</v>
      </c>
      <c r="B84" s="14" t="s">
        <v>28</v>
      </c>
      <c r="C84" s="14"/>
      <c r="D84" s="10">
        <v>1487073</v>
      </c>
      <c r="E84" s="10">
        <v>489744</v>
      </c>
      <c r="F84" s="10">
        <v>-316097</v>
      </c>
      <c r="G84" s="10">
        <v>159456</v>
      </c>
      <c r="H84" s="10">
        <v>103745</v>
      </c>
      <c r="I84" s="10">
        <v>79026</v>
      </c>
      <c r="J84" s="10">
        <v>89361</v>
      </c>
      <c r="K84" s="10">
        <v>-806143</v>
      </c>
      <c r="L84" s="10">
        <v>-538127</v>
      </c>
      <c r="M84" s="10">
        <v>33577</v>
      </c>
      <c r="N84" s="10">
        <v>209213</v>
      </c>
      <c r="O84" s="10">
        <v>1089088</v>
      </c>
      <c r="P84" s="15">
        <f t="shared" si="99"/>
        <v>2079916</v>
      </c>
      <c r="Q84" s="2"/>
      <c r="R84" s="237">
        <f>ROUND((Q7*R7+Q8*R8)/SUM(Q7:Q8),5)</f>
        <v>6.794E-2</v>
      </c>
      <c r="S84" s="3">
        <f t="shared" si="136"/>
        <v>101031.73962000001</v>
      </c>
      <c r="T84" s="3">
        <f t="shared" si="136"/>
        <v>33273.20736</v>
      </c>
      <c r="U84" s="3">
        <f t="shared" si="136"/>
        <v>-21475.63018</v>
      </c>
      <c r="V84" s="3">
        <f t="shared" si="136"/>
        <v>10833.440640000001</v>
      </c>
      <c r="W84" s="3">
        <f t="shared" si="136"/>
        <v>7048.4353000000001</v>
      </c>
      <c r="X84" s="3">
        <f t="shared" si="136"/>
        <v>5369.0264399999996</v>
      </c>
      <c r="Y84" s="3">
        <f t="shared" si="136"/>
        <v>6071.1863400000002</v>
      </c>
      <c r="Z84" s="3">
        <f t="shared" si="136"/>
        <v>-54769.35542</v>
      </c>
      <c r="AA84" s="3">
        <f t="shared" si="136"/>
        <v>-36560.348380000003</v>
      </c>
      <c r="AB84" s="3">
        <f t="shared" si="136"/>
        <v>2281.22138</v>
      </c>
      <c r="AC84" s="20">
        <f t="shared" si="136"/>
        <v>14213.93122</v>
      </c>
      <c r="AD84" s="20">
        <f t="shared" si="136"/>
        <v>73992.638720000003</v>
      </c>
      <c r="AE84" s="3">
        <f t="shared" si="86"/>
        <v>141309.49303999997</v>
      </c>
    </row>
    <row r="85" spans="1:34" x14ac:dyDescent="0.25">
      <c r="A85" t="s">
        <v>43</v>
      </c>
      <c r="B85" s="14" t="s">
        <v>28</v>
      </c>
      <c r="C85" s="14"/>
      <c r="D85" s="10">
        <v>751413</v>
      </c>
      <c r="E85" s="10">
        <v>249243</v>
      </c>
      <c r="F85" s="10">
        <v>-160344</v>
      </c>
      <c r="G85" s="10">
        <v>4708</v>
      </c>
      <c r="H85" s="10">
        <v>72571</v>
      </c>
      <c r="I85" s="10">
        <v>69213</v>
      </c>
      <c r="J85" s="10">
        <v>68654</v>
      </c>
      <c r="K85" s="10">
        <v>-611414</v>
      </c>
      <c r="L85" s="10">
        <v>-406837</v>
      </c>
      <c r="M85" s="10">
        <v>-31637</v>
      </c>
      <c r="N85" s="10">
        <v>6075</v>
      </c>
      <c r="O85" s="10">
        <v>459758</v>
      </c>
      <c r="P85" s="15">
        <f t="shared" si="99"/>
        <v>471403</v>
      </c>
      <c r="Q85" s="2"/>
      <c r="R85" s="237">
        <f>ROUND((Q17*R17+Q18*R18)/SUM(Q17:Q18),5)</f>
        <v>5.4149999999999997E-2</v>
      </c>
      <c r="S85" s="3">
        <f t="shared" si="136"/>
        <v>40689.01395</v>
      </c>
      <c r="T85" s="3">
        <f t="shared" si="136"/>
        <v>13496.508449999999</v>
      </c>
      <c r="U85" s="3">
        <f t="shared" si="136"/>
        <v>-8682.6275999999998</v>
      </c>
      <c r="V85" s="3">
        <f t="shared" si="136"/>
        <v>254.93819999999999</v>
      </c>
      <c r="W85" s="3">
        <f t="shared" si="136"/>
        <v>3929.7196499999995</v>
      </c>
      <c r="X85" s="3">
        <f t="shared" si="136"/>
        <v>3747.8839499999999</v>
      </c>
      <c r="Y85" s="3">
        <f t="shared" si="136"/>
        <v>3717.6140999999998</v>
      </c>
      <c r="Z85" s="3">
        <f t="shared" si="136"/>
        <v>-33108.068099999997</v>
      </c>
      <c r="AA85" s="3">
        <f t="shared" si="136"/>
        <v>-22030.223549999999</v>
      </c>
      <c r="AB85" s="3">
        <f t="shared" si="136"/>
        <v>-1713.14355</v>
      </c>
      <c r="AC85" s="20">
        <f t="shared" si="136"/>
        <v>328.96125000000001</v>
      </c>
      <c r="AD85" s="20">
        <f t="shared" si="136"/>
        <v>24895.895699999997</v>
      </c>
      <c r="AE85" s="3">
        <f t="shared" si="86"/>
        <v>25526.472450000001</v>
      </c>
    </row>
    <row r="86" spans="1:34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P86" s="14"/>
    </row>
    <row r="87" spans="1:34" x14ac:dyDescent="0.25">
      <c r="A87" t="s">
        <v>45</v>
      </c>
      <c r="B87" s="14"/>
      <c r="C87" s="14" t="s">
        <v>53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P87" s="14"/>
    </row>
    <row r="88" spans="1:34" x14ac:dyDescent="0.25">
      <c r="A88" t="s">
        <v>46</v>
      </c>
      <c r="B88" s="14"/>
      <c r="C88" s="14"/>
      <c r="D88" s="15">
        <f t="shared" ref="D88:O88" si="137">SUM(D4:D5)+D54+D83</f>
        <v>141726527.57297</v>
      </c>
      <c r="E88" s="15">
        <f t="shared" si="137"/>
        <v>115888015.28200001</v>
      </c>
      <c r="F88" s="15">
        <f t="shared" si="137"/>
        <v>106859489.51699999</v>
      </c>
      <c r="G88" s="15">
        <f t="shared" si="137"/>
        <v>99901376.101999998</v>
      </c>
      <c r="H88" s="15">
        <f t="shared" si="137"/>
        <v>80447543.541999996</v>
      </c>
      <c r="I88" s="15">
        <f t="shared" si="137"/>
        <v>78990775.178000003</v>
      </c>
      <c r="J88" s="15">
        <f t="shared" si="137"/>
        <v>93420557.840000004</v>
      </c>
      <c r="K88" s="15">
        <f t="shared" si="137"/>
        <v>90154848.741999999</v>
      </c>
      <c r="L88" s="15">
        <f t="shared" si="137"/>
        <v>70663566.342999995</v>
      </c>
      <c r="M88" s="15">
        <f t="shared" si="137"/>
        <v>88398353.728</v>
      </c>
      <c r="N88" s="15">
        <f t="shared" si="137"/>
        <v>121733875.612</v>
      </c>
      <c r="O88" s="15">
        <f t="shared" si="137"/>
        <v>145938769.63600001</v>
      </c>
      <c r="P88" s="16">
        <f>SUM(D88:O88)</f>
        <v>1234123699.09497</v>
      </c>
      <c r="Q88" s="2"/>
      <c r="S88" s="3">
        <f>SUM(S3:S5)+S54+S83</f>
        <v>13702228.428348418</v>
      </c>
      <c r="T88" s="3">
        <f t="shared" ref="T88:AD88" si="138">SUM(T3:T5)+T54+T83</f>
        <v>11259495.47003339</v>
      </c>
      <c r="U88" s="3">
        <f t="shared" si="138"/>
        <v>10372572.656746959</v>
      </c>
      <c r="V88" s="3">
        <f t="shared" si="138"/>
        <v>9731082.6187677514</v>
      </c>
      <c r="W88" s="3">
        <f t="shared" si="138"/>
        <v>7867585.2722541504</v>
      </c>
      <c r="X88" s="3">
        <f t="shared" si="138"/>
        <v>7721641.65662413</v>
      </c>
      <c r="Y88" s="3">
        <f t="shared" si="138"/>
        <v>9047129.4534550905</v>
      </c>
      <c r="Z88" s="3">
        <f t="shared" si="138"/>
        <v>8778628.8864445612</v>
      </c>
      <c r="AA88" s="3">
        <f t="shared" si="138"/>
        <v>6973868.3336824104</v>
      </c>
      <c r="AB88" s="3">
        <f t="shared" si="138"/>
        <v>8561897.5408508796</v>
      </c>
      <c r="AC88" s="20">
        <f t="shared" si="138"/>
        <v>11702539.11818672</v>
      </c>
      <c r="AD88" s="20">
        <f t="shared" si="138"/>
        <v>14079452.678607941</v>
      </c>
      <c r="AE88" s="3">
        <f>SUM(S88:AD88)</f>
        <v>119798122.11400241</v>
      </c>
      <c r="AF88" s="3">
        <f>AE88</f>
        <v>119798122.11400241</v>
      </c>
      <c r="AH88" t="s">
        <v>109</v>
      </c>
    </row>
    <row r="89" spans="1:34" x14ac:dyDescent="0.25">
      <c r="A89" t="s">
        <v>47</v>
      </c>
      <c r="B89" s="14"/>
      <c r="C89" s="14"/>
      <c r="D89" s="15">
        <f t="shared" ref="D89:O89" si="139">SUM(D7:D8,D12:D13)+D57+D60+D84</f>
        <v>40121996.502999999</v>
      </c>
      <c r="E89" s="15">
        <f t="shared" si="139"/>
        <v>35694026.181000002</v>
      </c>
      <c r="F89" s="15">
        <f t="shared" si="139"/>
        <v>32903962.472000003</v>
      </c>
      <c r="G89" s="15">
        <f t="shared" si="139"/>
        <v>27703924.123</v>
      </c>
      <c r="H89" s="15">
        <f t="shared" si="139"/>
        <v>27073060.381000001</v>
      </c>
      <c r="I89" s="15">
        <f t="shared" si="139"/>
        <v>30755557.063999999</v>
      </c>
      <c r="J89" s="15">
        <f t="shared" si="139"/>
        <v>35309024.560000002</v>
      </c>
      <c r="K89" s="15">
        <f t="shared" si="139"/>
        <v>33064531.825000003</v>
      </c>
      <c r="L89" s="15">
        <f t="shared" si="139"/>
        <v>35951727.765000001</v>
      </c>
      <c r="M89" s="15">
        <f t="shared" si="139"/>
        <v>25474006.135000002</v>
      </c>
      <c r="N89" s="15">
        <f t="shared" si="139"/>
        <v>38814883.779999994</v>
      </c>
      <c r="O89" s="15">
        <f t="shared" si="139"/>
        <v>41570935.171000004</v>
      </c>
      <c r="P89" s="16">
        <f t="shared" ref="P89:P95" si="140">SUM(D89:O89)</f>
        <v>404437635.95999998</v>
      </c>
      <c r="Q89" s="2"/>
      <c r="S89" s="3">
        <f t="shared" ref="S89:AD89" si="141">SUM(S6:S15)+S57+S60+S84</f>
        <v>3836273.6514332392</v>
      </c>
      <c r="T89" s="3">
        <f t="shared" si="141"/>
        <v>3488976.060406249</v>
      </c>
      <c r="U89" s="3">
        <f t="shared" si="141"/>
        <v>3273560.3892708286</v>
      </c>
      <c r="V89" s="3">
        <f t="shared" si="141"/>
        <v>2815114.0449850238</v>
      </c>
      <c r="W89" s="3">
        <f t="shared" si="141"/>
        <v>2747432.2483052528</v>
      </c>
      <c r="X89" s="3">
        <f t="shared" si="141"/>
        <v>3072514.6323455791</v>
      </c>
      <c r="Y89" s="3">
        <f t="shared" si="141"/>
        <v>3447372.1586982836</v>
      </c>
      <c r="Z89" s="3">
        <f t="shared" si="141"/>
        <v>3264592.2200872693</v>
      </c>
      <c r="AA89" s="3">
        <f t="shared" si="141"/>
        <v>3447351.0864648982</v>
      </c>
      <c r="AB89" s="3">
        <f t="shared" si="141"/>
        <v>2714381.2414118554</v>
      </c>
      <c r="AC89" s="20">
        <f t="shared" si="141"/>
        <v>3793381.9718094207</v>
      </c>
      <c r="AD89" s="20">
        <f t="shared" si="141"/>
        <v>3955931.6625036281</v>
      </c>
      <c r="AE89" s="3">
        <f t="shared" ref="AE89:AE95" si="142">SUM(S89:AD89)</f>
        <v>39856881.367721528</v>
      </c>
    </row>
    <row r="90" spans="1:34" x14ac:dyDescent="0.25">
      <c r="A90" t="s">
        <v>48</v>
      </c>
      <c r="B90" s="14"/>
      <c r="C90" s="14"/>
      <c r="D90" s="15">
        <f t="shared" ref="D90:O90" si="143">SUM(D17:D18,D23:D24)+D63+D66+D85</f>
        <v>51335524.799999997</v>
      </c>
      <c r="E90" s="15">
        <f t="shared" si="143"/>
        <v>52296935.600000001</v>
      </c>
      <c r="F90" s="15">
        <f t="shared" si="143"/>
        <v>51173153.799999997</v>
      </c>
      <c r="G90" s="15">
        <f t="shared" si="143"/>
        <v>43879148.399999999</v>
      </c>
      <c r="H90" s="15">
        <f t="shared" si="143"/>
        <v>43520030</v>
      </c>
      <c r="I90" s="15">
        <f t="shared" si="143"/>
        <v>46221641.43</v>
      </c>
      <c r="J90" s="15">
        <f t="shared" si="143"/>
        <v>50547993.600000001</v>
      </c>
      <c r="K90" s="15">
        <f t="shared" si="143"/>
        <v>45924090.799999997</v>
      </c>
      <c r="L90" s="15">
        <f t="shared" si="143"/>
        <v>44260391.399999999</v>
      </c>
      <c r="M90" s="15">
        <f t="shared" si="143"/>
        <v>53075982.200000003</v>
      </c>
      <c r="N90" s="15">
        <f t="shared" si="143"/>
        <v>46794355.399999999</v>
      </c>
      <c r="O90" s="15">
        <f t="shared" si="143"/>
        <v>50644667.200000003</v>
      </c>
      <c r="P90" s="16">
        <f t="shared" si="140"/>
        <v>579673914.63</v>
      </c>
      <c r="Q90" s="2"/>
      <c r="S90" s="3">
        <f t="shared" ref="S90:AD90" si="144">SUM(S16:S27)+S63+S66+S85</f>
        <v>4151908.7419159999</v>
      </c>
      <c r="T90" s="3">
        <f t="shared" si="144"/>
        <v>4224172.7743519992</v>
      </c>
      <c r="U90" s="3">
        <f t="shared" si="144"/>
        <v>4163145.2869060007</v>
      </c>
      <c r="V90" s="3">
        <f t="shared" si="144"/>
        <v>3674236.826748</v>
      </c>
      <c r="W90" s="3">
        <f t="shared" si="144"/>
        <v>3554854.4641999998</v>
      </c>
      <c r="X90" s="3">
        <f t="shared" si="144"/>
        <v>3771008.0510451007</v>
      </c>
      <c r="Y90" s="3">
        <f t="shared" si="144"/>
        <v>4024586.8371120002</v>
      </c>
      <c r="Z90" s="3">
        <f t="shared" si="144"/>
        <v>3767900.8414759999</v>
      </c>
      <c r="AA90" s="3">
        <f t="shared" si="144"/>
        <v>3679620.9979980001</v>
      </c>
      <c r="AB90" s="3">
        <f t="shared" si="144"/>
        <v>4200500.426674</v>
      </c>
      <c r="AC90" s="20">
        <f t="shared" si="144"/>
        <v>3820044.5511179995</v>
      </c>
      <c r="AD90" s="20">
        <f t="shared" si="144"/>
        <v>4036208.3565840009</v>
      </c>
      <c r="AE90" s="3">
        <f t="shared" si="142"/>
        <v>47068188.156129099</v>
      </c>
      <c r="AF90" s="3">
        <f>AE89+AE90+AE94</f>
        <v>92590512.211264774</v>
      </c>
      <c r="AH90" t="s">
        <v>110</v>
      </c>
    </row>
    <row r="91" spans="1:34" x14ac:dyDescent="0.25">
      <c r="A91" t="s">
        <v>49</v>
      </c>
      <c r="B91" s="14"/>
      <c r="C91" s="14"/>
      <c r="D91" s="15">
        <f t="shared" ref="D91:O91" si="145">SUM(D29:D30)+D69</f>
        <v>27739144.160000004</v>
      </c>
      <c r="E91" s="15">
        <f t="shared" si="145"/>
        <v>26114251.850000001</v>
      </c>
      <c r="F91" s="15">
        <f t="shared" si="145"/>
        <v>27633923.990000002</v>
      </c>
      <c r="G91" s="15">
        <f t="shared" si="145"/>
        <v>25802164.089999996</v>
      </c>
      <c r="H91" s="15">
        <f t="shared" si="145"/>
        <v>25029523.640000001</v>
      </c>
      <c r="I91" s="15">
        <f t="shared" si="145"/>
        <v>24676992.609999999</v>
      </c>
      <c r="J91" s="15">
        <f t="shared" si="145"/>
        <v>25470885.170000002</v>
      </c>
      <c r="K91" s="15">
        <f t="shared" si="145"/>
        <v>25961908.239999998</v>
      </c>
      <c r="L91" s="15">
        <f t="shared" si="145"/>
        <v>24286387.700000003</v>
      </c>
      <c r="M91" s="15">
        <f t="shared" si="145"/>
        <v>26943892.889999997</v>
      </c>
      <c r="N91" s="15">
        <f t="shared" si="145"/>
        <v>24885078.810000002</v>
      </c>
      <c r="O91" s="15">
        <f t="shared" si="145"/>
        <v>25497042.370000005</v>
      </c>
      <c r="P91" s="16">
        <f t="shared" si="140"/>
        <v>310041195.51999998</v>
      </c>
      <c r="Q91" s="2"/>
      <c r="S91" s="3">
        <f t="shared" ref="S91:AD91" si="146">SUM(S28:S33)+S69</f>
        <v>1600702.4776352001</v>
      </c>
      <c r="T91" s="3">
        <f t="shared" si="146"/>
        <v>1528318.9507444999</v>
      </c>
      <c r="U91" s="3">
        <f t="shared" si="146"/>
        <v>1595293.5926203001</v>
      </c>
      <c r="V91" s="3">
        <f t="shared" si="146"/>
        <v>1507997.4082173</v>
      </c>
      <c r="W91" s="3">
        <f t="shared" si="146"/>
        <v>1452624.3601307997</v>
      </c>
      <c r="X91" s="3">
        <f t="shared" si="146"/>
        <v>1438511.7664816999</v>
      </c>
      <c r="Y91" s="3">
        <f t="shared" si="146"/>
        <v>1479785.8254649001</v>
      </c>
      <c r="Z91" s="3">
        <f t="shared" si="146"/>
        <v>1503053.4251927999</v>
      </c>
      <c r="AA91" s="3">
        <f t="shared" si="146"/>
        <v>1431842.931169</v>
      </c>
      <c r="AB91" s="3">
        <f t="shared" si="146"/>
        <v>1554126.8425533001</v>
      </c>
      <c r="AC91" s="20">
        <f t="shared" si="146"/>
        <v>1458872.1880957</v>
      </c>
      <c r="AD91" s="20">
        <f t="shared" si="146"/>
        <v>1482456.1191489003</v>
      </c>
      <c r="AE91" s="3">
        <f t="shared" si="142"/>
        <v>18033585.887454398</v>
      </c>
    </row>
    <row r="92" spans="1:34" x14ac:dyDescent="0.25">
      <c r="A92" t="s">
        <v>59</v>
      </c>
      <c r="B92" s="14"/>
      <c r="C92" s="14"/>
      <c r="D92" s="15">
        <f>SUM(D35,D72)</f>
        <v>35210010</v>
      </c>
      <c r="E92" s="15">
        <f t="shared" ref="E92:O92" si="147">SUM(E35,E72)</f>
        <v>30823170</v>
      </c>
      <c r="F92" s="15">
        <f t="shared" si="147"/>
        <v>35740380</v>
      </c>
      <c r="G92" s="15">
        <f t="shared" si="147"/>
        <v>31016760</v>
      </c>
      <c r="H92" s="15">
        <f t="shared" si="147"/>
        <v>32290770</v>
      </c>
      <c r="I92" s="15">
        <f t="shared" si="147"/>
        <v>29648650</v>
      </c>
      <c r="J92" s="15">
        <f t="shared" si="147"/>
        <v>32657540</v>
      </c>
      <c r="K92" s="15">
        <f t="shared" si="147"/>
        <v>39269540</v>
      </c>
      <c r="L92" s="15">
        <f t="shared" si="147"/>
        <v>31549600</v>
      </c>
      <c r="M92" s="15">
        <f t="shared" si="147"/>
        <v>29938810</v>
      </c>
      <c r="N92" s="15">
        <f t="shared" si="147"/>
        <v>29702540</v>
      </c>
      <c r="O92" s="15">
        <f t="shared" si="147"/>
        <v>31900980</v>
      </c>
      <c r="P92" s="16">
        <f t="shared" si="140"/>
        <v>389748750</v>
      </c>
      <c r="Q92" s="2"/>
      <c r="S92" s="3">
        <f>SUM(S34:S39)-S93</f>
        <v>1904480.9395000001</v>
      </c>
      <c r="T92" s="3">
        <f t="shared" ref="T92:AD92" si="148">SUM(T34:T39)-T93</f>
        <v>1660872.3215000001</v>
      </c>
      <c r="U92" s="3">
        <f t="shared" si="148"/>
        <v>1887034.7009999999</v>
      </c>
      <c r="V92" s="3">
        <f t="shared" si="148"/>
        <v>1644517.602</v>
      </c>
      <c r="W92" s="3">
        <f t="shared" si="148"/>
        <v>1697221.3415000001</v>
      </c>
      <c r="X92" s="3">
        <f t="shared" si="148"/>
        <v>1560778.1674999997</v>
      </c>
      <c r="Y92" s="3">
        <f t="shared" si="148"/>
        <v>1763894.8830000004</v>
      </c>
      <c r="Z92" s="3">
        <f t="shared" si="148"/>
        <v>2047546.2830000001</v>
      </c>
      <c r="AA92" s="3">
        <f t="shared" si="148"/>
        <v>1722008.9200000004</v>
      </c>
      <c r="AB92" s="3">
        <f t="shared" si="148"/>
        <v>1663772.6995000001</v>
      </c>
      <c r="AC92" s="3">
        <f t="shared" si="148"/>
        <v>1580340.6330000004</v>
      </c>
      <c r="AD92" s="3">
        <f t="shared" si="148"/>
        <v>1707805.0710000002</v>
      </c>
      <c r="AE92" s="3">
        <f t="shared" si="142"/>
        <v>20840273.5625</v>
      </c>
      <c r="AF92" s="3">
        <f>AE91+AE92+AE93+AE95</f>
        <v>51405490.749954402</v>
      </c>
      <c r="AH92" t="s">
        <v>111</v>
      </c>
    </row>
    <row r="93" spans="1:34" x14ac:dyDescent="0.25">
      <c r="A93" t="s">
        <v>287</v>
      </c>
      <c r="B93" s="14"/>
      <c r="C93" s="14"/>
      <c r="D93" s="15">
        <f>D36+D75</f>
        <v>0</v>
      </c>
      <c r="E93" s="15">
        <f t="shared" ref="E93:O93" si="149">E36+E75</f>
        <v>0</v>
      </c>
      <c r="F93" s="15">
        <f t="shared" si="149"/>
        <v>35226000</v>
      </c>
      <c r="G93" s="15">
        <f t="shared" si="149"/>
        <v>34560000</v>
      </c>
      <c r="H93" s="15">
        <f t="shared" si="149"/>
        <v>38765000</v>
      </c>
      <c r="I93" s="15">
        <f t="shared" si="149"/>
        <v>34845000</v>
      </c>
      <c r="J93" s="15">
        <f t="shared" si="149"/>
        <v>37966000</v>
      </c>
      <c r="K93" s="15">
        <f t="shared" si="149"/>
        <v>32628000</v>
      </c>
      <c r="L93" s="15">
        <f t="shared" si="149"/>
        <v>25108000</v>
      </c>
      <c r="M93" s="15">
        <f t="shared" si="149"/>
        <v>40272000</v>
      </c>
      <c r="N93" s="15">
        <f t="shared" si="149"/>
        <v>38741000</v>
      </c>
      <c r="O93" s="15">
        <f t="shared" si="149"/>
        <v>38137000</v>
      </c>
      <c r="P93" s="16">
        <f t="shared" si="140"/>
        <v>356248000</v>
      </c>
      <c r="Q93" s="2"/>
      <c r="S93" s="3">
        <f>S36</f>
        <v>0</v>
      </c>
      <c r="T93" s="3">
        <f t="shared" ref="T93:AD93" si="150">T36</f>
        <v>0</v>
      </c>
      <c r="U93" s="3">
        <f t="shared" si="150"/>
        <v>865150.55999999994</v>
      </c>
      <c r="V93" s="3">
        <f t="shared" si="150"/>
        <v>848793.59999999998</v>
      </c>
      <c r="W93" s="3">
        <f t="shared" si="150"/>
        <v>952068.39999999991</v>
      </c>
      <c r="X93" s="3">
        <f t="shared" si="150"/>
        <v>855793.2</v>
      </c>
      <c r="Y93" s="3">
        <f t="shared" si="150"/>
        <v>932444.96</v>
      </c>
      <c r="Z93" s="3">
        <f t="shared" si="150"/>
        <v>801343.67999999993</v>
      </c>
      <c r="AA93" s="3">
        <f t="shared" si="150"/>
        <v>616652.48</v>
      </c>
      <c r="AB93" s="3">
        <f t="shared" si="150"/>
        <v>989080.32</v>
      </c>
      <c r="AC93" s="3">
        <f t="shared" si="150"/>
        <v>951478.96</v>
      </c>
      <c r="AD93" s="3">
        <f t="shared" si="150"/>
        <v>936644.72</v>
      </c>
      <c r="AE93" s="3">
        <f t="shared" si="142"/>
        <v>8749450.879999999</v>
      </c>
      <c r="AF93" s="3"/>
    </row>
    <row r="94" spans="1:34" x14ac:dyDescent="0.25">
      <c r="A94" t="s">
        <v>60</v>
      </c>
      <c r="B94" s="14"/>
      <c r="C94" s="14"/>
      <c r="D94" s="15">
        <f>SUM(D41:D43,D46:D48)+D78+D81</f>
        <v>3499724.32</v>
      </c>
      <c r="E94" s="15">
        <f t="shared" ref="E94:O94" si="151">SUM(E41:E43,E46:E48)+E78+E81</f>
        <v>3522731.0300000003</v>
      </c>
      <c r="F94" s="15">
        <f t="shared" si="151"/>
        <v>3425844.06</v>
      </c>
      <c r="G94" s="15">
        <f t="shared" si="151"/>
        <v>3353347.6099999994</v>
      </c>
      <c r="H94" s="15">
        <f t="shared" si="151"/>
        <v>4566757.8099999996</v>
      </c>
      <c r="I94" s="15">
        <f t="shared" si="151"/>
        <v>5165867.8500000006</v>
      </c>
      <c r="J94" s="15">
        <f t="shared" si="151"/>
        <v>6789328.1999999993</v>
      </c>
      <c r="K94" s="15">
        <f t="shared" si="151"/>
        <v>9566758.7700000014</v>
      </c>
      <c r="L94" s="15">
        <f t="shared" si="151"/>
        <v>7888118.9500000011</v>
      </c>
      <c r="M94" s="15">
        <f t="shared" si="151"/>
        <v>5262689.22</v>
      </c>
      <c r="N94" s="15">
        <f t="shared" si="151"/>
        <v>2222372.96</v>
      </c>
      <c r="O94" s="15">
        <f t="shared" si="151"/>
        <v>3771569.2400000007</v>
      </c>
      <c r="P94" s="16">
        <f t="shared" si="140"/>
        <v>59035110.020000003</v>
      </c>
      <c r="Q94" s="2"/>
      <c r="S94" s="3">
        <f>SUM(S40:S49)+S78+S81</f>
        <v>342008.01132694993</v>
      </c>
      <c r="T94" s="3">
        <f t="shared" ref="T94:AD94" si="152">SUM(T40:T49)+T78+T81</f>
        <v>345632.26342644996</v>
      </c>
      <c r="U94" s="3">
        <f t="shared" si="152"/>
        <v>336321.597565</v>
      </c>
      <c r="V94" s="3">
        <f t="shared" si="152"/>
        <v>329522.07154747</v>
      </c>
      <c r="W94" s="3">
        <f t="shared" si="152"/>
        <v>442128.02618474502</v>
      </c>
      <c r="X94" s="3">
        <f t="shared" si="152"/>
        <v>496874.64267329994</v>
      </c>
      <c r="Y94" s="3">
        <f t="shared" si="152"/>
        <v>645406.53119050001</v>
      </c>
      <c r="Z94" s="3">
        <f t="shared" si="152"/>
        <v>888794.86733620008</v>
      </c>
      <c r="AA94" s="3">
        <f t="shared" si="152"/>
        <v>736813.78536619979</v>
      </c>
      <c r="AB94" s="3">
        <f t="shared" si="152"/>
        <v>505914.18817370007</v>
      </c>
      <c r="AC94" s="20">
        <f t="shared" si="152"/>
        <v>227184.51965450999</v>
      </c>
      <c r="AD94" s="20">
        <f t="shared" si="152"/>
        <v>368842.182969135</v>
      </c>
      <c r="AE94" s="3">
        <f t="shared" si="142"/>
        <v>5665442.68741416</v>
      </c>
    </row>
    <row r="95" spans="1:34" x14ac:dyDescent="0.25">
      <c r="A95" t="s">
        <v>51</v>
      </c>
      <c r="B95" s="14"/>
      <c r="C95" s="14"/>
      <c r="D95" s="15">
        <f t="shared" ref="D95:O95" si="153">D50</f>
        <v>944304.85500000021</v>
      </c>
      <c r="E95" s="15">
        <f t="shared" si="153"/>
        <v>856485.55355999991</v>
      </c>
      <c r="F95" s="15">
        <f t="shared" si="153"/>
        <v>890412.85400000005</v>
      </c>
      <c r="G95" s="15">
        <f t="shared" si="153"/>
        <v>907778.34600000002</v>
      </c>
      <c r="H95" s="15">
        <f t="shared" si="153"/>
        <v>855607.46699999995</v>
      </c>
      <c r="I95" s="15">
        <f t="shared" si="153"/>
        <v>933529.13599999994</v>
      </c>
      <c r="J95" s="15">
        <f t="shared" si="153"/>
        <v>909502.58299999987</v>
      </c>
      <c r="K95" s="15">
        <f t="shared" si="153"/>
        <v>877291.77609000006</v>
      </c>
      <c r="L95" s="15">
        <f t="shared" si="153"/>
        <v>920441.6129999999</v>
      </c>
      <c r="M95" s="15">
        <f t="shared" si="153"/>
        <v>884672.34600000002</v>
      </c>
      <c r="N95" s="15">
        <f t="shared" si="153"/>
        <v>863774.14400000009</v>
      </c>
      <c r="O95" s="15">
        <f t="shared" si="153"/>
        <v>947935.30200000003</v>
      </c>
      <c r="P95" s="16">
        <f t="shared" si="140"/>
        <v>10791735.975649998</v>
      </c>
      <c r="Q95" s="2"/>
      <c r="S95" s="3">
        <f t="shared" ref="S95:AD95" si="154">S50</f>
        <v>311362.33999999997</v>
      </c>
      <c r="T95" s="3">
        <f t="shared" si="154"/>
        <v>302830.57</v>
      </c>
      <c r="U95" s="3">
        <f t="shared" si="154"/>
        <v>316078</v>
      </c>
      <c r="V95" s="3">
        <f t="shared" si="154"/>
        <v>314266.20999999996</v>
      </c>
      <c r="W95" s="3">
        <f t="shared" si="154"/>
        <v>305229.71999999997</v>
      </c>
      <c r="X95" s="3">
        <f t="shared" si="154"/>
        <v>329820.95</v>
      </c>
      <c r="Y95" s="3">
        <f t="shared" si="154"/>
        <v>317467.58999999997</v>
      </c>
      <c r="Z95" s="3">
        <f t="shared" si="154"/>
        <v>315084.42999999993</v>
      </c>
      <c r="AA95" s="3">
        <f t="shared" si="154"/>
        <v>317946.3</v>
      </c>
      <c r="AB95" s="3">
        <f t="shared" si="154"/>
        <v>317964.26</v>
      </c>
      <c r="AC95" s="20">
        <f t="shared" si="154"/>
        <v>316575.14</v>
      </c>
      <c r="AD95" s="20">
        <f t="shared" si="154"/>
        <v>317554.90999999997</v>
      </c>
      <c r="AE95" s="3">
        <f t="shared" si="142"/>
        <v>3782180.4199999995</v>
      </c>
    </row>
    <row r="96" spans="1:34" x14ac:dyDescent="0.25">
      <c r="A96" t="s">
        <v>286</v>
      </c>
      <c r="B96" s="14"/>
      <c r="C96" s="14"/>
      <c r="D96" s="18">
        <f>SUM(D88:D95)</f>
        <v>300577232.21096998</v>
      </c>
      <c r="E96" s="18">
        <f t="shared" ref="E96:P96" si="155">SUM(E88:E95)</f>
        <v>265195615.49655998</v>
      </c>
      <c r="F96" s="18">
        <f t="shared" si="155"/>
        <v>293853166.69299996</v>
      </c>
      <c r="G96" s="18">
        <f t="shared" si="155"/>
        <v>267124498.67099997</v>
      </c>
      <c r="H96" s="18">
        <f t="shared" si="155"/>
        <v>252548292.83999997</v>
      </c>
      <c r="I96" s="18">
        <f t="shared" si="155"/>
        <v>251238013.26800001</v>
      </c>
      <c r="J96" s="18">
        <f t="shared" si="155"/>
        <v>283070831.95300001</v>
      </c>
      <c r="K96" s="18">
        <f t="shared" si="155"/>
        <v>277446970.15309</v>
      </c>
      <c r="L96" s="18">
        <f t="shared" si="155"/>
        <v>240628233.771</v>
      </c>
      <c r="M96" s="18">
        <f t="shared" si="155"/>
        <v>270250406.51900005</v>
      </c>
      <c r="N96" s="18">
        <f t="shared" si="155"/>
        <v>303757880.70599997</v>
      </c>
      <c r="O96" s="18">
        <f t="shared" si="155"/>
        <v>338408898.91900003</v>
      </c>
      <c r="P96" s="18">
        <f t="shared" si="155"/>
        <v>3344100041.2006197</v>
      </c>
      <c r="Q96" s="25"/>
      <c r="S96" s="7">
        <f>SUM(S88:S95)</f>
        <v>25848964.590159811</v>
      </c>
      <c r="T96" s="7">
        <f t="shared" ref="T96:AD96" si="156">SUM(T88:T95)</f>
        <v>22810298.410462584</v>
      </c>
      <c r="U96" s="7">
        <f t="shared" si="156"/>
        <v>22809156.78410909</v>
      </c>
      <c r="V96" s="7">
        <f t="shared" si="156"/>
        <v>20865530.382265553</v>
      </c>
      <c r="W96" s="7">
        <f t="shared" si="156"/>
        <v>19019143.832574945</v>
      </c>
      <c r="X96" s="7">
        <f t="shared" si="156"/>
        <v>19246943.066669807</v>
      </c>
      <c r="Y96" s="7">
        <f t="shared" si="156"/>
        <v>21658088.238920774</v>
      </c>
      <c r="Z96" s="7">
        <f t="shared" si="156"/>
        <v>21366944.633536827</v>
      </c>
      <c r="AA96" s="7">
        <f t="shared" si="156"/>
        <v>18926104.834680513</v>
      </c>
      <c r="AB96" s="7">
        <f t="shared" si="156"/>
        <v>20507637.519163735</v>
      </c>
      <c r="AC96" s="21">
        <f t="shared" si="156"/>
        <v>23850417.08186435</v>
      </c>
      <c r="AD96" s="21">
        <f t="shared" si="156"/>
        <v>26884895.700813603</v>
      </c>
      <c r="AE96" s="7">
        <f>SUM(AE88:AE95)</f>
        <v>263794125.07522157</v>
      </c>
      <c r="AF96" s="3">
        <f>SUM(AF88:AF94)</f>
        <v>263794125.0752216</v>
      </c>
    </row>
    <row r="97" spans="1:3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P97" s="14"/>
    </row>
    <row r="98" spans="1:31" x14ac:dyDescent="0.25">
      <c r="A98" t="s">
        <v>54</v>
      </c>
      <c r="B98" s="14"/>
      <c r="C98" s="14" t="s">
        <v>55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P98" s="14"/>
      <c r="R98" s="236" t="s">
        <v>56</v>
      </c>
    </row>
    <row r="99" spans="1:31" x14ac:dyDescent="0.25">
      <c r="A99" t="s">
        <v>46</v>
      </c>
      <c r="B99" s="14"/>
      <c r="C99" s="14"/>
      <c r="D99" s="15">
        <f t="shared" ref="D99:P99" si="157">D88/(D3)</f>
        <v>1275.1498274593548</v>
      </c>
      <c r="E99" s="15">
        <f t="shared" si="157"/>
        <v>1043.0588933071717</v>
      </c>
      <c r="F99" s="15">
        <f t="shared" si="157"/>
        <v>960.45703733630523</v>
      </c>
      <c r="G99" s="15">
        <f t="shared" si="157"/>
        <v>898.20788957319974</v>
      </c>
      <c r="H99" s="15">
        <f t="shared" si="157"/>
        <v>722.73419766418112</v>
      </c>
      <c r="I99" s="15">
        <f t="shared" si="157"/>
        <v>708.69804302927537</v>
      </c>
      <c r="J99" s="15">
        <f t="shared" si="157"/>
        <v>837.5370518728372</v>
      </c>
      <c r="K99" s="15">
        <f t="shared" si="157"/>
        <v>806.17046026593698</v>
      </c>
      <c r="L99" s="15">
        <f t="shared" si="157"/>
        <v>629.84496526490295</v>
      </c>
      <c r="M99" s="15">
        <f t="shared" si="157"/>
        <v>786.00767997154674</v>
      </c>
      <c r="N99" s="15">
        <f t="shared" si="157"/>
        <v>1081.8961740861544</v>
      </c>
      <c r="O99" s="15">
        <f t="shared" si="157"/>
        <v>1289.7244455481421</v>
      </c>
      <c r="P99" s="15">
        <f t="shared" si="157"/>
        <v>920.16106356301498</v>
      </c>
      <c r="S99" s="3">
        <f>S88/(D3)</f>
        <v>123.2824547064503</v>
      </c>
      <c r="T99" s="3">
        <f t="shared" ref="T99:AD99" si="158">T88/(E3)</f>
        <v>101.34194511478786</v>
      </c>
      <c r="U99" s="3">
        <f t="shared" si="158"/>
        <v>93.229066023844894</v>
      </c>
      <c r="V99" s="3">
        <f t="shared" si="158"/>
        <v>87.491639487945406</v>
      </c>
      <c r="W99" s="3">
        <f t="shared" si="158"/>
        <v>70.681747122937296</v>
      </c>
      <c r="X99" s="3">
        <f t="shared" si="158"/>
        <v>69.27786591144843</v>
      </c>
      <c r="Y99" s="3">
        <f t="shared" si="158"/>
        <v>81.109621967107373</v>
      </c>
      <c r="Z99" s="3">
        <f t="shared" si="158"/>
        <v>78.499064538853816</v>
      </c>
      <c r="AA99" s="3">
        <f t="shared" si="158"/>
        <v>62.160121342719719</v>
      </c>
      <c r="AB99" s="3">
        <f t="shared" si="158"/>
        <v>76.129440633538252</v>
      </c>
      <c r="AC99" s="20">
        <f t="shared" si="158"/>
        <v>104.00500464976332</v>
      </c>
      <c r="AD99" s="20">
        <f t="shared" si="158"/>
        <v>124.42625318022129</v>
      </c>
      <c r="AE99" s="3">
        <f>AE88/(P3)</f>
        <v>89.321327787571775</v>
      </c>
    </row>
    <row r="100" spans="1:31" x14ac:dyDescent="0.25">
      <c r="A100" t="s">
        <v>47</v>
      </c>
      <c r="B100" s="14"/>
      <c r="C100" s="14"/>
      <c r="D100" s="15">
        <f t="shared" ref="D100:P100" si="159">D89/(D6+D11)</f>
        <v>1791.4004778765013</v>
      </c>
      <c r="E100" s="15">
        <f t="shared" si="159"/>
        <v>1601.3470695827725</v>
      </c>
      <c r="F100" s="15">
        <f t="shared" si="159"/>
        <v>1463.4389998220959</v>
      </c>
      <c r="G100" s="15">
        <f t="shared" si="159"/>
        <v>1233.6980817153544</v>
      </c>
      <c r="H100" s="15">
        <f t="shared" si="159"/>
        <v>1204.6391555130374</v>
      </c>
      <c r="I100" s="15">
        <f t="shared" si="159"/>
        <v>1350.7645071808161</v>
      </c>
      <c r="J100" s="15">
        <f t="shared" si="159"/>
        <v>1552.9324255618596</v>
      </c>
      <c r="K100" s="15">
        <f t="shared" si="159"/>
        <v>1450.1351618350075</v>
      </c>
      <c r="L100" s="15">
        <f t="shared" si="159"/>
        <v>1574.7581149802891</v>
      </c>
      <c r="M100" s="15">
        <f t="shared" si="159"/>
        <v>1115.2754316798739</v>
      </c>
      <c r="N100" s="15">
        <f t="shared" si="159"/>
        <v>1698.9794178411973</v>
      </c>
      <c r="O100" s="15">
        <f t="shared" si="159"/>
        <v>1809.2412051616836</v>
      </c>
      <c r="P100" s="15">
        <f t="shared" si="159"/>
        <v>1487.4389889004126</v>
      </c>
      <c r="S100" s="3">
        <f t="shared" ref="S100:AE100" si="160">S89/(D6+D11)</f>
        <v>171.2851565581658</v>
      </c>
      <c r="T100" s="3">
        <f t="shared" si="160"/>
        <v>156.52651684191338</v>
      </c>
      <c r="U100" s="3">
        <f t="shared" si="160"/>
        <v>145.59510715490254</v>
      </c>
      <c r="V100" s="3">
        <f t="shared" si="160"/>
        <v>125.36133082405699</v>
      </c>
      <c r="W100" s="3">
        <f t="shared" si="160"/>
        <v>122.2493658585589</v>
      </c>
      <c r="X100" s="3">
        <f t="shared" si="160"/>
        <v>134.94288867958974</v>
      </c>
      <c r="Y100" s="3">
        <f t="shared" si="160"/>
        <v>151.61948184449503</v>
      </c>
      <c r="Z100" s="3">
        <f t="shared" si="160"/>
        <v>143.17758958323185</v>
      </c>
      <c r="AA100" s="3">
        <f t="shared" si="160"/>
        <v>151.00092362964949</v>
      </c>
      <c r="AB100" s="3">
        <f t="shared" si="160"/>
        <v>118.83810872605645</v>
      </c>
      <c r="AC100" s="20">
        <f t="shared" si="160"/>
        <v>166.04140645230765</v>
      </c>
      <c r="AD100" s="20">
        <f t="shared" si="160"/>
        <v>172.16919800250807</v>
      </c>
      <c r="AE100" s="3">
        <f t="shared" si="160"/>
        <v>146.58546596833244</v>
      </c>
    </row>
    <row r="101" spans="1:31" x14ac:dyDescent="0.25">
      <c r="A101" t="s">
        <v>48</v>
      </c>
      <c r="B101" s="14"/>
      <c r="C101" s="14"/>
      <c r="D101" s="15">
        <f t="shared" ref="D101:P101" si="161">D90/(D16+D22)</f>
        <v>48937.5832221163</v>
      </c>
      <c r="E101" s="15">
        <f t="shared" si="161"/>
        <v>49759.215604186487</v>
      </c>
      <c r="F101" s="15">
        <f t="shared" si="161"/>
        <v>48413.579754020808</v>
      </c>
      <c r="G101" s="15">
        <f t="shared" si="161"/>
        <v>42272.782658959535</v>
      </c>
      <c r="H101" s="15">
        <f t="shared" si="161"/>
        <v>45618.480083857445</v>
      </c>
      <c r="I101" s="15">
        <f t="shared" si="161"/>
        <v>50131.932136659438</v>
      </c>
      <c r="J101" s="15">
        <f t="shared" si="161"/>
        <v>55486.271789242594</v>
      </c>
      <c r="K101" s="15">
        <f t="shared" si="161"/>
        <v>51026.767555555554</v>
      </c>
      <c r="L101" s="15">
        <f t="shared" si="161"/>
        <v>49178.212666666666</v>
      </c>
      <c r="M101" s="15">
        <f t="shared" si="161"/>
        <v>59236.587276785714</v>
      </c>
      <c r="N101" s="15">
        <f t="shared" si="161"/>
        <v>52637.070191226092</v>
      </c>
      <c r="O101" s="15">
        <f t="shared" si="161"/>
        <v>56776.532735426015</v>
      </c>
      <c r="P101" s="15">
        <f t="shared" si="161"/>
        <v>50586.780227768562</v>
      </c>
      <c r="S101" s="3">
        <f t="shared" ref="S101:AE101" si="162">S90/(D16+D22)</f>
        <v>3957.9682954394661</v>
      </c>
      <c r="T101" s="3">
        <f t="shared" si="162"/>
        <v>4019.1938861579442</v>
      </c>
      <c r="U101" s="3">
        <f t="shared" si="162"/>
        <v>3938.6426555402086</v>
      </c>
      <c r="V101" s="3">
        <f t="shared" si="162"/>
        <v>3539.7271933988441</v>
      </c>
      <c r="W101" s="3">
        <f t="shared" si="162"/>
        <v>3726.2625410901464</v>
      </c>
      <c r="X101" s="3">
        <f t="shared" si="162"/>
        <v>4090.0304241270073</v>
      </c>
      <c r="Y101" s="3">
        <f t="shared" si="162"/>
        <v>4417.7682075872672</v>
      </c>
      <c r="Z101" s="3">
        <f t="shared" si="162"/>
        <v>4186.5564905288884</v>
      </c>
      <c r="AA101" s="3">
        <f t="shared" si="162"/>
        <v>4088.4677755533335</v>
      </c>
      <c r="AB101" s="3">
        <f t="shared" si="162"/>
        <v>4688.0585119129464</v>
      </c>
      <c r="AC101" s="20">
        <f t="shared" si="162"/>
        <v>4297.012993383576</v>
      </c>
      <c r="AD101" s="20">
        <f t="shared" si="162"/>
        <v>4524.8972607443957</v>
      </c>
      <c r="AE101" s="3">
        <f t="shared" si="162"/>
        <v>4107.5301645980535</v>
      </c>
    </row>
    <row r="102" spans="1:31" x14ac:dyDescent="0.25">
      <c r="A102" t="s">
        <v>49</v>
      </c>
      <c r="B102" s="14"/>
      <c r="C102" s="14"/>
      <c r="D102" s="15">
        <f t="shared" ref="D102:P102" si="163">D91/(D28)</f>
        <v>2521740.3781818184</v>
      </c>
      <c r="E102" s="15">
        <f t="shared" si="163"/>
        <v>2374022.8954545455</v>
      </c>
      <c r="F102" s="15">
        <f t="shared" si="163"/>
        <v>2512174.9081818182</v>
      </c>
      <c r="G102" s="15">
        <f t="shared" si="163"/>
        <v>2345651.2809090908</v>
      </c>
      <c r="H102" s="15">
        <f t="shared" si="163"/>
        <v>2502952.3640000001</v>
      </c>
      <c r="I102" s="15">
        <f t="shared" si="163"/>
        <v>2467699.2609999999</v>
      </c>
      <c r="J102" s="15">
        <f t="shared" si="163"/>
        <v>2547088.517</v>
      </c>
      <c r="K102" s="15">
        <f t="shared" si="163"/>
        <v>2596190.824</v>
      </c>
      <c r="L102" s="15">
        <f t="shared" si="163"/>
        <v>2428638.7700000005</v>
      </c>
      <c r="M102" s="15">
        <f t="shared" si="163"/>
        <v>2694389.2889999999</v>
      </c>
      <c r="N102" s="15">
        <f t="shared" si="163"/>
        <v>2488507.8810000001</v>
      </c>
      <c r="O102" s="15">
        <f t="shared" si="163"/>
        <v>2549704.2370000007</v>
      </c>
      <c r="P102" s="15">
        <f t="shared" si="163"/>
        <v>2500332.2219354836</v>
      </c>
      <c r="S102" s="3">
        <f t="shared" ref="S102:AE102" si="164">S91/(D28)</f>
        <v>145518.40705774547</v>
      </c>
      <c r="T102" s="3">
        <f t="shared" si="164"/>
        <v>138938.08643131817</v>
      </c>
      <c r="U102" s="3">
        <f t="shared" si="164"/>
        <v>145026.69023820909</v>
      </c>
      <c r="V102" s="3">
        <f t="shared" si="164"/>
        <v>137090.67347429998</v>
      </c>
      <c r="W102" s="3">
        <f t="shared" si="164"/>
        <v>145262.43601307998</v>
      </c>
      <c r="X102" s="3">
        <f t="shared" si="164"/>
        <v>143851.17664816999</v>
      </c>
      <c r="Y102" s="3">
        <f t="shared" si="164"/>
        <v>147978.58254649001</v>
      </c>
      <c r="Z102" s="3">
        <f t="shared" si="164"/>
        <v>150305.34251927998</v>
      </c>
      <c r="AA102" s="3">
        <f t="shared" si="164"/>
        <v>143184.29311689999</v>
      </c>
      <c r="AB102" s="3">
        <f t="shared" si="164"/>
        <v>155412.68425533001</v>
      </c>
      <c r="AC102" s="20">
        <f t="shared" si="164"/>
        <v>145887.21880957001</v>
      </c>
      <c r="AD102" s="20">
        <f t="shared" si="164"/>
        <v>148245.61191489003</v>
      </c>
      <c r="AE102" s="3">
        <f t="shared" si="164"/>
        <v>145432.1442536645</v>
      </c>
    </row>
    <row r="103" spans="1:31" x14ac:dyDescent="0.25">
      <c r="A103" t="s">
        <v>59</v>
      </c>
      <c r="B103" s="14"/>
      <c r="C103" s="14"/>
      <c r="D103" s="15">
        <f>D92/(D34)</f>
        <v>35210010</v>
      </c>
      <c r="E103" s="15">
        <f t="shared" ref="E103:P103" si="165">E92/(E34)</f>
        <v>30823170</v>
      </c>
      <c r="F103" s="15">
        <f t="shared" si="165"/>
        <v>35740380</v>
      </c>
      <c r="G103" s="15">
        <f t="shared" si="165"/>
        <v>31016760</v>
      </c>
      <c r="H103" s="266">
        <f>H92/(H34)</f>
        <v>32290770</v>
      </c>
      <c r="I103" s="15">
        <f t="shared" si="165"/>
        <v>29648650</v>
      </c>
      <c r="J103" s="15">
        <f t="shared" si="165"/>
        <v>32657540</v>
      </c>
      <c r="K103" s="15">
        <f t="shared" si="165"/>
        <v>39269540</v>
      </c>
      <c r="L103" s="15">
        <f t="shared" si="165"/>
        <v>31549600</v>
      </c>
      <c r="M103" s="15">
        <f t="shared" si="165"/>
        <v>29938810</v>
      </c>
      <c r="N103" s="15">
        <f t="shared" si="165"/>
        <v>29702540</v>
      </c>
      <c r="O103" s="15">
        <f t="shared" si="165"/>
        <v>31900980</v>
      </c>
      <c r="P103" s="15">
        <f t="shared" si="165"/>
        <v>32479062.5</v>
      </c>
      <c r="S103" s="3">
        <f>S92/(D34)</f>
        <v>1904480.9395000001</v>
      </c>
      <c r="T103" s="3">
        <f t="shared" ref="T103:AE103" si="166">T92/(E34)</f>
        <v>1660872.3215000001</v>
      </c>
      <c r="U103" s="3">
        <f t="shared" si="166"/>
        <v>1887034.7009999999</v>
      </c>
      <c r="V103" s="3">
        <f t="shared" si="166"/>
        <v>1644517.602</v>
      </c>
      <c r="W103" s="3">
        <f t="shared" si="166"/>
        <v>1697221.3415000001</v>
      </c>
      <c r="X103" s="3">
        <f t="shared" si="166"/>
        <v>1560778.1674999997</v>
      </c>
      <c r="Y103" s="3">
        <f t="shared" si="166"/>
        <v>1763894.8830000004</v>
      </c>
      <c r="Z103" s="3">
        <f t="shared" si="166"/>
        <v>2047546.2830000001</v>
      </c>
      <c r="AA103" s="3">
        <f t="shared" si="166"/>
        <v>1722008.9200000004</v>
      </c>
      <c r="AB103" s="3">
        <f t="shared" si="166"/>
        <v>1663772.6995000001</v>
      </c>
      <c r="AC103" s="20">
        <f t="shared" si="166"/>
        <v>1580340.6330000004</v>
      </c>
      <c r="AD103" s="20">
        <f t="shared" si="166"/>
        <v>1707805.0710000002</v>
      </c>
      <c r="AE103" s="3">
        <f t="shared" si="166"/>
        <v>1736689.4635416667</v>
      </c>
    </row>
    <row r="104" spans="1:31" x14ac:dyDescent="0.25">
      <c r="A104" t="s">
        <v>60</v>
      </c>
      <c r="B104" s="14"/>
      <c r="C104" s="14"/>
      <c r="D104" s="15">
        <f>D94/(D40+D45)</f>
        <v>2395.4307460643395</v>
      </c>
      <c r="E104" s="15">
        <f t="shared" ref="E104:P104" si="167">E94/(E40+E45)</f>
        <v>2465.1721693491954</v>
      </c>
      <c r="F104" s="15">
        <f t="shared" si="167"/>
        <v>2344.8624640657085</v>
      </c>
      <c r="G104" s="15">
        <f t="shared" si="167"/>
        <v>2296.8134315068487</v>
      </c>
      <c r="H104" s="15">
        <f t="shared" si="167"/>
        <v>3147.3175809786353</v>
      </c>
      <c r="I104" s="15">
        <f t="shared" si="167"/>
        <v>3514.1958163265308</v>
      </c>
      <c r="J104" s="15">
        <f t="shared" si="167"/>
        <v>4647.041889117043</v>
      </c>
      <c r="K104" s="15">
        <f t="shared" si="167"/>
        <v>6530.2107645051201</v>
      </c>
      <c r="L104" s="15">
        <f t="shared" si="167"/>
        <v>5244.7599401595753</v>
      </c>
      <c r="M104" s="15">
        <f t="shared" si="167"/>
        <v>3541.5136069986538</v>
      </c>
      <c r="N104" s="15">
        <f t="shared" si="167"/>
        <v>1491.5254765100672</v>
      </c>
      <c r="O104" s="15">
        <f t="shared" si="167"/>
        <v>2481.2955526315795</v>
      </c>
      <c r="P104" s="15">
        <f t="shared" si="167"/>
        <v>3343.2500860799641</v>
      </c>
      <c r="S104" s="3">
        <f>S94/(D40+D45)</f>
        <v>234.09172575424361</v>
      </c>
      <c r="T104" s="3">
        <f t="shared" ref="T104:AE104" si="168">T94/(E34+E40+E45)</f>
        <v>241.70088351499999</v>
      </c>
      <c r="U104" s="3">
        <f t="shared" si="168"/>
        <v>230.04213239740082</v>
      </c>
      <c r="V104" s="3">
        <f t="shared" si="168"/>
        <v>225.54556574091032</v>
      </c>
      <c r="W104" s="3">
        <f t="shared" si="168"/>
        <v>304.49588580216601</v>
      </c>
      <c r="X104" s="3">
        <f t="shared" si="168"/>
        <v>337.78017856784498</v>
      </c>
      <c r="Y104" s="3">
        <f t="shared" si="168"/>
        <v>441.4545356980164</v>
      </c>
      <c r="Z104" s="3">
        <f t="shared" si="168"/>
        <v>606.27207867407924</v>
      </c>
      <c r="AA104" s="3">
        <f t="shared" si="168"/>
        <v>489.57726602405302</v>
      </c>
      <c r="AB104" s="3">
        <f t="shared" si="168"/>
        <v>340.22473986126431</v>
      </c>
      <c r="AC104" s="20">
        <f t="shared" si="168"/>
        <v>152.37056985547284</v>
      </c>
      <c r="AD104" s="20">
        <f t="shared" si="168"/>
        <v>242.49979156419133</v>
      </c>
      <c r="AE104" s="3">
        <f t="shared" si="168"/>
        <v>320.62493986497793</v>
      </c>
    </row>
    <row r="105" spans="1:31" x14ac:dyDescent="0.25">
      <c r="B105" s="14"/>
      <c r="C105" s="14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4"/>
      <c r="S105" s="9"/>
    </row>
    <row r="106" spans="1:3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P106" s="14"/>
    </row>
    <row r="107" spans="1:31" x14ac:dyDescent="0.25">
      <c r="A107" t="s">
        <v>116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P107" s="14"/>
    </row>
    <row r="108" spans="1:31" x14ac:dyDescent="0.25">
      <c r="A108" t="s">
        <v>113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P108" s="14"/>
    </row>
    <row r="109" spans="1:31" x14ac:dyDescent="0.25">
      <c r="B109" s="14" t="s">
        <v>114</v>
      </c>
      <c r="C109" s="14"/>
      <c r="D109" s="30">
        <v>157685.13999999998</v>
      </c>
      <c r="E109" s="30">
        <v>153041.44999999998</v>
      </c>
      <c r="F109" s="30">
        <v>136282.94</v>
      </c>
      <c r="G109" s="30">
        <v>119339.39</v>
      </c>
      <c r="H109" s="30">
        <v>102727.81000000001</v>
      </c>
      <c r="I109" s="30">
        <v>138684.03</v>
      </c>
      <c r="J109" s="30">
        <v>153060.97999999998</v>
      </c>
      <c r="K109" s="30">
        <v>174480.99</v>
      </c>
      <c r="L109" s="30">
        <v>180684.43</v>
      </c>
      <c r="M109" s="30">
        <v>160337.33000000002</v>
      </c>
      <c r="N109" s="30">
        <v>174963.57</v>
      </c>
      <c r="O109" s="30">
        <v>157433.60000000001</v>
      </c>
      <c r="P109" s="265">
        <f>SUM(D109:O109)</f>
        <v>1808721.6600000001</v>
      </c>
    </row>
    <row r="110" spans="1:31" x14ac:dyDescent="0.25">
      <c r="B110" s="14" t="s">
        <v>117</v>
      </c>
      <c r="C110" s="14"/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265">
        <f>SUM(D110:O110)</f>
        <v>0</v>
      </c>
    </row>
    <row r="111" spans="1:31" x14ac:dyDescent="0.25">
      <c r="B111" s="14" t="s">
        <v>115</v>
      </c>
      <c r="C111" s="14"/>
      <c r="D111" s="30">
        <v>6</v>
      </c>
      <c r="E111" s="234">
        <f>D111</f>
        <v>6</v>
      </c>
      <c r="F111" s="234">
        <f t="shared" ref="F111:O112" si="169">E111</f>
        <v>6</v>
      </c>
      <c r="G111" s="234">
        <f t="shared" si="169"/>
        <v>6</v>
      </c>
      <c r="H111" s="234">
        <f t="shared" si="169"/>
        <v>6</v>
      </c>
      <c r="I111" s="234">
        <f t="shared" si="169"/>
        <v>6</v>
      </c>
      <c r="J111" s="234">
        <f t="shared" si="169"/>
        <v>6</v>
      </c>
      <c r="K111" s="234">
        <f t="shared" si="169"/>
        <v>6</v>
      </c>
      <c r="L111" s="234">
        <f t="shared" si="169"/>
        <v>6</v>
      </c>
      <c r="M111" s="234">
        <f t="shared" si="169"/>
        <v>6</v>
      </c>
      <c r="N111" s="234">
        <f t="shared" si="169"/>
        <v>6</v>
      </c>
      <c r="O111" s="234">
        <f t="shared" si="169"/>
        <v>6</v>
      </c>
      <c r="P111" s="14"/>
    </row>
    <row r="112" spans="1:31" x14ac:dyDescent="0.25">
      <c r="B112" s="14" t="s">
        <v>118</v>
      </c>
      <c r="C112" s="14"/>
      <c r="D112" s="30">
        <v>0.25</v>
      </c>
      <c r="E112" s="234">
        <f>D112</f>
        <v>0.25</v>
      </c>
      <c r="F112" s="234">
        <f t="shared" si="169"/>
        <v>0.25</v>
      </c>
      <c r="G112" s="234">
        <f t="shared" si="169"/>
        <v>0.25</v>
      </c>
      <c r="H112" s="234">
        <f t="shared" si="169"/>
        <v>0.25</v>
      </c>
      <c r="I112" s="234">
        <f t="shared" si="169"/>
        <v>0.25</v>
      </c>
      <c r="J112" s="234">
        <f t="shared" si="169"/>
        <v>0.25</v>
      </c>
      <c r="K112" s="234">
        <f t="shared" si="169"/>
        <v>0.25</v>
      </c>
      <c r="L112" s="234">
        <f t="shared" si="169"/>
        <v>0.25</v>
      </c>
      <c r="M112" s="234">
        <f t="shared" si="169"/>
        <v>0.25</v>
      </c>
      <c r="N112" s="234">
        <f t="shared" si="169"/>
        <v>0.25</v>
      </c>
      <c r="O112" s="234">
        <f t="shared" si="169"/>
        <v>0.25</v>
      </c>
      <c r="P112" s="14"/>
    </row>
    <row r="113" spans="1:16" x14ac:dyDescent="0.25">
      <c r="A113" t="s">
        <v>119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P113" s="14"/>
    </row>
    <row r="114" spans="1:16" x14ac:dyDescent="0.25">
      <c r="B114" s="14" t="s">
        <v>114</v>
      </c>
      <c r="C114" s="14"/>
      <c r="D114" s="30">
        <v>3205.12</v>
      </c>
      <c r="E114" s="30">
        <v>3444.34</v>
      </c>
      <c r="F114" s="30">
        <v>3064.68</v>
      </c>
      <c r="G114" s="30">
        <v>2796.34</v>
      </c>
      <c r="H114" s="30">
        <v>1457.03</v>
      </c>
      <c r="I114" s="30">
        <v>1029.3499999999999</v>
      </c>
      <c r="J114" s="30">
        <v>881.69</v>
      </c>
      <c r="K114" s="30">
        <v>989.12</v>
      </c>
      <c r="L114" s="30">
        <v>1555.26</v>
      </c>
      <c r="M114" s="30">
        <v>1449.99</v>
      </c>
      <c r="N114" s="30">
        <v>2986.16</v>
      </c>
      <c r="O114" s="30">
        <v>3076</v>
      </c>
      <c r="P114" s="265">
        <f t="shared" ref="P114:P115" si="170">SUM(D114:O114)</f>
        <v>25935.08</v>
      </c>
    </row>
    <row r="115" spans="1:16" x14ac:dyDescent="0.25">
      <c r="B115" s="14" t="s">
        <v>117</v>
      </c>
      <c r="C115" s="14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265">
        <f t="shared" si="170"/>
        <v>0</v>
      </c>
    </row>
    <row r="116" spans="1:16" x14ac:dyDescent="0.25">
      <c r="B116" s="14" t="s">
        <v>115</v>
      </c>
      <c r="C116" s="14"/>
      <c r="D116" s="30">
        <v>6</v>
      </c>
      <c r="E116" s="234">
        <f>D116</f>
        <v>6</v>
      </c>
      <c r="F116" s="234">
        <f t="shared" ref="F116:O117" si="171">E116</f>
        <v>6</v>
      </c>
      <c r="G116" s="234">
        <f t="shared" si="171"/>
        <v>6</v>
      </c>
      <c r="H116" s="234">
        <f t="shared" si="171"/>
        <v>6</v>
      </c>
      <c r="I116" s="234">
        <f t="shared" si="171"/>
        <v>6</v>
      </c>
      <c r="J116" s="234">
        <f t="shared" si="171"/>
        <v>6</v>
      </c>
      <c r="K116" s="234">
        <f t="shared" si="171"/>
        <v>6</v>
      </c>
      <c r="L116" s="234">
        <f t="shared" si="171"/>
        <v>6</v>
      </c>
      <c r="M116" s="234">
        <f t="shared" si="171"/>
        <v>6</v>
      </c>
      <c r="N116" s="234">
        <f t="shared" si="171"/>
        <v>6</v>
      </c>
      <c r="O116" s="234">
        <f t="shared" si="171"/>
        <v>6</v>
      </c>
      <c r="P116" s="14"/>
    </row>
    <row r="117" spans="1:16" x14ac:dyDescent="0.25">
      <c r="B117" s="14" t="s">
        <v>118</v>
      </c>
      <c r="C117" s="14"/>
      <c r="D117" s="30">
        <v>0.25</v>
      </c>
      <c r="E117" s="234">
        <f>D117</f>
        <v>0.25</v>
      </c>
      <c r="F117" s="234">
        <f t="shared" si="171"/>
        <v>0.25</v>
      </c>
      <c r="G117" s="234">
        <f t="shared" si="171"/>
        <v>0.25</v>
      </c>
      <c r="H117" s="234">
        <f t="shared" si="171"/>
        <v>0.25</v>
      </c>
      <c r="I117" s="234">
        <f t="shared" si="171"/>
        <v>0.25</v>
      </c>
      <c r="J117" s="234">
        <f t="shared" si="171"/>
        <v>0.25</v>
      </c>
      <c r="K117" s="234">
        <f t="shared" si="171"/>
        <v>0.25</v>
      </c>
      <c r="L117" s="234">
        <f t="shared" si="171"/>
        <v>0.25</v>
      </c>
      <c r="M117" s="234">
        <f t="shared" si="171"/>
        <v>0.25</v>
      </c>
      <c r="N117" s="234">
        <f t="shared" si="171"/>
        <v>0.25</v>
      </c>
      <c r="O117" s="234">
        <f t="shared" si="171"/>
        <v>0.25</v>
      </c>
      <c r="P117" s="14"/>
    </row>
    <row r="118" spans="1:16" x14ac:dyDescent="0.25">
      <c r="A118" t="s">
        <v>120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P118" s="14"/>
    </row>
    <row r="119" spans="1:16" x14ac:dyDescent="0.25">
      <c r="B119" s="14" t="s">
        <v>114</v>
      </c>
      <c r="C119" s="14"/>
      <c r="D119" s="30">
        <v>478264.97</v>
      </c>
      <c r="E119" s="30">
        <v>491031.61</v>
      </c>
      <c r="F119" s="30">
        <v>497262.45999999996</v>
      </c>
      <c r="G119" s="30">
        <v>476798.6</v>
      </c>
      <c r="H119" s="30">
        <v>414885.54</v>
      </c>
      <c r="I119" s="30">
        <v>475932.8</v>
      </c>
      <c r="J119" s="30">
        <v>465829.41</v>
      </c>
      <c r="K119" s="30">
        <v>501853.31</v>
      </c>
      <c r="L119" s="30">
        <v>516945.47</v>
      </c>
      <c r="M119" s="30">
        <v>489359.46</v>
      </c>
      <c r="N119" s="30">
        <v>502690.36000000004</v>
      </c>
      <c r="O119" s="30">
        <v>486886.32</v>
      </c>
      <c r="P119" s="265">
        <f t="shared" ref="P119:P121" si="172">SUM(D119:O119)</f>
        <v>5797740.3100000005</v>
      </c>
    </row>
    <row r="120" spans="1:16" x14ac:dyDescent="0.25">
      <c r="B120" s="14" t="s">
        <v>117</v>
      </c>
      <c r="C120" s="14"/>
      <c r="D120" s="30">
        <v>1044.68</v>
      </c>
      <c r="E120" s="30">
        <v>980.68</v>
      </c>
      <c r="F120" s="30">
        <v>1394.18</v>
      </c>
      <c r="G120" s="30">
        <v>1530.75</v>
      </c>
      <c r="H120" s="30">
        <v>1257.6300000000001</v>
      </c>
      <c r="I120" s="30">
        <v>1803.29</v>
      </c>
      <c r="J120" s="30">
        <v>1400.45</v>
      </c>
      <c r="K120" s="30">
        <v>1328.17</v>
      </c>
      <c r="L120" s="30">
        <v>1318.4</v>
      </c>
      <c r="M120" s="30">
        <v>1391.78</v>
      </c>
      <c r="N120" s="30">
        <v>1376.61</v>
      </c>
      <c r="O120" s="30">
        <v>1325.94</v>
      </c>
      <c r="P120" s="265">
        <f t="shared" si="172"/>
        <v>16152.560000000001</v>
      </c>
    </row>
    <row r="121" spans="1:16" x14ac:dyDescent="0.25">
      <c r="B121" s="14" t="s">
        <v>121</v>
      </c>
      <c r="C121" s="14"/>
      <c r="D121" s="30">
        <v>-1758.87</v>
      </c>
      <c r="E121" s="30">
        <v>-2075</v>
      </c>
      <c r="F121" s="30">
        <v>-2356.41</v>
      </c>
      <c r="G121" s="30">
        <v>-2136.4899999999998</v>
      </c>
      <c r="H121" s="30">
        <v>-1885.74</v>
      </c>
      <c r="I121" s="30">
        <v>-2489.0700000000002</v>
      </c>
      <c r="J121" s="30">
        <v>-2025</v>
      </c>
      <c r="K121" s="30">
        <v>-2094.9499999999998</v>
      </c>
      <c r="L121" s="30">
        <v>-2000.59</v>
      </c>
      <c r="M121" s="30">
        <v>-1955.62</v>
      </c>
      <c r="N121" s="30">
        <v>-2057.48</v>
      </c>
      <c r="O121" s="30">
        <v>-2015.88</v>
      </c>
      <c r="P121" s="265">
        <f t="shared" si="172"/>
        <v>-24851.1</v>
      </c>
    </row>
    <row r="122" spans="1:16" x14ac:dyDescent="0.25">
      <c r="B122" s="14" t="s">
        <v>115</v>
      </c>
      <c r="C122" s="14"/>
      <c r="D122" s="30">
        <v>5.5</v>
      </c>
      <c r="E122" s="234">
        <f>D122</f>
        <v>5.5</v>
      </c>
      <c r="F122" s="234">
        <f t="shared" ref="F122:O124" si="173">E122</f>
        <v>5.5</v>
      </c>
      <c r="G122" s="234">
        <f t="shared" si="173"/>
        <v>5.5</v>
      </c>
      <c r="H122" s="234">
        <f t="shared" si="173"/>
        <v>5.5</v>
      </c>
      <c r="I122" s="234">
        <f t="shared" si="173"/>
        <v>5.5</v>
      </c>
      <c r="J122" s="234">
        <f t="shared" si="173"/>
        <v>5.5</v>
      </c>
      <c r="K122" s="234">
        <f t="shared" si="173"/>
        <v>5.5</v>
      </c>
      <c r="L122" s="234">
        <f t="shared" si="173"/>
        <v>5.5</v>
      </c>
      <c r="M122" s="234">
        <f t="shared" si="173"/>
        <v>5.5</v>
      </c>
      <c r="N122" s="234">
        <f t="shared" si="173"/>
        <v>5.5</v>
      </c>
      <c r="O122" s="234">
        <f t="shared" si="173"/>
        <v>5.5</v>
      </c>
      <c r="P122" s="14"/>
    </row>
    <row r="123" spans="1:16" x14ac:dyDescent="0.25">
      <c r="B123" s="14" t="s">
        <v>118</v>
      </c>
      <c r="C123" s="14"/>
      <c r="D123" s="30">
        <v>0.25</v>
      </c>
      <c r="E123" s="234">
        <f>D123</f>
        <v>0.25</v>
      </c>
      <c r="F123" s="234">
        <f t="shared" si="173"/>
        <v>0.25</v>
      </c>
      <c r="G123" s="234">
        <f t="shared" si="173"/>
        <v>0.25</v>
      </c>
      <c r="H123" s="234">
        <f t="shared" si="173"/>
        <v>0.25</v>
      </c>
      <c r="I123" s="234">
        <f t="shared" si="173"/>
        <v>0.25</v>
      </c>
      <c r="J123" s="234">
        <f t="shared" si="173"/>
        <v>0.25</v>
      </c>
      <c r="K123" s="234">
        <f t="shared" si="173"/>
        <v>0.25</v>
      </c>
      <c r="L123" s="234">
        <f t="shared" si="173"/>
        <v>0.25</v>
      </c>
      <c r="M123" s="234">
        <f t="shared" si="173"/>
        <v>0.25</v>
      </c>
      <c r="N123" s="234">
        <f t="shared" si="173"/>
        <v>0.25</v>
      </c>
      <c r="O123" s="234">
        <f t="shared" si="173"/>
        <v>0.25</v>
      </c>
      <c r="P123" s="14"/>
    </row>
    <row r="124" spans="1:16" x14ac:dyDescent="0.25">
      <c r="B124" s="14" t="s">
        <v>122</v>
      </c>
      <c r="C124" s="14"/>
      <c r="D124" s="30">
        <v>-0.2</v>
      </c>
      <c r="E124" s="234">
        <f>D124</f>
        <v>-0.2</v>
      </c>
      <c r="F124" s="234">
        <f t="shared" si="173"/>
        <v>-0.2</v>
      </c>
      <c r="G124" s="234">
        <f t="shared" si="173"/>
        <v>-0.2</v>
      </c>
      <c r="H124" s="234">
        <f t="shared" si="173"/>
        <v>-0.2</v>
      </c>
      <c r="I124" s="234">
        <f t="shared" si="173"/>
        <v>-0.2</v>
      </c>
      <c r="J124" s="234">
        <f t="shared" si="173"/>
        <v>-0.2</v>
      </c>
      <c r="K124" s="234">
        <f t="shared" si="173"/>
        <v>-0.2</v>
      </c>
      <c r="L124" s="234">
        <f t="shared" si="173"/>
        <v>-0.2</v>
      </c>
      <c r="M124" s="234">
        <f t="shared" si="173"/>
        <v>-0.2</v>
      </c>
      <c r="N124" s="234">
        <f t="shared" si="173"/>
        <v>-0.2</v>
      </c>
      <c r="O124" s="234">
        <f t="shared" si="173"/>
        <v>-0.2</v>
      </c>
      <c r="P124" s="14"/>
    </row>
    <row r="125" spans="1:16" x14ac:dyDescent="0.25">
      <c r="A125" t="s">
        <v>123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P125" s="14"/>
    </row>
    <row r="126" spans="1:16" x14ac:dyDescent="0.25">
      <c r="B126" s="14" t="s">
        <v>114</v>
      </c>
      <c r="C126" s="14"/>
      <c r="D126" s="30">
        <v>4822.62</v>
      </c>
      <c r="E126" s="30">
        <v>5171.1000000000004</v>
      </c>
      <c r="F126" s="30">
        <v>4464.0200000000004</v>
      </c>
      <c r="G126" s="30">
        <v>4783.68</v>
      </c>
      <c r="H126" s="30">
        <v>3691.38</v>
      </c>
      <c r="I126" s="30">
        <v>2716.56</v>
      </c>
      <c r="J126" s="30">
        <v>2773.76</v>
      </c>
      <c r="K126" s="30">
        <v>3078.02</v>
      </c>
      <c r="L126" s="30">
        <v>3984.2</v>
      </c>
      <c r="M126" s="30">
        <v>2758.14</v>
      </c>
      <c r="N126" s="30">
        <v>4475.0200000000004</v>
      </c>
      <c r="O126" s="30">
        <v>4169.22</v>
      </c>
      <c r="P126" s="265">
        <f t="shared" ref="P126:P128" si="174">SUM(D126:O126)</f>
        <v>46887.72</v>
      </c>
    </row>
    <row r="127" spans="1:16" x14ac:dyDescent="0.25">
      <c r="B127" s="14" t="s">
        <v>117</v>
      </c>
      <c r="C127" s="14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265">
        <f t="shared" si="174"/>
        <v>0</v>
      </c>
    </row>
    <row r="128" spans="1:16" x14ac:dyDescent="0.25">
      <c r="B128" s="14" t="s">
        <v>121</v>
      </c>
      <c r="C128" s="14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265">
        <f t="shared" si="174"/>
        <v>0</v>
      </c>
    </row>
    <row r="129" spans="1:16" x14ac:dyDescent="0.25">
      <c r="B129" s="14" t="s">
        <v>115</v>
      </c>
      <c r="C129" s="14"/>
      <c r="D129" s="30">
        <v>5.5</v>
      </c>
      <c r="E129" s="234">
        <f>D129</f>
        <v>5.5</v>
      </c>
      <c r="F129" s="234">
        <f t="shared" ref="F129:O131" si="175">E129</f>
        <v>5.5</v>
      </c>
      <c r="G129" s="234">
        <f t="shared" si="175"/>
        <v>5.5</v>
      </c>
      <c r="H129" s="234">
        <f t="shared" si="175"/>
        <v>5.5</v>
      </c>
      <c r="I129" s="234">
        <f t="shared" si="175"/>
        <v>5.5</v>
      </c>
      <c r="J129" s="234">
        <f t="shared" si="175"/>
        <v>5.5</v>
      </c>
      <c r="K129" s="234">
        <f t="shared" si="175"/>
        <v>5.5</v>
      </c>
      <c r="L129" s="234">
        <f t="shared" si="175"/>
        <v>5.5</v>
      </c>
      <c r="M129" s="234">
        <f t="shared" si="175"/>
        <v>5.5</v>
      </c>
      <c r="N129" s="234">
        <f t="shared" si="175"/>
        <v>5.5</v>
      </c>
      <c r="O129" s="234">
        <f t="shared" si="175"/>
        <v>5.5</v>
      </c>
      <c r="P129" s="14"/>
    </row>
    <row r="130" spans="1:16" x14ac:dyDescent="0.25">
      <c r="B130" s="14" t="s">
        <v>118</v>
      </c>
      <c r="C130" s="14"/>
      <c r="D130" s="30">
        <v>0.25</v>
      </c>
      <c r="E130" s="234">
        <f>D130</f>
        <v>0.25</v>
      </c>
      <c r="F130" s="234">
        <f t="shared" si="175"/>
        <v>0.25</v>
      </c>
      <c r="G130" s="234">
        <f t="shared" si="175"/>
        <v>0.25</v>
      </c>
      <c r="H130" s="234">
        <f t="shared" si="175"/>
        <v>0.25</v>
      </c>
      <c r="I130" s="234">
        <f t="shared" si="175"/>
        <v>0.25</v>
      </c>
      <c r="J130" s="234">
        <f t="shared" si="175"/>
        <v>0.25</v>
      </c>
      <c r="K130" s="234">
        <f t="shared" si="175"/>
        <v>0.25</v>
      </c>
      <c r="L130" s="234">
        <f t="shared" si="175"/>
        <v>0.25</v>
      </c>
      <c r="M130" s="234">
        <f t="shared" si="175"/>
        <v>0.25</v>
      </c>
      <c r="N130" s="234">
        <f t="shared" si="175"/>
        <v>0.25</v>
      </c>
      <c r="O130" s="234">
        <f t="shared" si="175"/>
        <v>0.25</v>
      </c>
      <c r="P130" s="14"/>
    </row>
    <row r="131" spans="1:16" x14ac:dyDescent="0.25">
      <c r="B131" s="14" t="s">
        <v>122</v>
      </c>
      <c r="C131" s="14"/>
      <c r="D131" s="30">
        <v>-0.2</v>
      </c>
      <c r="E131" s="234">
        <f>D131</f>
        <v>-0.2</v>
      </c>
      <c r="F131" s="234">
        <f t="shared" si="175"/>
        <v>-0.2</v>
      </c>
      <c r="G131" s="234">
        <f t="shared" si="175"/>
        <v>-0.2</v>
      </c>
      <c r="H131" s="234">
        <f t="shared" si="175"/>
        <v>-0.2</v>
      </c>
      <c r="I131" s="234">
        <f t="shared" si="175"/>
        <v>-0.2</v>
      </c>
      <c r="J131" s="234">
        <f t="shared" si="175"/>
        <v>-0.2</v>
      </c>
      <c r="K131" s="234">
        <f t="shared" si="175"/>
        <v>-0.2</v>
      </c>
      <c r="L131" s="234">
        <f t="shared" si="175"/>
        <v>-0.2</v>
      </c>
      <c r="M131" s="234">
        <f t="shared" si="175"/>
        <v>-0.2</v>
      </c>
      <c r="N131" s="234">
        <f t="shared" si="175"/>
        <v>-0.2</v>
      </c>
      <c r="O131" s="234">
        <f t="shared" si="175"/>
        <v>-0.2</v>
      </c>
      <c r="P131" s="14"/>
    </row>
    <row r="132" spans="1:16" x14ac:dyDescent="0.25">
      <c r="A132" t="s">
        <v>49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P132" s="14"/>
    </row>
    <row r="133" spans="1:16" x14ac:dyDescent="0.25">
      <c r="B133" s="14" t="s">
        <v>114</v>
      </c>
      <c r="C133" s="14"/>
      <c r="D133" s="30">
        <v>140327.5</v>
      </c>
      <c r="E133" s="30">
        <v>143116.74</v>
      </c>
      <c r="F133" s="30">
        <v>139642.96</v>
      </c>
      <c r="G133" s="30">
        <v>134147.93</v>
      </c>
      <c r="H133" s="30">
        <v>136910.82</v>
      </c>
      <c r="I133" s="30">
        <v>130340.84</v>
      </c>
      <c r="J133" s="30">
        <v>134036.78</v>
      </c>
      <c r="K133" s="30">
        <v>139727.39000000001</v>
      </c>
      <c r="L133" s="30">
        <v>141546.01</v>
      </c>
      <c r="M133" s="30">
        <v>140504.37</v>
      </c>
      <c r="N133" s="30">
        <v>145074.06</v>
      </c>
      <c r="O133" s="30">
        <v>139001.97</v>
      </c>
      <c r="P133" s="265">
        <f t="shared" ref="P133:P135" si="176">SUM(D133:O133)</f>
        <v>1664377.3699999999</v>
      </c>
    </row>
    <row r="134" spans="1:16" x14ac:dyDescent="0.25">
      <c r="B134" s="14" t="s">
        <v>124</v>
      </c>
      <c r="C134" s="14"/>
      <c r="D134" s="30">
        <v>-10688.33</v>
      </c>
      <c r="E134" s="30">
        <v>-10013.719999999999</v>
      </c>
      <c r="F134" s="30">
        <v>-9995.84</v>
      </c>
      <c r="G134" s="30">
        <v>-9798.2999999999993</v>
      </c>
      <c r="H134" s="30">
        <v>-9735.0499999999993</v>
      </c>
      <c r="I134" s="30">
        <v>-9609.3799999999992</v>
      </c>
      <c r="J134" s="30">
        <v>-9933.25</v>
      </c>
      <c r="K134" s="30">
        <v>-10195.36</v>
      </c>
      <c r="L134" s="30">
        <v>-10275.790000000001</v>
      </c>
      <c r="M134" s="30">
        <v>-10230.43</v>
      </c>
      <c r="N134" s="30">
        <v>-10318.91</v>
      </c>
      <c r="O134" s="30">
        <v>-10079.43</v>
      </c>
      <c r="P134" s="265">
        <f t="shared" si="176"/>
        <v>-120873.78999999998</v>
      </c>
    </row>
    <row r="135" spans="1:16" x14ac:dyDescent="0.25">
      <c r="B135" s="14" t="s">
        <v>124</v>
      </c>
      <c r="C135" s="14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265">
        <f t="shared" si="176"/>
        <v>0</v>
      </c>
    </row>
    <row r="136" spans="1:16" x14ac:dyDescent="0.25">
      <c r="B136" s="14" t="s">
        <v>115</v>
      </c>
      <c r="C136" s="14"/>
      <c r="D136" s="30">
        <v>5</v>
      </c>
      <c r="E136" s="234">
        <f t="shared" ref="E136:O138" si="177">D136</f>
        <v>5</v>
      </c>
      <c r="F136" s="234">
        <f t="shared" si="177"/>
        <v>5</v>
      </c>
      <c r="G136" s="234">
        <f t="shared" si="177"/>
        <v>5</v>
      </c>
      <c r="H136" s="234">
        <f t="shared" si="177"/>
        <v>5</v>
      </c>
      <c r="I136" s="234">
        <f t="shared" si="177"/>
        <v>5</v>
      </c>
      <c r="J136" s="234">
        <f t="shared" si="177"/>
        <v>5</v>
      </c>
      <c r="K136" s="234">
        <f t="shared" si="177"/>
        <v>5</v>
      </c>
      <c r="L136" s="234">
        <f t="shared" si="177"/>
        <v>5</v>
      </c>
      <c r="M136" s="234">
        <f t="shared" si="177"/>
        <v>5</v>
      </c>
      <c r="N136" s="234">
        <f t="shared" si="177"/>
        <v>5</v>
      </c>
      <c r="O136" s="234">
        <f t="shared" si="177"/>
        <v>5</v>
      </c>
      <c r="P136" s="14"/>
    </row>
    <row r="137" spans="1:16" x14ac:dyDescent="0.25">
      <c r="B137" s="14" t="s">
        <v>125</v>
      </c>
      <c r="C137" s="14"/>
      <c r="D137" s="30">
        <v>-0.2</v>
      </c>
      <c r="E137" s="234">
        <f t="shared" si="177"/>
        <v>-0.2</v>
      </c>
      <c r="F137" s="234">
        <f t="shared" si="177"/>
        <v>-0.2</v>
      </c>
      <c r="G137" s="234">
        <f t="shared" si="177"/>
        <v>-0.2</v>
      </c>
      <c r="H137" s="234">
        <f t="shared" si="177"/>
        <v>-0.2</v>
      </c>
      <c r="I137" s="234">
        <f t="shared" si="177"/>
        <v>-0.2</v>
      </c>
      <c r="J137" s="234">
        <f t="shared" si="177"/>
        <v>-0.2</v>
      </c>
      <c r="K137" s="234">
        <f t="shared" si="177"/>
        <v>-0.2</v>
      </c>
      <c r="L137" s="234">
        <f t="shared" si="177"/>
        <v>-0.2</v>
      </c>
      <c r="M137" s="234">
        <f t="shared" si="177"/>
        <v>-0.2</v>
      </c>
      <c r="N137" s="234">
        <f t="shared" si="177"/>
        <v>-0.2</v>
      </c>
      <c r="O137" s="234">
        <f t="shared" si="177"/>
        <v>-0.2</v>
      </c>
      <c r="P137" s="14"/>
    </row>
    <row r="138" spans="1:16" x14ac:dyDescent="0.25">
      <c r="B138" s="14" t="s">
        <v>125</v>
      </c>
      <c r="C138" s="14"/>
      <c r="D138" s="30">
        <v>-0.2</v>
      </c>
      <c r="E138" s="234">
        <f t="shared" si="177"/>
        <v>-0.2</v>
      </c>
      <c r="F138" s="234">
        <f t="shared" si="177"/>
        <v>-0.2</v>
      </c>
      <c r="G138" s="234">
        <f t="shared" si="177"/>
        <v>-0.2</v>
      </c>
      <c r="H138" s="234">
        <f t="shared" si="177"/>
        <v>-0.2</v>
      </c>
      <c r="I138" s="234">
        <f t="shared" si="177"/>
        <v>-0.2</v>
      </c>
      <c r="J138" s="234">
        <f t="shared" si="177"/>
        <v>-0.2</v>
      </c>
      <c r="K138" s="234">
        <f t="shared" si="177"/>
        <v>-0.2</v>
      </c>
      <c r="L138" s="234">
        <f t="shared" si="177"/>
        <v>-0.2</v>
      </c>
      <c r="M138" s="234">
        <f t="shared" si="177"/>
        <v>-0.2</v>
      </c>
      <c r="N138" s="234">
        <f t="shared" si="177"/>
        <v>-0.2</v>
      </c>
      <c r="O138" s="234">
        <f t="shared" si="177"/>
        <v>-0.2</v>
      </c>
      <c r="P138" s="14"/>
    </row>
    <row r="139" spans="1:16" x14ac:dyDescent="0.25">
      <c r="A139" t="s">
        <v>59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P139" s="14"/>
    </row>
    <row r="140" spans="1:16" x14ac:dyDescent="0.25">
      <c r="B140" s="14" t="s">
        <v>114</v>
      </c>
      <c r="C140" s="14"/>
      <c r="D140" s="30">
        <v>260000</v>
      </c>
      <c r="E140" s="30">
        <v>260000</v>
      </c>
      <c r="F140" s="30">
        <v>260000</v>
      </c>
      <c r="G140" s="30">
        <v>260000</v>
      </c>
      <c r="H140" s="30">
        <v>260000</v>
      </c>
      <c r="I140" s="30">
        <v>260000</v>
      </c>
      <c r="J140" s="30">
        <v>260000</v>
      </c>
      <c r="K140" s="30">
        <v>260000</v>
      </c>
      <c r="L140" s="30">
        <v>260000</v>
      </c>
      <c r="M140" s="30">
        <v>260000</v>
      </c>
      <c r="N140" s="30">
        <v>260000</v>
      </c>
      <c r="O140" s="30">
        <v>250800</v>
      </c>
      <c r="P140" s="265">
        <f t="shared" ref="P140:P142" si="178">SUM(D140:O140)</f>
        <v>3110800</v>
      </c>
    </row>
    <row r="141" spans="1:16" x14ac:dyDescent="0.25">
      <c r="B141" s="14" t="s">
        <v>247</v>
      </c>
      <c r="C141" s="14"/>
      <c r="D141" s="30">
        <v>46475</v>
      </c>
      <c r="E141" s="30">
        <v>6050</v>
      </c>
      <c r="F141" s="30">
        <v>2625</v>
      </c>
      <c r="G141" s="30">
        <v>60025</v>
      </c>
      <c r="H141" s="30">
        <v>45850</v>
      </c>
      <c r="I141" s="30">
        <v>106750</v>
      </c>
      <c r="J141" s="30">
        <v>136825</v>
      </c>
      <c r="K141" s="30">
        <v>66150</v>
      </c>
      <c r="L141" s="30">
        <v>72575</v>
      </c>
      <c r="M141" s="30">
        <v>29550</v>
      </c>
      <c r="N141" s="30">
        <v>91425</v>
      </c>
      <c r="O141" s="30">
        <v>0</v>
      </c>
      <c r="P141" s="265">
        <f t="shared" si="178"/>
        <v>664300</v>
      </c>
    </row>
    <row r="142" spans="1:16" x14ac:dyDescent="0.25">
      <c r="B142" s="14" t="s">
        <v>124</v>
      </c>
      <c r="C142" s="14"/>
      <c r="D142" s="30">
        <v>-14718</v>
      </c>
      <c r="E142" s="30">
        <v>-11484</v>
      </c>
      <c r="F142" s="30">
        <v>-11210</v>
      </c>
      <c r="G142" s="30">
        <v>-15802</v>
      </c>
      <c r="H142" s="30">
        <v>-14668</v>
      </c>
      <c r="I142" s="30">
        <v>-19540</v>
      </c>
      <c r="J142" s="30">
        <v>-21946</v>
      </c>
      <c r="K142" s="30">
        <v>-16292</v>
      </c>
      <c r="L142" s="30">
        <v>-16806</v>
      </c>
      <c r="M142" s="30">
        <v>-13364</v>
      </c>
      <c r="N142" s="30">
        <v>-18314</v>
      </c>
      <c r="O142" s="30">
        <v>-10632</v>
      </c>
      <c r="P142" s="265">
        <f t="shared" si="178"/>
        <v>-184776</v>
      </c>
    </row>
    <row r="143" spans="1:16" x14ac:dyDescent="0.25">
      <c r="B143" s="14" t="s">
        <v>115</v>
      </c>
      <c r="C143" s="14"/>
      <c r="D143" s="30">
        <v>5</v>
      </c>
      <c r="E143" s="235">
        <f t="shared" ref="E143:O144" si="179">D143</f>
        <v>5</v>
      </c>
      <c r="F143" s="235">
        <f t="shared" si="179"/>
        <v>5</v>
      </c>
      <c r="G143" s="235">
        <f t="shared" si="179"/>
        <v>5</v>
      </c>
      <c r="H143" s="235">
        <f t="shared" si="179"/>
        <v>5</v>
      </c>
      <c r="I143" s="235">
        <f t="shared" si="179"/>
        <v>5</v>
      </c>
      <c r="J143" s="235">
        <f t="shared" si="179"/>
        <v>5</v>
      </c>
      <c r="K143" s="235">
        <f t="shared" si="179"/>
        <v>5</v>
      </c>
      <c r="L143" s="235">
        <f t="shared" si="179"/>
        <v>5</v>
      </c>
      <c r="M143" s="235">
        <f t="shared" si="179"/>
        <v>5</v>
      </c>
      <c r="N143" s="235">
        <f t="shared" si="179"/>
        <v>5</v>
      </c>
      <c r="O143" s="235">
        <f t="shared" si="179"/>
        <v>5</v>
      </c>
      <c r="P143" s="14"/>
    </row>
    <row r="144" spans="1:16" x14ac:dyDescent="0.25">
      <c r="B144" s="14" t="s">
        <v>248</v>
      </c>
      <c r="C144" s="14"/>
      <c r="D144" s="30">
        <v>2.5</v>
      </c>
      <c r="E144" s="235">
        <f t="shared" si="179"/>
        <v>2.5</v>
      </c>
      <c r="F144" s="235">
        <f t="shared" si="179"/>
        <v>2.5</v>
      </c>
      <c r="G144" s="235">
        <f t="shared" si="179"/>
        <v>2.5</v>
      </c>
      <c r="H144" s="235">
        <f t="shared" si="179"/>
        <v>2.5</v>
      </c>
      <c r="I144" s="235">
        <f t="shared" si="179"/>
        <v>2.5</v>
      </c>
      <c r="J144" s="235">
        <f t="shared" si="179"/>
        <v>2.5</v>
      </c>
      <c r="K144" s="235">
        <f t="shared" si="179"/>
        <v>2.5</v>
      </c>
      <c r="L144" s="235">
        <f t="shared" si="179"/>
        <v>2.5</v>
      </c>
      <c r="M144" s="235">
        <f t="shared" si="179"/>
        <v>2.5</v>
      </c>
      <c r="N144" s="235">
        <f t="shared" si="179"/>
        <v>2.5</v>
      </c>
      <c r="O144" s="235">
        <f t="shared" si="179"/>
        <v>2.5</v>
      </c>
      <c r="P144" s="265"/>
    </row>
    <row r="145" spans="1:16" x14ac:dyDescent="0.25">
      <c r="B145" s="14" t="s">
        <v>125</v>
      </c>
      <c r="C145" s="14"/>
      <c r="D145" s="30">
        <v>-0.2</v>
      </c>
      <c r="E145" s="235">
        <f>D145</f>
        <v>-0.2</v>
      </c>
      <c r="F145" s="235">
        <f t="shared" ref="F145:O145" si="180">E145</f>
        <v>-0.2</v>
      </c>
      <c r="G145" s="235">
        <f t="shared" si="180"/>
        <v>-0.2</v>
      </c>
      <c r="H145" s="235">
        <f t="shared" si="180"/>
        <v>-0.2</v>
      </c>
      <c r="I145" s="235">
        <f t="shared" si="180"/>
        <v>-0.2</v>
      </c>
      <c r="J145" s="235">
        <f t="shared" si="180"/>
        <v>-0.2</v>
      </c>
      <c r="K145" s="235">
        <f t="shared" si="180"/>
        <v>-0.2</v>
      </c>
      <c r="L145" s="235">
        <f t="shared" si="180"/>
        <v>-0.2</v>
      </c>
      <c r="M145" s="235">
        <f t="shared" si="180"/>
        <v>-0.2</v>
      </c>
      <c r="N145" s="235">
        <f t="shared" si="180"/>
        <v>-0.2</v>
      </c>
      <c r="O145" s="235">
        <f t="shared" si="180"/>
        <v>-0.2</v>
      </c>
      <c r="P145" s="14"/>
    </row>
    <row r="146" spans="1:16" x14ac:dyDescent="0.25">
      <c r="A146" t="s">
        <v>130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P146" s="14"/>
    </row>
    <row r="147" spans="1:16" x14ac:dyDescent="0.25">
      <c r="B147" s="14" t="s">
        <v>117</v>
      </c>
      <c r="C147" s="14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265">
        <f t="shared" ref="P147" si="181">SUM(D147:O147)</f>
        <v>0</v>
      </c>
    </row>
    <row r="148" spans="1:16" x14ac:dyDescent="0.25">
      <c r="B148" s="14" t="s">
        <v>118</v>
      </c>
      <c r="C148" s="14"/>
      <c r="D148" s="30">
        <v>0.25</v>
      </c>
      <c r="E148" s="235">
        <f>D148</f>
        <v>0.25</v>
      </c>
      <c r="F148" s="235">
        <f t="shared" ref="F148:O148" si="182">E148</f>
        <v>0.25</v>
      </c>
      <c r="G148" s="235">
        <f t="shared" si="182"/>
        <v>0.25</v>
      </c>
      <c r="H148" s="235">
        <f t="shared" si="182"/>
        <v>0.25</v>
      </c>
      <c r="I148" s="235">
        <f t="shared" si="182"/>
        <v>0.25</v>
      </c>
      <c r="J148" s="235">
        <f t="shared" si="182"/>
        <v>0.25</v>
      </c>
      <c r="K148" s="235">
        <f t="shared" si="182"/>
        <v>0.25</v>
      </c>
      <c r="L148" s="235">
        <f t="shared" si="182"/>
        <v>0.25</v>
      </c>
      <c r="M148" s="235">
        <f t="shared" si="182"/>
        <v>0.25</v>
      </c>
      <c r="N148" s="235">
        <f t="shared" si="182"/>
        <v>0.25</v>
      </c>
      <c r="O148" s="235">
        <f t="shared" si="182"/>
        <v>0.25</v>
      </c>
      <c r="P148" s="14"/>
    </row>
    <row r="149" spans="1:16" x14ac:dyDescent="0.25">
      <c r="A149" t="s">
        <v>131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P149" s="14"/>
    </row>
    <row r="150" spans="1:16" x14ac:dyDescent="0.25">
      <c r="B150" s="14" t="s">
        <v>117</v>
      </c>
      <c r="C150" s="14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265">
        <f t="shared" ref="P150" si="183">SUM(D150:O150)</f>
        <v>0</v>
      </c>
    </row>
    <row r="151" spans="1:16" x14ac:dyDescent="0.25">
      <c r="B151" s="14" t="s">
        <v>118</v>
      </c>
      <c r="C151" s="14"/>
      <c r="D151" s="30">
        <v>0.25</v>
      </c>
      <c r="E151" s="235">
        <f>D151</f>
        <v>0.25</v>
      </c>
      <c r="F151" s="235">
        <f t="shared" ref="F151:O151" si="184">E151</f>
        <v>0.25</v>
      </c>
      <c r="G151" s="235">
        <f t="shared" si="184"/>
        <v>0.25</v>
      </c>
      <c r="H151" s="235">
        <f t="shared" si="184"/>
        <v>0.25</v>
      </c>
      <c r="I151" s="235">
        <f t="shared" si="184"/>
        <v>0.25</v>
      </c>
      <c r="J151" s="235">
        <f t="shared" si="184"/>
        <v>0.25</v>
      </c>
      <c r="K151" s="235">
        <f t="shared" si="184"/>
        <v>0.25</v>
      </c>
      <c r="L151" s="235">
        <f t="shared" si="184"/>
        <v>0.25</v>
      </c>
      <c r="M151" s="235">
        <f t="shared" si="184"/>
        <v>0.25</v>
      </c>
      <c r="N151" s="235">
        <f t="shared" si="184"/>
        <v>0.25</v>
      </c>
      <c r="O151" s="235">
        <f t="shared" si="184"/>
        <v>0.25</v>
      </c>
      <c r="P151" s="14"/>
    </row>
    <row r="152" spans="1:16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P152" s="14"/>
    </row>
    <row r="153" spans="1:16" x14ac:dyDescent="0.2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P153" s="14"/>
    </row>
    <row r="154" spans="1:16" x14ac:dyDescent="0.2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P154" s="14"/>
    </row>
    <row r="155" spans="1:16" x14ac:dyDescent="0.2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P155" s="14"/>
    </row>
    <row r="156" spans="1:16" x14ac:dyDescent="0.2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P156" s="14"/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0" max="16383" man="1"/>
    <brk id="104" max="15" man="1"/>
  </rowBreaks>
  <colBreaks count="1" manualBreakCount="1">
    <brk id="1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7"/>
  <sheetViews>
    <sheetView tabSelected="1" zoomScale="83" zoomScaleNormal="83" workbookViewId="0">
      <pane xSplit="2" ySplit="2" topLeftCell="O72" activePane="bottomRight" state="frozen"/>
      <selection pane="topRight" activeCell="C1" sqref="C1"/>
      <selection pane="bottomLeft" activeCell="A3" sqref="A3"/>
      <selection pane="bottomRight" activeCell="AF85" sqref="AF85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2.140625" style="14" customWidth="1"/>
    <col min="18" max="18" width="10.8554687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.85546875" customWidth="1"/>
    <col min="29" max="29" width="11.85546875" style="14" customWidth="1"/>
    <col min="30" max="30" width="12.28515625" style="14" customWidth="1"/>
    <col min="31" max="31" width="12.7109375" customWidth="1"/>
    <col min="32" max="32" width="18" customWidth="1"/>
    <col min="33" max="33" width="8.85546875" hidden="1" customWidth="1"/>
    <col min="36" max="36" width="12.5703125" bestFit="1" customWidth="1"/>
    <col min="38" max="38" width="12.5703125" bestFit="1" customWidth="1"/>
  </cols>
  <sheetData>
    <row r="1" spans="1:31" x14ac:dyDescent="0.25">
      <c r="A1" t="s">
        <v>62</v>
      </c>
      <c r="O1" s="17" t="s">
        <v>246</v>
      </c>
      <c r="R1" s="14" t="s">
        <v>300</v>
      </c>
      <c r="S1" s="14"/>
      <c r="T1" s="14"/>
      <c r="U1" s="14"/>
      <c r="V1" s="14"/>
      <c r="W1" s="14"/>
      <c r="X1" s="14"/>
    </row>
    <row r="2" spans="1:31" x14ac:dyDescent="0.25">
      <c r="B2">
        <v>2021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7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63</v>
      </c>
      <c r="B3" t="s">
        <v>14</v>
      </c>
      <c r="D3" s="10">
        <v>162808</v>
      </c>
      <c r="E3" s="10">
        <v>162594</v>
      </c>
      <c r="F3" s="10">
        <v>183866</v>
      </c>
      <c r="G3" s="10">
        <v>169998</v>
      </c>
      <c r="H3" s="10">
        <v>169961</v>
      </c>
      <c r="I3" s="10">
        <v>170090</v>
      </c>
      <c r="J3" s="10">
        <v>170133</v>
      </c>
      <c r="K3" s="10">
        <v>170413</v>
      </c>
      <c r="L3" s="10">
        <v>170256</v>
      </c>
      <c r="M3" s="10">
        <v>170735</v>
      </c>
      <c r="N3" s="10">
        <v>170846</v>
      </c>
      <c r="O3" s="10">
        <v>171359</v>
      </c>
      <c r="P3" s="2">
        <f>SUM(D3:O3)</f>
        <v>2043059</v>
      </c>
      <c r="Q3" s="10">
        <v>7</v>
      </c>
      <c r="R3" s="249">
        <v>9.5</v>
      </c>
      <c r="S3" s="3">
        <f>$R3*D3</f>
        <v>1546676</v>
      </c>
      <c r="T3" s="3">
        <f t="shared" ref="S3:AD12" si="0">$R3*E3</f>
        <v>1544643</v>
      </c>
      <c r="U3" s="3">
        <f t="shared" si="0"/>
        <v>1746727</v>
      </c>
      <c r="V3" s="3">
        <f t="shared" si="0"/>
        <v>1614981</v>
      </c>
      <c r="W3" s="3">
        <f t="shared" si="0"/>
        <v>1614629.5</v>
      </c>
      <c r="X3" s="3">
        <f t="shared" si="0"/>
        <v>1615855</v>
      </c>
      <c r="Y3" s="3">
        <f t="shared" si="0"/>
        <v>1616263.5</v>
      </c>
      <c r="Z3" s="3">
        <f t="shared" si="0"/>
        <v>1618923.5</v>
      </c>
      <c r="AA3" s="3">
        <f t="shared" si="0"/>
        <v>1617432</v>
      </c>
      <c r="AB3" s="3">
        <f t="shared" si="0"/>
        <v>1621982.5</v>
      </c>
      <c r="AC3" s="20">
        <f t="shared" si="0"/>
        <v>1623037</v>
      </c>
      <c r="AD3" s="20">
        <f>$R3*O3</f>
        <v>1627910.5</v>
      </c>
      <c r="AE3" s="3">
        <f>SUM(S3:AD3)</f>
        <v>19409060.5</v>
      </c>
    </row>
    <row r="4" spans="1:31" x14ac:dyDescent="0.25">
      <c r="B4" t="s">
        <v>82</v>
      </c>
      <c r="D4" s="10">
        <v>10509241.289580001</v>
      </c>
      <c r="E4" s="10">
        <v>10514595.591949999</v>
      </c>
      <c r="F4" s="10">
        <v>11434625.444250001</v>
      </c>
      <c r="G4" s="10">
        <v>9083835.5007399991</v>
      </c>
      <c r="H4" s="10">
        <v>5413354.7705800002</v>
      </c>
      <c r="I4" s="10">
        <v>3462637.4581200001</v>
      </c>
      <c r="J4" s="10">
        <v>2081811.3002800001</v>
      </c>
      <c r="K4" s="10">
        <v>1911726.52844</v>
      </c>
      <c r="L4" s="10">
        <v>2272527.9758299999</v>
      </c>
      <c r="M4" s="10">
        <v>4695408.0613599997</v>
      </c>
      <c r="N4" s="10">
        <v>8551336.5965299997</v>
      </c>
      <c r="O4" s="10">
        <v>10644641.030680001</v>
      </c>
      <c r="P4" s="2">
        <f t="shared" ref="P4:P63" si="1">SUM(D4:O4)</f>
        <v>80575741.548340008</v>
      </c>
      <c r="Q4" s="15">
        <f>IF(P4-P3*Q3&gt;0,P4-P3*Q3,0)</f>
        <v>66274328.548340008</v>
      </c>
      <c r="R4" s="250">
        <v>0.82621</v>
      </c>
      <c r="S4" s="3">
        <f>$R4*D4</f>
        <v>8682840.2458638921</v>
      </c>
      <c r="T4" s="3">
        <f t="shared" si="0"/>
        <v>8687264.0240250081</v>
      </c>
      <c r="U4" s="3">
        <f t="shared" si="0"/>
        <v>9447401.8882937934</v>
      </c>
      <c r="V4" s="3">
        <f t="shared" si="0"/>
        <v>7505155.7290663943</v>
      </c>
      <c r="W4" s="3">
        <f t="shared" si="0"/>
        <v>4472567.8450009022</v>
      </c>
      <c r="X4" s="3">
        <f t="shared" si="0"/>
        <v>2860865.6942733251</v>
      </c>
      <c r="Y4" s="3">
        <f t="shared" si="0"/>
        <v>1720013.3144043388</v>
      </c>
      <c r="Z4" s="3">
        <f t="shared" si="0"/>
        <v>1579487.5750624125</v>
      </c>
      <c r="AA4" s="3">
        <f t="shared" si="0"/>
        <v>1877585.3389105042</v>
      </c>
      <c r="AB4" s="3">
        <f t="shared" si="0"/>
        <v>3879393.0943762455</v>
      </c>
      <c r="AC4" s="20">
        <f t="shared" si="0"/>
        <v>7065199.8094190508</v>
      </c>
      <c r="AD4" s="20">
        <f t="shared" si="0"/>
        <v>8794708.8659581225</v>
      </c>
      <c r="AE4" s="3">
        <f t="shared" ref="AE4:AE52" si="2">SUM(S4:AD4)</f>
        <v>66572483.424653985</v>
      </c>
    </row>
    <row r="5" spans="1:31" x14ac:dyDescent="0.25">
      <c r="B5" t="s">
        <v>83</v>
      </c>
      <c r="D5" s="10">
        <v>10332423.743760001</v>
      </c>
      <c r="E5" s="10">
        <v>10685463.004869999</v>
      </c>
      <c r="F5" s="10">
        <v>8507566.6947600003</v>
      </c>
      <c r="G5" s="10">
        <v>2871240.2220399999</v>
      </c>
      <c r="H5" s="10">
        <v>570599.92235999997</v>
      </c>
      <c r="I5" s="10">
        <v>288271.11978000001</v>
      </c>
      <c r="J5" s="10">
        <v>123414.41982</v>
      </c>
      <c r="K5" s="10">
        <v>136842.90794</v>
      </c>
      <c r="L5" s="10">
        <v>239521.18598000001</v>
      </c>
      <c r="M5" s="10">
        <v>449532.28207999998</v>
      </c>
      <c r="N5" s="10">
        <v>2387235.3488400001</v>
      </c>
      <c r="O5" s="10">
        <v>7920067.6814799998</v>
      </c>
      <c r="P5" s="2">
        <f t="shared" si="1"/>
        <v>44512178.533710003</v>
      </c>
      <c r="Q5" s="15">
        <f>IF(P4-P3*Q3&lt;0,P5+P4-P3*Q3,P5)</f>
        <v>44512178.533710003</v>
      </c>
      <c r="R5" s="250">
        <v>0.94918999999999998</v>
      </c>
      <c r="S5" s="3">
        <f>$R5*D5</f>
        <v>9807433.2933395542</v>
      </c>
      <c r="T5" s="3">
        <f t="shared" si="0"/>
        <v>10142534.629592555</v>
      </c>
      <c r="U5" s="3">
        <f t="shared" si="0"/>
        <v>8075297.2309992444</v>
      </c>
      <c r="V5" s="3">
        <f t="shared" si="0"/>
        <v>2725352.5063581476</v>
      </c>
      <c r="W5" s="3">
        <f t="shared" si="0"/>
        <v>541607.74030488834</v>
      </c>
      <c r="X5" s="3">
        <f t="shared" si="0"/>
        <v>273624.06418397819</v>
      </c>
      <c r="Y5" s="3">
        <f t="shared" si="0"/>
        <v>117143.73314894579</v>
      </c>
      <c r="Z5" s="3">
        <f t="shared" si="0"/>
        <v>129889.91978756861</v>
      </c>
      <c r="AA5" s="3">
        <f t="shared" si="0"/>
        <v>227351.1145203562</v>
      </c>
      <c r="AB5" s="3">
        <f t="shared" si="0"/>
        <v>426691.54682751518</v>
      </c>
      <c r="AC5" s="20">
        <f t="shared" si="0"/>
        <v>2265939.9207654395</v>
      </c>
      <c r="AD5" s="20">
        <f t="shared" si="0"/>
        <v>7517649.0425840011</v>
      </c>
      <c r="AE5" s="3">
        <f t="shared" si="2"/>
        <v>42250514.742412195</v>
      </c>
    </row>
    <row r="6" spans="1:31" x14ac:dyDescent="0.25">
      <c r="A6" t="s">
        <v>64</v>
      </c>
      <c r="B6" t="s">
        <v>14</v>
      </c>
      <c r="D6" s="10">
        <v>262</v>
      </c>
      <c r="E6" s="10">
        <v>271</v>
      </c>
      <c r="F6" s="10">
        <v>314</v>
      </c>
      <c r="G6" s="10">
        <v>297</v>
      </c>
      <c r="H6" s="10">
        <v>302</v>
      </c>
      <c r="I6" s="10">
        <v>306</v>
      </c>
      <c r="J6" s="10">
        <v>311</v>
      </c>
      <c r="K6" s="10">
        <v>311</v>
      </c>
      <c r="L6" s="10">
        <v>333</v>
      </c>
      <c r="M6" s="10">
        <v>397</v>
      </c>
      <c r="N6" s="10">
        <v>410</v>
      </c>
      <c r="O6" s="10">
        <v>415</v>
      </c>
      <c r="P6" s="2">
        <f t="shared" si="1"/>
        <v>3929</v>
      </c>
      <c r="Q6" s="15"/>
      <c r="R6" s="249">
        <v>9.5</v>
      </c>
      <c r="S6" s="3">
        <f t="shared" si="0"/>
        <v>2489</v>
      </c>
      <c r="T6" s="3">
        <f t="shared" si="0"/>
        <v>2574.5</v>
      </c>
      <c r="U6" s="3">
        <f t="shared" si="0"/>
        <v>2983</v>
      </c>
      <c r="V6" s="3">
        <f t="shared" si="0"/>
        <v>2821.5</v>
      </c>
      <c r="W6" s="3">
        <f t="shared" si="0"/>
        <v>2869</v>
      </c>
      <c r="X6" s="3">
        <f t="shared" si="0"/>
        <v>2907</v>
      </c>
      <c r="Y6" s="3">
        <f t="shared" si="0"/>
        <v>2954.5</v>
      </c>
      <c r="Z6" s="3">
        <f t="shared" si="0"/>
        <v>2954.5</v>
      </c>
      <c r="AA6" s="3">
        <f t="shared" si="0"/>
        <v>3163.5</v>
      </c>
      <c r="AB6" s="3">
        <f t="shared" si="0"/>
        <v>3771.5</v>
      </c>
      <c r="AC6" s="20">
        <f t="shared" si="0"/>
        <v>3895</v>
      </c>
      <c r="AD6" s="20">
        <f t="shared" si="0"/>
        <v>3942.5</v>
      </c>
      <c r="AE6" s="3">
        <f t="shared" si="2"/>
        <v>37325.5</v>
      </c>
    </row>
    <row r="7" spans="1:31" x14ac:dyDescent="0.25">
      <c r="B7" t="s">
        <v>82</v>
      </c>
      <c r="D7" s="10">
        <v>18049.81811</v>
      </c>
      <c r="E7" s="10">
        <v>18575.40237</v>
      </c>
      <c r="F7" s="10">
        <v>21030.490809999999</v>
      </c>
      <c r="G7" s="10">
        <v>17810.58365</v>
      </c>
      <c r="H7" s="10">
        <v>10814.6649</v>
      </c>
      <c r="I7" s="10">
        <v>6769.3245900000002</v>
      </c>
      <c r="J7" s="10">
        <v>3500.5953599999998</v>
      </c>
      <c r="K7" s="10">
        <v>3085.3451500000001</v>
      </c>
      <c r="L7" s="10">
        <v>4327.7427299999999</v>
      </c>
      <c r="M7" s="10">
        <v>12548.91519</v>
      </c>
      <c r="N7" s="10">
        <v>22907.427380000001</v>
      </c>
      <c r="O7" s="10">
        <v>27609.61721</v>
      </c>
      <c r="P7" s="2">
        <f t="shared" si="1"/>
        <v>167029.92745000002</v>
      </c>
      <c r="Q7" s="15"/>
      <c r="R7" s="250">
        <v>0.34151999999999999</v>
      </c>
      <c r="S7" s="3">
        <f t="shared" si="0"/>
        <v>6164.3738809271999</v>
      </c>
      <c r="T7" s="3">
        <f t="shared" si="0"/>
        <v>6343.8714174023999</v>
      </c>
      <c r="U7" s="3">
        <f t="shared" si="0"/>
        <v>7182.3332214311995</v>
      </c>
      <c r="V7" s="3">
        <f t="shared" si="0"/>
        <v>6082.6705281479999</v>
      </c>
      <c r="W7" s="3">
        <f t="shared" si="0"/>
        <v>3693.424356648</v>
      </c>
      <c r="X7" s="3">
        <f t="shared" si="0"/>
        <v>2311.8597339767998</v>
      </c>
      <c r="Y7" s="3">
        <f t="shared" si="0"/>
        <v>1195.5233273471999</v>
      </c>
      <c r="Z7" s="3">
        <f t="shared" si="0"/>
        <v>1053.707075628</v>
      </c>
      <c r="AA7" s="3">
        <f t="shared" si="0"/>
        <v>1478.0106971496</v>
      </c>
      <c r="AB7" s="3">
        <f t="shared" si="0"/>
        <v>4285.7055156888</v>
      </c>
      <c r="AC7" s="20">
        <f t="shared" si="0"/>
        <v>7823.3445988175999</v>
      </c>
      <c r="AD7" s="20">
        <f t="shared" si="0"/>
        <v>9429.2364695592005</v>
      </c>
      <c r="AE7" s="3">
        <f t="shared" si="2"/>
        <v>57044.060822724001</v>
      </c>
    </row>
    <row r="8" spans="1:31" x14ac:dyDescent="0.25">
      <c r="B8" t="s">
        <v>83</v>
      </c>
      <c r="D8" s="10">
        <v>14278.836069999999</v>
      </c>
      <c r="E8" s="10">
        <v>15519.134120000001</v>
      </c>
      <c r="F8" s="10">
        <v>11579.92965</v>
      </c>
      <c r="G8" s="10">
        <v>3639.60653</v>
      </c>
      <c r="H8" s="10">
        <v>361.61912000000001</v>
      </c>
      <c r="I8" s="10">
        <v>68.906649999999999</v>
      </c>
      <c r="J8" s="10">
        <v>96.802019999999999</v>
      </c>
      <c r="K8" s="10">
        <v>147.25808000000001</v>
      </c>
      <c r="L8" s="10">
        <v>119.03764</v>
      </c>
      <c r="M8" s="10">
        <v>274.56697000000003</v>
      </c>
      <c r="N8" s="10">
        <v>3785.0754200000001</v>
      </c>
      <c r="O8" s="10">
        <v>15706.303190000001</v>
      </c>
      <c r="P8" s="2">
        <f t="shared" si="1"/>
        <v>65577.075460000007</v>
      </c>
      <c r="Q8" s="15"/>
      <c r="R8" s="250">
        <v>0.46450000000000002</v>
      </c>
      <c r="S8" s="3">
        <f t="shared" si="0"/>
        <v>6632.5193545150005</v>
      </c>
      <c r="T8" s="3">
        <f t="shared" si="0"/>
        <v>7208.637798740001</v>
      </c>
      <c r="U8" s="3">
        <f t="shared" si="0"/>
        <v>5378.8773224249999</v>
      </c>
      <c r="V8" s="3">
        <f t="shared" si="0"/>
        <v>1690.5972331850001</v>
      </c>
      <c r="W8" s="3">
        <f t="shared" si="0"/>
        <v>167.97208124000002</v>
      </c>
      <c r="X8" s="3">
        <f t="shared" si="0"/>
        <v>32.007138925</v>
      </c>
      <c r="Y8" s="3">
        <f t="shared" si="0"/>
        <v>44.96453829</v>
      </c>
      <c r="Z8" s="3">
        <f t="shared" si="0"/>
        <v>68.401378160000007</v>
      </c>
      <c r="AA8" s="3">
        <f t="shared" si="0"/>
        <v>55.29298378</v>
      </c>
      <c r="AB8" s="3">
        <f t="shared" si="0"/>
        <v>127.53635756500002</v>
      </c>
      <c r="AC8" s="20">
        <f t="shared" si="0"/>
        <v>1758.1675325900001</v>
      </c>
      <c r="AD8" s="20">
        <f t="shared" si="0"/>
        <v>7295.5778317550003</v>
      </c>
      <c r="AE8" s="3">
        <f t="shared" si="2"/>
        <v>30460.551551170003</v>
      </c>
    </row>
    <row r="9" spans="1:31" x14ac:dyDescent="0.25">
      <c r="A9" t="s">
        <v>65</v>
      </c>
      <c r="B9" t="s">
        <v>14</v>
      </c>
      <c r="D9" s="10">
        <v>3016</v>
      </c>
      <c r="E9" s="10">
        <v>2945</v>
      </c>
      <c r="F9" s="10">
        <v>3576</v>
      </c>
      <c r="G9" s="10">
        <v>3192</v>
      </c>
      <c r="H9" s="10">
        <v>3177</v>
      </c>
      <c r="I9" s="10">
        <v>3178</v>
      </c>
      <c r="J9" s="10">
        <v>3193</v>
      </c>
      <c r="K9" s="10">
        <v>3190</v>
      </c>
      <c r="L9" s="10">
        <v>3189</v>
      </c>
      <c r="M9" s="10">
        <v>3207</v>
      </c>
      <c r="N9" s="10">
        <v>3222</v>
      </c>
      <c r="O9" s="10">
        <v>3254</v>
      </c>
      <c r="P9" s="2">
        <f t="shared" si="1"/>
        <v>38339</v>
      </c>
      <c r="Q9" s="10">
        <v>397</v>
      </c>
      <c r="R9" s="249">
        <v>119.44</v>
      </c>
      <c r="S9" s="3">
        <f t="shared" si="0"/>
        <v>360231.04</v>
      </c>
      <c r="T9" s="3">
        <f t="shared" si="0"/>
        <v>351750.8</v>
      </c>
      <c r="U9" s="3">
        <f t="shared" si="0"/>
        <v>427117.44</v>
      </c>
      <c r="V9" s="3">
        <f t="shared" si="0"/>
        <v>381252.48</v>
      </c>
      <c r="W9" s="3">
        <f t="shared" si="0"/>
        <v>379460.88</v>
      </c>
      <c r="X9" s="3">
        <f t="shared" si="0"/>
        <v>379580.32</v>
      </c>
      <c r="Y9" s="3">
        <f t="shared" si="0"/>
        <v>381371.92</v>
      </c>
      <c r="Z9" s="3">
        <f t="shared" si="0"/>
        <v>381013.6</v>
      </c>
      <c r="AA9" s="3">
        <f t="shared" si="0"/>
        <v>380894.16</v>
      </c>
      <c r="AB9" s="3">
        <f t="shared" si="0"/>
        <v>383044.08</v>
      </c>
      <c r="AC9" s="20">
        <f t="shared" si="0"/>
        <v>384835.68</v>
      </c>
      <c r="AD9" s="20">
        <f t="shared" si="0"/>
        <v>388657.76</v>
      </c>
      <c r="AE9" s="3">
        <f t="shared" si="2"/>
        <v>4579210.16</v>
      </c>
    </row>
    <row r="10" spans="1:31" x14ac:dyDescent="0.25">
      <c r="B10" t="s">
        <v>82</v>
      </c>
      <c r="D10" s="10">
        <v>591377.83750000002</v>
      </c>
      <c r="E10" s="10">
        <v>577793.19646999997</v>
      </c>
      <c r="F10" s="10">
        <v>701581.49832000001</v>
      </c>
      <c r="G10" s="10">
        <v>620059.28121000004</v>
      </c>
      <c r="H10" s="10">
        <v>577820.09788999998</v>
      </c>
      <c r="I10" s="10">
        <v>505217.44743</v>
      </c>
      <c r="J10" s="10">
        <v>397103.71758</v>
      </c>
      <c r="K10" s="10">
        <v>374734.82140999998</v>
      </c>
      <c r="L10" s="10">
        <v>425690.59753999999</v>
      </c>
      <c r="M10" s="10">
        <v>550333.48028999998</v>
      </c>
      <c r="N10" s="10">
        <v>623527.74838</v>
      </c>
      <c r="O10" s="10">
        <v>642234.74922999996</v>
      </c>
      <c r="P10" s="2">
        <f t="shared" si="1"/>
        <v>6587474.4732499998</v>
      </c>
      <c r="Q10" s="15">
        <f>IF(P10-P9*Q9&gt;0,P10-P9*Q9,0)</f>
        <v>0</v>
      </c>
      <c r="R10" s="250"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20">
        <f t="shared" si="0"/>
        <v>0</v>
      </c>
      <c r="AD10" s="20">
        <f t="shared" si="0"/>
        <v>0</v>
      </c>
      <c r="AE10" s="3">
        <f t="shared" si="2"/>
        <v>0</v>
      </c>
    </row>
    <row r="11" spans="1:31" x14ac:dyDescent="0.25">
      <c r="B11" t="s">
        <v>83</v>
      </c>
      <c r="D11" s="10">
        <v>2004211.4247600001</v>
      </c>
      <c r="E11" s="10">
        <v>1963750.1732000001</v>
      </c>
      <c r="F11" s="10">
        <v>2286749.2168399999</v>
      </c>
      <c r="G11" s="10">
        <v>1736139.7963</v>
      </c>
      <c r="H11" s="10">
        <v>1174480.40445</v>
      </c>
      <c r="I11" s="10">
        <v>833837.57054999995</v>
      </c>
      <c r="J11" s="10">
        <v>560287.96845000004</v>
      </c>
      <c r="K11" s="10">
        <v>546095.92419000005</v>
      </c>
      <c r="L11" s="10">
        <v>642801.76546000002</v>
      </c>
      <c r="M11" s="10">
        <v>1015188.95279</v>
      </c>
      <c r="N11" s="10">
        <v>1668334.85137</v>
      </c>
      <c r="O11" s="10">
        <v>2132380.52195</v>
      </c>
      <c r="P11" s="2">
        <f t="shared" si="1"/>
        <v>16564258.570309997</v>
      </c>
      <c r="Q11" s="15">
        <f>IF(P10+P11-P9*Q9&gt;0,P11+P10-P9*Q9,0)</f>
        <v>7931150.0435599983</v>
      </c>
      <c r="R11" s="250">
        <v>0.76112999999999997</v>
      </c>
      <c r="S11" s="3">
        <f t="shared" si="0"/>
        <v>1525465.4417275789</v>
      </c>
      <c r="T11" s="3">
        <f t="shared" si="0"/>
        <v>1494669.1693277161</v>
      </c>
      <c r="U11" s="3">
        <f t="shared" si="0"/>
        <v>1740513.4314134291</v>
      </c>
      <c r="V11" s="3">
        <f t="shared" si="0"/>
        <v>1321428.083157819</v>
      </c>
      <c r="W11" s="3">
        <f t="shared" si="0"/>
        <v>893932.2702390285</v>
      </c>
      <c r="X11" s="3">
        <f t="shared" si="0"/>
        <v>634658.79007272143</v>
      </c>
      <c r="Y11" s="3">
        <f t="shared" si="0"/>
        <v>426451.9814263485</v>
      </c>
      <c r="Z11" s="3">
        <f t="shared" si="0"/>
        <v>415649.99077873473</v>
      </c>
      <c r="AA11" s="3">
        <f t="shared" si="0"/>
        <v>489255.70774456981</v>
      </c>
      <c r="AB11" s="3">
        <f t="shared" si="0"/>
        <v>772690.76763705269</v>
      </c>
      <c r="AC11" s="20">
        <f t="shared" si="0"/>
        <v>1269819.705423248</v>
      </c>
      <c r="AD11" s="20">
        <f t="shared" si="0"/>
        <v>1623018.7866718033</v>
      </c>
      <c r="AE11" s="3">
        <f t="shared" si="2"/>
        <v>12607554.125620048</v>
      </c>
    </row>
    <row r="12" spans="1:31" x14ac:dyDescent="0.25">
      <c r="B12" t="s">
        <v>84</v>
      </c>
      <c r="D12" s="10">
        <v>4255821.2739899997</v>
      </c>
      <c r="E12" s="10">
        <v>4264967.7855900005</v>
      </c>
      <c r="F12" s="10">
        <v>4447218.1267600004</v>
      </c>
      <c r="G12" s="10">
        <v>2448015.19575</v>
      </c>
      <c r="H12" s="10">
        <v>1281458.0093400001</v>
      </c>
      <c r="I12" s="10">
        <v>853245.12430000002</v>
      </c>
      <c r="J12" s="10">
        <v>585067.14994999999</v>
      </c>
      <c r="K12" s="10">
        <v>582245.41529000003</v>
      </c>
      <c r="L12" s="10">
        <v>699088.76963</v>
      </c>
      <c r="M12" s="10">
        <v>1129367.78627</v>
      </c>
      <c r="N12" s="10">
        <v>2192811.89035</v>
      </c>
      <c r="O12" s="10">
        <v>3933516.9986200002</v>
      </c>
      <c r="P12" s="2">
        <f t="shared" si="1"/>
        <v>26672823.525840003</v>
      </c>
      <c r="Q12" s="15">
        <f>P12</f>
        <v>26672823.525840003</v>
      </c>
      <c r="R12" s="250">
        <v>0.67515999999999998</v>
      </c>
      <c r="S12" s="3">
        <f t="shared" si="0"/>
        <v>2873360.2913470883</v>
      </c>
      <c r="T12" s="3">
        <f t="shared" ref="T12" si="3">$R12*E12</f>
        <v>2879535.6501189447</v>
      </c>
      <c r="U12" s="3">
        <f t="shared" ref="U12" si="4">$R12*F12</f>
        <v>3002583.7904632818</v>
      </c>
      <c r="V12" s="3">
        <f t="shared" ref="S12:V14" si="5">$R12*G12</f>
        <v>1652801.9395625698</v>
      </c>
      <c r="W12" s="3">
        <f t="shared" ref="W12:W14" si="6">$R12*H12</f>
        <v>865189.18958599446</v>
      </c>
      <c r="X12" s="3">
        <f t="shared" ref="X12:X14" si="7">$R12*I12</f>
        <v>576076.97812238801</v>
      </c>
      <c r="Y12" s="3">
        <f t="shared" ref="Y12:Y14" si="8">$R12*J12</f>
        <v>395013.93696024199</v>
      </c>
      <c r="Z12" s="3">
        <f t="shared" ref="Z12:Z14" si="9">$R12*K12</f>
        <v>393108.81458719639</v>
      </c>
      <c r="AA12" s="3">
        <f t="shared" ref="AA12:AA14" si="10">$R12*L12</f>
        <v>471996.77370339079</v>
      </c>
      <c r="AB12" s="3">
        <f t="shared" ref="AB12:AB14" si="11">$R12*M12</f>
        <v>762503.95457805321</v>
      </c>
      <c r="AC12" s="20">
        <f t="shared" ref="AC12:AC14" si="12">$R12*N12</f>
        <v>1480498.875888706</v>
      </c>
      <c r="AD12" s="20">
        <f t="shared" ref="AD12:AD14" si="13">$R12*O12</f>
        <v>2655753.3367882795</v>
      </c>
      <c r="AE12" s="3">
        <f t="shared" si="2"/>
        <v>18008423.531706136</v>
      </c>
    </row>
    <row r="13" spans="1:31" x14ac:dyDescent="0.25">
      <c r="B13" t="s">
        <v>85</v>
      </c>
      <c r="D13" s="10">
        <v>584366.18501999998</v>
      </c>
      <c r="E13" s="10">
        <v>596309.08152999997</v>
      </c>
      <c r="F13" s="10">
        <v>627482.79189999995</v>
      </c>
      <c r="G13" s="10">
        <v>268761.64429999999</v>
      </c>
      <c r="H13" s="10">
        <v>165834.92920000001</v>
      </c>
      <c r="I13" s="10">
        <v>137885.97070000001</v>
      </c>
      <c r="J13" s="10">
        <v>88085.800900000002</v>
      </c>
      <c r="K13" s="10">
        <v>125833.10799999999</v>
      </c>
      <c r="L13" s="10">
        <v>130585.00229999999</v>
      </c>
      <c r="M13" s="10">
        <v>203930.70619999999</v>
      </c>
      <c r="N13" s="10">
        <v>263968.01327</v>
      </c>
      <c r="O13" s="10">
        <v>561698.69609999994</v>
      </c>
      <c r="P13" s="2">
        <f t="shared" si="1"/>
        <v>3754741.9294199995</v>
      </c>
      <c r="Q13" s="15"/>
      <c r="R13" s="250">
        <v>0.63471</v>
      </c>
      <c r="S13" s="3">
        <f t="shared" si="5"/>
        <v>370903.06129404419</v>
      </c>
      <c r="T13" s="3">
        <f t="shared" si="5"/>
        <v>378483.33713790629</v>
      </c>
      <c r="U13" s="3">
        <f t="shared" si="5"/>
        <v>398269.60284684895</v>
      </c>
      <c r="V13" s="3">
        <f t="shared" si="5"/>
        <v>170585.70325365299</v>
      </c>
      <c r="W13" s="3">
        <f t="shared" si="6"/>
        <v>105257.08791253201</v>
      </c>
      <c r="X13" s="3">
        <f t="shared" si="7"/>
        <v>87517.604462996998</v>
      </c>
      <c r="Y13" s="3">
        <f t="shared" si="8"/>
        <v>55908.938689239003</v>
      </c>
      <c r="Z13" s="3">
        <f t="shared" si="9"/>
        <v>79867.531978679996</v>
      </c>
      <c r="AA13" s="3">
        <f t="shared" si="10"/>
        <v>82883.606809833</v>
      </c>
      <c r="AB13" s="3">
        <f t="shared" si="11"/>
        <v>129436.85853220199</v>
      </c>
      <c r="AC13" s="20">
        <f t="shared" si="12"/>
        <v>167543.1377026017</v>
      </c>
      <c r="AD13" s="20">
        <f t="shared" si="13"/>
        <v>356515.77940163098</v>
      </c>
      <c r="AE13" s="3"/>
    </row>
    <row r="14" spans="1:31" x14ac:dyDescent="0.25">
      <c r="B14" t="s">
        <v>86</v>
      </c>
      <c r="D14" s="10">
        <v>177186.989</v>
      </c>
      <c r="E14" s="10">
        <v>132468.859</v>
      </c>
      <c r="F14" s="10">
        <v>210050.285</v>
      </c>
      <c r="G14" s="10">
        <v>49338.466999999997</v>
      </c>
      <c r="H14" s="10">
        <v>22091.859</v>
      </c>
      <c r="I14" s="10">
        <v>21497.028999999999</v>
      </c>
      <c r="J14" s="10">
        <v>12657.516</v>
      </c>
      <c r="K14" s="10">
        <v>29844.519</v>
      </c>
      <c r="L14" s="10">
        <v>35924.175999999999</v>
      </c>
      <c r="M14" s="10">
        <v>42482.326999999997</v>
      </c>
      <c r="N14" s="10">
        <v>61023.162329999999</v>
      </c>
      <c r="O14" s="10">
        <v>135475.111</v>
      </c>
      <c r="P14" s="2">
        <f t="shared" si="1"/>
        <v>930040.29932999995</v>
      </c>
      <c r="Q14" s="15"/>
      <c r="R14" s="250">
        <v>0.56450999999999996</v>
      </c>
      <c r="S14" s="3">
        <f t="shared" si="5"/>
        <v>100023.82716038999</v>
      </c>
      <c r="T14" s="3">
        <f t="shared" si="5"/>
        <v>74779.995594089996</v>
      </c>
      <c r="U14" s="3">
        <f t="shared" si="5"/>
        <v>118575.48638535</v>
      </c>
      <c r="V14" s="3">
        <f t="shared" si="5"/>
        <v>27852.058006169995</v>
      </c>
      <c r="W14" s="3">
        <f t="shared" si="6"/>
        <v>12471.075324089999</v>
      </c>
      <c r="X14" s="3">
        <f t="shared" si="7"/>
        <v>12135.287840789999</v>
      </c>
      <c r="Y14" s="3">
        <f t="shared" si="8"/>
        <v>7145.294357159999</v>
      </c>
      <c r="Z14" s="3">
        <f t="shared" si="9"/>
        <v>16847.52942069</v>
      </c>
      <c r="AA14" s="3">
        <f t="shared" si="10"/>
        <v>20279.556593759997</v>
      </c>
      <c r="AB14" s="3">
        <f t="shared" si="11"/>
        <v>23981.698414769995</v>
      </c>
      <c r="AC14" s="20">
        <f t="shared" si="12"/>
        <v>34448.185366908299</v>
      </c>
      <c r="AD14" s="20">
        <f t="shared" si="13"/>
        <v>76477.054910609993</v>
      </c>
      <c r="AE14" s="3"/>
    </row>
    <row r="15" spans="1:31" x14ac:dyDescent="0.25">
      <c r="A15" t="s">
        <v>66</v>
      </c>
      <c r="B15" t="s">
        <v>14</v>
      </c>
      <c r="D15" s="10">
        <v>3</v>
      </c>
      <c r="E15" s="10">
        <v>3</v>
      </c>
      <c r="F15" s="10">
        <v>3</v>
      </c>
      <c r="G15" s="10">
        <v>3</v>
      </c>
      <c r="H15" s="10">
        <v>2</v>
      </c>
      <c r="I15" s="10">
        <v>3</v>
      </c>
      <c r="J15" s="10">
        <v>3</v>
      </c>
      <c r="K15" s="10">
        <v>3</v>
      </c>
      <c r="L15" s="10">
        <v>3</v>
      </c>
      <c r="M15" s="10">
        <v>3</v>
      </c>
      <c r="N15" s="10">
        <v>3</v>
      </c>
      <c r="O15" s="10">
        <v>-1</v>
      </c>
      <c r="P15" s="2">
        <f t="shared" si="1"/>
        <v>31</v>
      </c>
      <c r="Q15" s="15"/>
      <c r="R15" s="249">
        <v>119.44</v>
      </c>
      <c r="S15" s="3">
        <f t="shared" ref="S15:AD17" si="14">$R15*D15</f>
        <v>358.32</v>
      </c>
      <c r="T15" s="3">
        <f t="shared" si="14"/>
        <v>358.32</v>
      </c>
      <c r="U15" s="3">
        <f t="shared" si="14"/>
        <v>358.32</v>
      </c>
      <c r="V15" s="3">
        <f t="shared" si="14"/>
        <v>358.32</v>
      </c>
      <c r="W15" s="3">
        <f t="shared" si="14"/>
        <v>238.88</v>
      </c>
      <c r="X15" s="3">
        <f t="shared" si="14"/>
        <v>358.32</v>
      </c>
      <c r="Y15" s="3">
        <f t="shared" si="14"/>
        <v>358.32</v>
      </c>
      <c r="Z15" s="3">
        <f t="shared" si="14"/>
        <v>358.32</v>
      </c>
      <c r="AA15" s="3">
        <f t="shared" si="14"/>
        <v>358.32</v>
      </c>
      <c r="AB15" s="3">
        <f t="shared" si="14"/>
        <v>358.32</v>
      </c>
      <c r="AC15" s="20">
        <f t="shared" si="14"/>
        <v>358.32</v>
      </c>
      <c r="AD15" s="20">
        <f t="shared" si="14"/>
        <v>-119.44</v>
      </c>
      <c r="AE15" s="3">
        <f t="shared" si="2"/>
        <v>3702.6400000000003</v>
      </c>
    </row>
    <row r="16" spans="1:31" x14ac:dyDescent="0.25">
      <c r="B16" t="s">
        <v>82</v>
      </c>
      <c r="D16" s="10">
        <v>600</v>
      </c>
      <c r="E16" s="10">
        <v>600</v>
      </c>
      <c r="F16" s="10">
        <v>600</v>
      </c>
      <c r="G16" s="10">
        <v>800</v>
      </c>
      <c r="H16" s="10">
        <v>400</v>
      </c>
      <c r="I16" s="10">
        <v>600</v>
      </c>
      <c r="J16" s="10">
        <v>600</v>
      </c>
      <c r="K16" s="10">
        <v>600</v>
      </c>
      <c r="L16" s="10">
        <v>600</v>
      </c>
      <c r="M16" s="10">
        <v>600</v>
      </c>
      <c r="N16" s="10">
        <v>600</v>
      </c>
      <c r="O16" s="10">
        <v>-200</v>
      </c>
      <c r="P16" s="2">
        <f t="shared" si="1"/>
        <v>6400</v>
      </c>
      <c r="Q16" s="15"/>
      <c r="R16" s="250">
        <v>0</v>
      </c>
      <c r="S16" s="3">
        <f t="shared" si="14"/>
        <v>0</v>
      </c>
      <c r="T16" s="3">
        <f t="shared" si="14"/>
        <v>0</v>
      </c>
      <c r="U16" s="3">
        <f t="shared" si="14"/>
        <v>0</v>
      </c>
      <c r="V16" s="3">
        <f t="shared" si="14"/>
        <v>0</v>
      </c>
      <c r="W16" s="3">
        <f t="shared" si="14"/>
        <v>0</v>
      </c>
      <c r="X16" s="3">
        <f t="shared" si="14"/>
        <v>0</v>
      </c>
      <c r="Y16" s="3">
        <f t="shared" si="14"/>
        <v>0</v>
      </c>
      <c r="Z16" s="3">
        <f t="shared" si="14"/>
        <v>0</v>
      </c>
      <c r="AA16" s="3">
        <f t="shared" si="14"/>
        <v>0</v>
      </c>
      <c r="AB16" s="3">
        <f t="shared" si="14"/>
        <v>0</v>
      </c>
      <c r="AC16" s="20">
        <f t="shared" si="14"/>
        <v>0</v>
      </c>
      <c r="AD16" s="20">
        <f t="shared" si="14"/>
        <v>0</v>
      </c>
      <c r="AE16" s="3">
        <f t="shared" si="2"/>
        <v>0</v>
      </c>
    </row>
    <row r="17" spans="1:31" x14ac:dyDescent="0.25">
      <c r="B17" t="s">
        <v>83</v>
      </c>
      <c r="D17" s="10">
        <v>2400</v>
      </c>
      <c r="E17" s="10">
        <v>2400</v>
      </c>
      <c r="F17" s="10">
        <v>2400</v>
      </c>
      <c r="G17" s="10">
        <v>3200</v>
      </c>
      <c r="H17" s="10">
        <v>1600</v>
      </c>
      <c r="I17" s="10">
        <v>2400</v>
      </c>
      <c r="J17" s="10">
        <v>2400</v>
      </c>
      <c r="K17" s="10">
        <v>2400</v>
      </c>
      <c r="L17" s="10">
        <v>2400</v>
      </c>
      <c r="M17" s="10">
        <v>2400</v>
      </c>
      <c r="N17" s="10">
        <v>2400</v>
      </c>
      <c r="O17" s="10">
        <v>-800</v>
      </c>
      <c r="P17" s="2">
        <f t="shared" si="1"/>
        <v>25600</v>
      </c>
      <c r="Q17" s="15"/>
      <c r="R17" s="250">
        <v>0.73077000000000003</v>
      </c>
      <c r="S17" s="3">
        <f t="shared" si="14"/>
        <v>1753.8480000000002</v>
      </c>
      <c r="T17" s="3">
        <f t="shared" si="14"/>
        <v>1753.8480000000002</v>
      </c>
      <c r="U17" s="3">
        <f t="shared" si="14"/>
        <v>1753.8480000000002</v>
      </c>
      <c r="V17" s="3">
        <f t="shared" si="14"/>
        <v>2338.4639999999999</v>
      </c>
      <c r="W17" s="3">
        <f t="shared" si="14"/>
        <v>1169.232</v>
      </c>
      <c r="X17" s="3">
        <f t="shared" si="14"/>
        <v>1753.8480000000002</v>
      </c>
      <c r="Y17" s="3">
        <f t="shared" si="14"/>
        <v>1753.8480000000002</v>
      </c>
      <c r="Z17" s="3">
        <f t="shared" si="14"/>
        <v>1753.8480000000002</v>
      </c>
      <c r="AA17" s="3">
        <f t="shared" si="14"/>
        <v>1753.8480000000002</v>
      </c>
      <c r="AB17" s="3">
        <f t="shared" si="14"/>
        <v>1753.8480000000002</v>
      </c>
      <c r="AC17" s="20">
        <f t="shared" si="14"/>
        <v>1753.8480000000002</v>
      </c>
      <c r="AD17" s="20">
        <f t="shared" si="14"/>
        <v>-584.61599999999999</v>
      </c>
      <c r="AE17" s="3">
        <f t="shared" si="2"/>
        <v>18707.712000000007</v>
      </c>
    </row>
    <row r="18" spans="1:31" x14ac:dyDescent="0.25">
      <c r="B18" t="s">
        <v>84</v>
      </c>
      <c r="D18" s="10">
        <v>27000</v>
      </c>
      <c r="E18" s="10">
        <v>27000</v>
      </c>
      <c r="F18" s="10">
        <v>27000</v>
      </c>
      <c r="G18" s="10">
        <v>35842.364000000001</v>
      </c>
      <c r="H18" s="10">
        <v>14834.208000000001</v>
      </c>
      <c r="I18" s="10">
        <v>22091.67</v>
      </c>
      <c r="J18" s="10">
        <v>14012.329</v>
      </c>
      <c r="K18" s="10">
        <v>12534.093999999999</v>
      </c>
      <c r="L18" s="10">
        <v>14840.37</v>
      </c>
      <c r="M18" s="10">
        <v>23841.102999999999</v>
      </c>
      <c r="N18" s="10">
        <v>27000</v>
      </c>
      <c r="O18" s="10">
        <v>-9000</v>
      </c>
      <c r="P18" s="2">
        <f t="shared" si="1"/>
        <v>236996.13800000004</v>
      </c>
      <c r="Q18" s="15"/>
      <c r="R18" s="250">
        <v>0.64480000000000004</v>
      </c>
      <c r="S18" s="3">
        <f t="shared" ref="S18:S20" si="15">$R18*D18</f>
        <v>17409.600000000002</v>
      </c>
      <c r="T18" s="3">
        <f t="shared" ref="T18:T20" si="16">$R18*E18</f>
        <v>17409.600000000002</v>
      </c>
      <c r="U18" s="3">
        <f t="shared" ref="U18:U20" si="17">$R18*F18</f>
        <v>17409.600000000002</v>
      </c>
      <c r="V18" s="3">
        <f t="shared" ref="V18:V20" si="18">$R18*G18</f>
        <v>23111.156307200003</v>
      </c>
      <c r="W18" s="3">
        <f t="shared" ref="W18:W20" si="19">$R18*H18</f>
        <v>9565.0973184000013</v>
      </c>
      <c r="X18" s="3">
        <f t="shared" ref="X18:X20" si="20">$R18*I18</f>
        <v>14244.708816</v>
      </c>
      <c r="Y18" s="3">
        <f t="shared" ref="Y18:Y20" si="21">$R18*J18</f>
        <v>9035.1497392000001</v>
      </c>
      <c r="Z18" s="3">
        <f t="shared" ref="Z18:Z20" si="22">$R18*K18</f>
        <v>8081.9838111999998</v>
      </c>
      <c r="AA18" s="3">
        <f t="shared" ref="AA18:AA20" si="23">$R18*L18</f>
        <v>9569.0705760000019</v>
      </c>
      <c r="AB18" s="3">
        <f t="shared" ref="AB18:AB20" si="24">$R18*M18</f>
        <v>15372.743214400001</v>
      </c>
      <c r="AC18" s="20">
        <f t="shared" ref="AC18:AC20" si="25">$R18*N18</f>
        <v>17409.600000000002</v>
      </c>
      <c r="AD18" s="20">
        <f t="shared" ref="AD18:AD20" si="26">$R18*O18</f>
        <v>-5803.2000000000007</v>
      </c>
      <c r="AE18" s="3">
        <f t="shared" si="2"/>
        <v>152815.10978239999</v>
      </c>
    </row>
    <row r="19" spans="1:31" x14ac:dyDescent="0.25">
      <c r="B19" t="s">
        <v>85</v>
      </c>
      <c r="D19" s="10">
        <v>38957.987000000001</v>
      </c>
      <c r="E19" s="10">
        <v>38088.925999999999</v>
      </c>
      <c r="F19" s="10">
        <v>33505.834999999999</v>
      </c>
      <c r="G19" s="10">
        <v>35143.633999999998</v>
      </c>
      <c r="H19" s="10">
        <v>15000</v>
      </c>
      <c r="I19" s="10">
        <v>12361.284</v>
      </c>
      <c r="J19" s="10">
        <v>8869.0849999999991</v>
      </c>
      <c r="K19" s="10">
        <v>9673.9639999999999</v>
      </c>
      <c r="L19" s="10">
        <v>9630.1370000000006</v>
      </c>
      <c r="M19" s="10">
        <v>10826.432000000001</v>
      </c>
      <c r="N19" s="10">
        <v>21351.030999999999</v>
      </c>
      <c r="O19" s="10">
        <v>-3402.4360000000001</v>
      </c>
      <c r="P19" s="2">
        <f t="shared" si="1"/>
        <v>230005.87899999996</v>
      </c>
      <c r="Q19" s="15"/>
      <c r="R19" s="250">
        <v>0.60435000000000005</v>
      </c>
      <c r="S19" s="3">
        <f t="shared" si="15"/>
        <v>23544.259443450002</v>
      </c>
      <c r="T19" s="3">
        <f t="shared" si="16"/>
        <v>23019.042428100001</v>
      </c>
      <c r="U19" s="3">
        <f t="shared" si="17"/>
        <v>20249.25138225</v>
      </c>
      <c r="V19" s="3">
        <f t="shared" si="18"/>
        <v>21239.055207900001</v>
      </c>
      <c r="W19" s="3">
        <f t="shared" si="19"/>
        <v>9065.25</v>
      </c>
      <c r="X19" s="3">
        <f t="shared" si="20"/>
        <v>7470.5419854000002</v>
      </c>
      <c r="Y19" s="3">
        <f t="shared" si="21"/>
        <v>5360.0315197500004</v>
      </c>
      <c r="Z19" s="3">
        <f t="shared" si="22"/>
        <v>5846.4601434000006</v>
      </c>
      <c r="AA19" s="3">
        <f t="shared" si="23"/>
        <v>5819.9732959500006</v>
      </c>
      <c r="AB19" s="3">
        <f t="shared" si="24"/>
        <v>6542.9541792000009</v>
      </c>
      <c r="AC19" s="20">
        <f t="shared" si="25"/>
        <v>12903.495584850001</v>
      </c>
      <c r="AD19" s="20">
        <f t="shared" si="26"/>
        <v>-2056.2621966000002</v>
      </c>
      <c r="AE19" s="3"/>
    </row>
    <row r="20" spans="1:31" x14ac:dyDescent="0.25">
      <c r="B20" t="s">
        <v>86</v>
      </c>
      <c r="D20" s="10">
        <v>51908.237000000001</v>
      </c>
      <c r="E20" s="10">
        <v>46287.294999999998</v>
      </c>
      <c r="F20" s="10">
        <v>60448.874000000003</v>
      </c>
      <c r="G20" s="10">
        <v>19347.636999999999</v>
      </c>
      <c r="H20" s="10">
        <v>3433.5030000000002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6625.8919999999998</v>
      </c>
      <c r="O20" s="10">
        <v>0</v>
      </c>
      <c r="P20" s="2">
        <f t="shared" si="1"/>
        <v>188051.43799999999</v>
      </c>
      <c r="Q20" s="15"/>
      <c r="R20" s="250">
        <v>0.53415000000000001</v>
      </c>
      <c r="S20" s="3">
        <f t="shared" si="15"/>
        <v>27726.784793549999</v>
      </c>
      <c r="T20" s="3">
        <f t="shared" si="16"/>
        <v>24724.358624249999</v>
      </c>
      <c r="U20" s="3">
        <f t="shared" si="17"/>
        <v>32288.766047100002</v>
      </c>
      <c r="V20" s="3">
        <f t="shared" si="18"/>
        <v>10334.54030355</v>
      </c>
      <c r="W20" s="3">
        <f t="shared" si="19"/>
        <v>1834.00562745</v>
      </c>
      <c r="X20" s="3">
        <f t="shared" si="20"/>
        <v>0</v>
      </c>
      <c r="Y20" s="3">
        <f t="shared" si="21"/>
        <v>0</v>
      </c>
      <c r="Z20" s="3">
        <f t="shared" si="22"/>
        <v>0</v>
      </c>
      <c r="AA20" s="3">
        <f t="shared" si="23"/>
        <v>0</v>
      </c>
      <c r="AB20" s="3">
        <f t="shared" si="24"/>
        <v>0</v>
      </c>
      <c r="AC20" s="20">
        <f t="shared" si="25"/>
        <v>3539.2202118</v>
      </c>
      <c r="AD20" s="20">
        <f t="shared" si="26"/>
        <v>0</v>
      </c>
      <c r="AE20" s="3"/>
    </row>
    <row r="21" spans="1:31" hidden="1" x14ac:dyDescent="0.25">
      <c r="A21" t="s">
        <v>67</v>
      </c>
      <c r="B21" t="s">
        <v>14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2">
        <f t="shared" si="1"/>
        <v>0</v>
      </c>
      <c r="Q21" s="15"/>
      <c r="R21" s="249"/>
      <c r="S21" s="3">
        <f t="shared" ref="S21:AD23" si="27">$R21*D21</f>
        <v>0</v>
      </c>
      <c r="T21" s="3">
        <f t="shared" si="27"/>
        <v>0</v>
      </c>
      <c r="U21" s="3">
        <f t="shared" si="27"/>
        <v>0</v>
      </c>
      <c r="V21" s="3">
        <f t="shared" si="27"/>
        <v>0</v>
      </c>
      <c r="W21" s="3">
        <f t="shared" si="27"/>
        <v>0</v>
      </c>
      <c r="X21" s="3">
        <f t="shared" si="27"/>
        <v>0</v>
      </c>
      <c r="Y21" s="3">
        <f t="shared" si="27"/>
        <v>0</v>
      </c>
      <c r="Z21" s="3">
        <f t="shared" si="27"/>
        <v>0</v>
      </c>
      <c r="AA21" s="3">
        <f t="shared" si="27"/>
        <v>0</v>
      </c>
      <c r="AB21" s="3">
        <f t="shared" si="27"/>
        <v>0</v>
      </c>
      <c r="AC21" s="20">
        <f t="shared" si="27"/>
        <v>0</v>
      </c>
      <c r="AD21" s="20">
        <f t="shared" si="27"/>
        <v>0</v>
      </c>
      <c r="AE21" s="3">
        <f t="shared" si="2"/>
        <v>0</v>
      </c>
    </row>
    <row r="22" spans="1:31" hidden="1" x14ac:dyDescent="0.25">
      <c r="B22" t="s">
        <v>82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>
        <f t="shared" si="1"/>
        <v>0</v>
      </c>
      <c r="Q22" s="15">
        <f>IF(P22-P21*Q21&gt;0,P22-P21*Q21,0)</f>
        <v>0</v>
      </c>
      <c r="R22" s="250"/>
      <c r="S22" s="3">
        <f t="shared" si="27"/>
        <v>0</v>
      </c>
      <c r="T22" s="3">
        <f t="shared" si="27"/>
        <v>0</v>
      </c>
      <c r="U22" s="3">
        <f t="shared" si="27"/>
        <v>0</v>
      </c>
      <c r="V22" s="3">
        <f t="shared" si="27"/>
        <v>0</v>
      </c>
      <c r="W22" s="3">
        <f t="shared" si="27"/>
        <v>0</v>
      </c>
      <c r="X22" s="3">
        <f t="shared" si="27"/>
        <v>0</v>
      </c>
      <c r="Y22" s="3">
        <f t="shared" si="27"/>
        <v>0</v>
      </c>
      <c r="Z22" s="3">
        <f t="shared" si="27"/>
        <v>0</v>
      </c>
      <c r="AA22" s="3">
        <f t="shared" si="27"/>
        <v>0</v>
      </c>
      <c r="AB22" s="3">
        <f t="shared" si="27"/>
        <v>0</v>
      </c>
      <c r="AC22" s="20">
        <f t="shared" si="27"/>
        <v>0</v>
      </c>
      <c r="AD22" s="20">
        <f t="shared" si="27"/>
        <v>0</v>
      </c>
      <c r="AE22" s="3">
        <f t="shared" si="2"/>
        <v>0</v>
      </c>
    </row>
    <row r="23" spans="1:31" hidden="1" x14ac:dyDescent="0.25">
      <c r="B23" t="s">
        <v>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">
        <f t="shared" si="1"/>
        <v>0</v>
      </c>
      <c r="Q23" s="15">
        <f>IF(P22+P23-P21*Q21&gt;0,P22+P23-P21*Q21,0)</f>
        <v>0</v>
      </c>
      <c r="R23" s="250"/>
      <c r="S23" s="3">
        <f t="shared" si="27"/>
        <v>0</v>
      </c>
      <c r="T23" s="3">
        <f t="shared" si="27"/>
        <v>0</v>
      </c>
      <c r="U23" s="3">
        <f t="shared" si="27"/>
        <v>0</v>
      </c>
      <c r="V23" s="3">
        <f t="shared" si="27"/>
        <v>0</v>
      </c>
      <c r="W23" s="3">
        <f t="shared" si="27"/>
        <v>0</v>
      </c>
      <c r="X23" s="3">
        <f t="shared" si="27"/>
        <v>0</v>
      </c>
      <c r="Y23" s="3">
        <f t="shared" si="27"/>
        <v>0</v>
      </c>
      <c r="Z23" s="3">
        <f t="shared" si="27"/>
        <v>0</v>
      </c>
      <c r="AA23" s="3">
        <f t="shared" si="27"/>
        <v>0</v>
      </c>
      <c r="AB23" s="3">
        <f t="shared" si="27"/>
        <v>0</v>
      </c>
      <c r="AC23" s="20">
        <f t="shared" si="27"/>
        <v>0</v>
      </c>
      <c r="AD23" s="20">
        <f t="shared" si="27"/>
        <v>0</v>
      </c>
      <c r="AE23" s="3">
        <f t="shared" si="2"/>
        <v>0</v>
      </c>
    </row>
    <row r="24" spans="1:31" hidden="1" x14ac:dyDescent="0.25">
      <c r="B24" t="s">
        <v>84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">
        <f t="shared" si="1"/>
        <v>0</v>
      </c>
      <c r="Q24" s="15">
        <f>IF(P22+P23+P24-P$21*Q$21&gt;0,P22+P23+P24-P$21*Q$21,0)</f>
        <v>0</v>
      </c>
      <c r="R24" s="250"/>
      <c r="S24" s="3">
        <f t="shared" ref="S24:S26" si="28">$R24*D24</f>
        <v>0</v>
      </c>
      <c r="T24" s="3">
        <f t="shared" ref="T24:T26" si="29">$R24*E24</f>
        <v>0</v>
      </c>
      <c r="U24" s="3">
        <f t="shared" ref="U24:U26" si="30">$R24*F24</f>
        <v>0</v>
      </c>
      <c r="V24" s="3">
        <f t="shared" ref="V24:V26" si="31">$R24*G24</f>
        <v>0</v>
      </c>
      <c r="W24" s="3">
        <f t="shared" ref="W24:W26" si="32">$R24*H24</f>
        <v>0</v>
      </c>
      <c r="X24" s="3">
        <f t="shared" ref="X24:X26" si="33">$R24*I24</f>
        <v>0</v>
      </c>
      <c r="Y24" s="3">
        <f t="shared" ref="Y24:Y26" si="34">$R24*J24</f>
        <v>0</v>
      </c>
      <c r="Z24" s="3">
        <f t="shared" ref="Z24:Z26" si="35">$R24*K24</f>
        <v>0</v>
      </c>
      <c r="AA24" s="3">
        <f t="shared" ref="AA24:AA26" si="36">$R24*L24</f>
        <v>0</v>
      </c>
      <c r="AB24" s="3">
        <f t="shared" ref="AB24:AB26" si="37">$R24*M24</f>
        <v>0</v>
      </c>
      <c r="AC24" s="20">
        <f t="shared" ref="AC24:AC26" si="38">$R24*N24</f>
        <v>0</v>
      </c>
      <c r="AD24" s="20">
        <f t="shared" ref="AD24:AD26" si="39">$R24*O24</f>
        <v>0</v>
      </c>
      <c r="AE24" s="3">
        <f t="shared" si="2"/>
        <v>0</v>
      </c>
    </row>
    <row r="25" spans="1:31" hidden="1" x14ac:dyDescent="0.25">
      <c r="B25" t="s">
        <v>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2">
        <f t="shared" si="1"/>
        <v>0</v>
      </c>
      <c r="Q25" s="15">
        <f>IF(P22+P23+P24+P25-P$21*Q$21&gt;0,P22+P23+P24+P25-P$21*Q$21,0)</f>
        <v>0</v>
      </c>
      <c r="R25" s="250"/>
      <c r="S25" s="3">
        <f t="shared" si="28"/>
        <v>0</v>
      </c>
      <c r="T25" s="3">
        <f t="shared" si="29"/>
        <v>0</v>
      </c>
      <c r="U25" s="3">
        <f t="shared" si="30"/>
        <v>0</v>
      </c>
      <c r="V25" s="3">
        <f t="shared" si="31"/>
        <v>0</v>
      </c>
      <c r="W25" s="3">
        <f t="shared" si="32"/>
        <v>0</v>
      </c>
      <c r="X25" s="3">
        <f t="shared" si="33"/>
        <v>0</v>
      </c>
      <c r="Y25" s="3">
        <f t="shared" si="34"/>
        <v>0</v>
      </c>
      <c r="Z25" s="3">
        <f t="shared" si="35"/>
        <v>0</v>
      </c>
      <c r="AA25" s="3">
        <f t="shared" si="36"/>
        <v>0</v>
      </c>
      <c r="AB25" s="3">
        <f t="shared" si="37"/>
        <v>0</v>
      </c>
      <c r="AC25" s="20">
        <f t="shared" si="38"/>
        <v>0</v>
      </c>
      <c r="AD25" s="20">
        <f t="shared" si="39"/>
        <v>0</v>
      </c>
      <c r="AE25" s="3">
        <f t="shared" si="2"/>
        <v>0</v>
      </c>
    </row>
    <row r="26" spans="1:31" hidden="1" x14ac:dyDescent="0.25">
      <c r="B26" t="s">
        <v>86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2">
        <f t="shared" si="1"/>
        <v>0</v>
      </c>
      <c r="Q26" s="15">
        <f>P26</f>
        <v>0</v>
      </c>
      <c r="R26" s="250"/>
      <c r="S26" s="3">
        <f t="shared" si="28"/>
        <v>0</v>
      </c>
      <c r="T26" s="3">
        <f t="shared" si="29"/>
        <v>0</v>
      </c>
      <c r="U26" s="3">
        <f t="shared" si="30"/>
        <v>0</v>
      </c>
      <c r="V26" s="3">
        <f t="shared" si="31"/>
        <v>0</v>
      </c>
      <c r="W26" s="3">
        <f t="shared" si="32"/>
        <v>0</v>
      </c>
      <c r="X26" s="3">
        <f t="shared" si="33"/>
        <v>0</v>
      </c>
      <c r="Y26" s="3">
        <f t="shared" si="34"/>
        <v>0</v>
      </c>
      <c r="Z26" s="3">
        <f t="shared" si="35"/>
        <v>0</v>
      </c>
      <c r="AA26" s="3">
        <f t="shared" si="36"/>
        <v>0</v>
      </c>
      <c r="AB26" s="3">
        <f t="shared" si="37"/>
        <v>0</v>
      </c>
      <c r="AC26" s="20">
        <f t="shared" si="38"/>
        <v>0</v>
      </c>
      <c r="AD26" s="20">
        <f t="shared" si="39"/>
        <v>0</v>
      </c>
      <c r="AE26" s="3">
        <f t="shared" si="2"/>
        <v>0</v>
      </c>
    </row>
    <row r="27" spans="1:31" hidden="1" x14ac:dyDescent="0.25">
      <c r="A27" t="s">
        <v>68</v>
      </c>
      <c r="B27" t="s">
        <v>14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">
        <f t="shared" si="1"/>
        <v>0</v>
      </c>
      <c r="Q27" s="15"/>
      <c r="R27" s="249"/>
      <c r="S27" s="3">
        <f t="shared" ref="S27:AD29" si="40">$R27*D27</f>
        <v>0</v>
      </c>
      <c r="T27" s="3">
        <f t="shared" si="40"/>
        <v>0</v>
      </c>
      <c r="U27" s="3">
        <f t="shared" si="40"/>
        <v>0</v>
      </c>
      <c r="V27" s="3">
        <f t="shared" si="40"/>
        <v>0</v>
      </c>
      <c r="W27" s="3">
        <f t="shared" si="40"/>
        <v>0</v>
      </c>
      <c r="X27" s="3">
        <f t="shared" si="40"/>
        <v>0</v>
      </c>
      <c r="Y27" s="3">
        <f t="shared" si="40"/>
        <v>0</v>
      </c>
      <c r="Z27" s="3">
        <f t="shared" si="40"/>
        <v>0</v>
      </c>
      <c r="AA27" s="3">
        <f t="shared" si="40"/>
        <v>0</v>
      </c>
      <c r="AB27" s="3">
        <f t="shared" si="40"/>
        <v>0</v>
      </c>
      <c r="AC27" s="20">
        <f t="shared" si="40"/>
        <v>0</v>
      </c>
      <c r="AD27" s="20">
        <f t="shared" si="40"/>
        <v>0</v>
      </c>
      <c r="AE27" s="3">
        <f t="shared" si="2"/>
        <v>0</v>
      </c>
    </row>
    <row r="28" spans="1:31" hidden="1" x14ac:dyDescent="0.25">
      <c r="B28" t="s">
        <v>82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">
        <f t="shared" si="1"/>
        <v>0</v>
      </c>
      <c r="Q28" s="15"/>
      <c r="R28" s="250"/>
      <c r="S28" s="3">
        <f t="shared" si="40"/>
        <v>0</v>
      </c>
      <c r="T28" s="3">
        <f t="shared" si="40"/>
        <v>0</v>
      </c>
      <c r="U28" s="3">
        <f t="shared" si="40"/>
        <v>0</v>
      </c>
      <c r="V28" s="3">
        <f t="shared" si="40"/>
        <v>0</v>
      </c>
      <c r="W28" s="3">
        <f t="shared" si="40"/>
        <v>0</v>
      </c>
      <c r="X28" s="3">
        <f t="shared" si="40"/>
        <v>0</v>
      </c>
      <c r="Y28" s="3">
        <f t="shared" si="40"/>
        <v>0</v>
      </c>
      <c r="Z28" s="3">
        <f t="shared" si="40"/>
        <v>0</v>
      </c>
      <c r="AA28" s="3">
        <f t="shared" si="40"/>
        <v>0</v>
      </c>
      <c r="AB28" s="3">
        <f t="shared" si="40"/>
        <v>0</v>
      </c>
      <c r="AC28" s="20">
        <f t="shared" si="40"/>
        <v>0</v>
      </c>
      <c r="AD28" s="20">
        <f t="shared" si="40"/>
        <v>0</v>
      </c>
      <c r="AE28" s="3">
        <f t="shared" si="2"/>
        <v>0</v>
      </c>
    </row>
    <row r="29" spans="1:31" hidden="1" x14ac:dyDescent="0.25">
      <c r="B29" t="s">
        <v>83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2">
        <f t="shared" si="1"/>
        <v>0</v>
      </c>
      <c r="Q29" s="15"/>
      <c r="R29" s="250"/>
      <c r="S29" s="3">
        <f t="shared" si="40"/>
        <v>0</v>
      </c>
      <c r="T29" s="3">
        <f t="shared" si="40"/>
        <v>0</v>
      </c>
      <c r="U29" s="3">
        <f t="shared" si="40"/>
        <v>0</v>
      </c>
      <c r="V29" s="3">
        <f t="shared" si="40"/>
        <v>0</v>
      </c>
      <c r="W29" s="3">
        <f t="shared" si="40"/>
        <v>0</v>
      </c>
      <c r="X29" s="3">
        <f t="shared" si="40"/>
        <v>0</v>
      </c>
      <c r="Y29" s="3">
        <f t="shared" si="40"/>
        <v>0</v>
      </c>
      <c r="Z29" s="3">
        <f t="shared" si="40"/>
        <v>0</v>
      </c>
      <c r="AA29" s="3">
        <f t="shared" si="40"/>
        <v>0</v>
      </c>
      <c r="AB29" s="3">
        <f t="shared" si="40"/>
        <v>0</v>
      </c>
      <c r="AC29" s="20">
        <f t="shared" si="40"/>
        <v>0</v>
      </c>
      <c r="AD29" s="20">
        <f t="shared" si="40"/>
        <v>0</v>
      </c>
      <c r="AE29" s="3">
        <f t="shared" si="2"/>
        <v>0</v>
      </c>
    </row>
    <row r="30" spans="1:31" hidden="1" x14ac:dyDescent="0.25">
      <c r="B30" t="s">
        <v>84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2">
        <f t="shared" si="1"/>
        <v>0</v>
      </c>
      <c r="Q30" s="15"/>
      <c r="R30" s="250"/>
      <c r="S30" s="3">
        <f t="shared" ref="S30:S32" si="41">$R30*D30</f>
        <v>0</v>
      </c>
      <c r="T30" s="3">
        <f t="shared" ref="T30:T32" si="42">$R30*E30</f>
        <v>0</v>
      </c>
      <c r="U30" s="3">
        <f t="shared" ref="U30:U32" si="43">$R30*F30</f>
        <v>0</v>
      </c>
      <c r="V30" s="3">
        <f t="shared" ref="V30:V32" si="44">$R30*G30</f>
        <v>0</v>
      </c>
      <c r="W30" s="3">
        <f t="shared" ref="W30:W32" si="45">$R30*H30</f>
        <v>0</v>
      </c>
      <c r="X30" s="3">
        <f t="shared" ref="X30:X32" si="46">$R30*I30</f>
        <v>0</v>
      </c>
      <c r="Y30" s="3">
        <f t="shared" ref="Y30:Y32" si="47">$R30*J30</f>
        <v>0</v>
      </c>
      <c r="Z30" s="3">
        <f t="shared" ref="Z30:Z32" si="48">$R30*K30</f>
        <v>0</v>
      </c>
      <c r="AA30" s="3">
        <f t="shared" ref="AA30:AA32" si="49">$R30*L30</f>
        <v>0</v>
      </c>
      <c r="AB30" s="3">
        <f t="shared" ref="AB30:AB32" si="50">$R30*M30</f>
        <v>0</v>
      </c>
      <c r="AC30" s="20">
        <f t="shared" ref="AC30:AC32" si="51">$R30*N30</f>
        <v>0</v>
      </c>
      <c r="AD30" s="20">
        <f t="shared" ref="AD30:AD32" si="52">$R30*O30</f>
        <v>0</v>
      </c>
      <c r="AE30" s="3">
        <f t="shared" si="2"/>
        <v>0</v>
      </c>
    </row>
    <row r="31" spans="1:31" hidden="1" x14ac:dyDescent="0.25">
      <c r="B31" t="s">
        <v>85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">
        <f t="shared" si="1"/>
        <v>0</v>
      </c>
      <c r="Q31" s="15"/>
      <c r="R31" s="250"/>
      <c r="S31" s="3">
        <f t="shared" si="41"/>
        <v>0</v>
      </c>
      <c r="T31" s="3">
        <f t="shared" si="42"/>
        <v>0</v>
      </c>
      <c r="U31" s="3">
        <f t="shared" si="43"/>
        <v>0</v>
      </c>
      <c r="V31" s="3">
        <f t="shared" si="44"/>
        <v>0</v>
      </c>
      <c r="W31" s="3">
        <f t="shared" si="45"/>
        <v>0</v>
      </c>
      <c r="X31" s="3">
        <f t="shared" si="46"/>
        <v>0</v>
      </c>
      <c r="Y31" s="3">
        <f t="shared" si="47"/>
        <v>0</v>
      </c>
      <c r="Z31" s="3">
        <f t="shared" si="48"/>
        <v>0</v>
      </c>
      <c r="AA31" s="3">
        <f t="shared" si="49"/>
        <v>0</v>
      </c>
      <c r="AB31" s="3">
        <f t="shared" si="50"/>
        <v>0</v>
      </c>
      <c r="AC31" s="20">
        <f t="shared" si="51"/>
        <v>0</v>
      </c>
      <c r="AD31" s="20">
        <f t="shared" si="52"/>
        <v>0</v>
      </c>
      <c r="AE31" s="3">
        <f t="shared" si="2"/>
        <v>0</v>
      </c>
    </row>
    <row r="32" spans="1:31" hidden="1" x14ac:dyDescent="0.25">
      <c r="B32" t="s">
        <v>86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">
        <f t="shared" si="1"/>
        <v>0</v>
      </c>
      <c r="Q32" s="15"/>
      <c r="R32" s="250"/>
      <c r="S32" s="3">
        <f t="shared" si="41"/>
        <v>0</v>
      </c>
      <c r="T32" s="3">
        <f t="shared" si="42"/>
        <v>0</v>
      </c>
      <c r="U32" s="3">
        <f t="shared" si="43"/>
        <v>0</v>
      </c>
      <c r="V32" s="3">
        <f t="shared" si="44"/>
        <v>0</v>
      </c>
      <c r="W32" s="3">
        <f t="shared" si="45"/>
        <v>0</v>
      </c>
      <c r="X32" s="3">
        <f t="shared" si="46"/>
        <v>0</v>
      </c>
      <c r="Y32" s="3">
        <f t="shared" si="47"/>
        <v>0</v>
      </c>
      <c r="Z32" s="3">
        <f t="shared" si="48"/>
        <v>0</v>
      </c>
      <c r="AA32" s="3">
        <f t="shared" si="49"/>
        <v>0</v>
      </c>
      <c r="AB32" s="3">
        <f t="shared" si="50"/>
        <v>0</v>
      </c>
      <c r="AC32" s="20">
        <f t="shared" si="51"/>
        <v>0</v>
      </c>
      <c r="AD32" s="20">
        <f t="shared" si="52"/>
        <v>0</v>
      </c>
      <c r="AE32" s="3">
        <f t="shared" si="2"/>
        <v>0</v>
      </c>
    </row>
    <row r="33" spans="1:31" hidden="1" x14ac:dyDescent="0.25">
      <c r="A33" t="s">
        <v>69</v>
      </c>
      <c r="B33" t="s">
        <v>14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10"/>
      <c r="O33" s="10"/>
      <c r="P33" s="2">
        <f t="shared" si="1"/>
        <v>0</v>
      </c>
      <c r="Q33" s="15"/>
      <c r="R33" s="249">
        <v>0</v>
      </c>
      <c r="S33" s="3">
        <f t="shared" ref="S33:AD36" si="53">$R33*D33</f>
        <v>0</v>
      </c>
      <c r="T33" s="3">
        <f t="shared" si="53"/>
        <v>0</v>
      </c>
      <c r="U33" s="3">
        <f t="shared" si="53"/>
        <v>0</v>
      </c>
      <c r="V33" s="3">
        <f t="shared" si="53"/>
        <v>0</v>
      </c>
      <c r="W33" s="3">
        <f t="shared" si="53"/>
        <v>0</v>
      </c>
      <c r="X33" s="3">
        <f t="shared" si="53"/>
        <v>0</v>
      </c>
      <c r="Y33" s="3">
        <f t="shared" si="53"/>
        <v>0</v>
      </c>
      <c r="Z33" s="3">
        <f t="shared" si="53"/>
        <v>0</v>
      </c>
      <c r="AA33" s="3">
        <f t="shared" si="53"/>
        <v>0</v>
      </c>
      <c r="AB33" s="3">
        <f t="shared" si="53"/>
        <v>0</v>
      </c>
      <c r="AC33" s="20">
        <f t="shared" si="53"/>
        <v>0</v>
      </c>
      <c r="AD33" s="20">
        <f t="shared" si="53"/>
        <v>0</v>
      </c>
      <c r="AE33" s="3">
        <f t="shared" si="2"/>
        <v>0</v>
      </c>
    </row>
    <row r="34" spans="1:31" hidden="1" x14ac:dyDescent="0.25">
      <c r="B34" t="s">
        <v>82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10"/>
      <c r="O34" s="10"/>
      <c r="P34" s="2">
        <f t="shared" si="1"/>
        <v>0</v>
      </c>
      <c r="Q34" s="15"/>
      <c r="R34" s="250">
        <v>0.59746999999999995</v>
      </c>
      <c r="S34" s="3">
        <f t="shared" si="53"/>
        <v>0</v>
      </c>
      <c r="T34" s="3">
        <f t="shared" si="53"/>
        <v>0</v>
      </c>
      <c r="U34" s="3">
        <f t="shared" si="53"/>
        <v>0</v>
      </c>
      <c r="V34" s="3">
        <f t="shared" si="53"/>
        <v>0</v>
      </c>
      <c r="W34" s="3">
        <f t="shared" si="53"/>
        <v>0</v>
      </c>
      <c r="X34" s="3">
        <f t="shared" si="53"/>
        <v>0</v>
      </c>
      <c r="Y34" s="3">
        <f t="shared" si="53"/>
        <v>0</v>
      </c>
      <c r="Z34" s="3">
        <f t="shared" si="53"/>
        <v>0</v>
      </c>
      <c r="AA34" s="3">
        <f t="shared" si="53"/>
        <v>0</v>
      </c>
      <c r="AB34" s="3">
        <f t="shared" si="53"/>
        <v>0</v>
      </c>
      <c r="AC34" s="20">
        <f t="shared" si="53"/>
        <v>0</v>
      </c>
      <c r="AD34" s="20">
        <f t="shared" si="53"/>
        <v>0</v>
      </c>
      <c r="AE34" s="3">
        <f t="shared" si="2"/>
        <v>0</v>
      </c>
    </row>
    <row r="35" spans="1:31" hidden="1" x14ac:dyDescent="0.25">
      <c r="B35" t="s">
        <v>83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10"/>
      <c r="O35" s="10"/>
      <c r="P35" s="2">
        <f t="shared" si="1"/>
        <v>0</v>
      </c>
      <c r="Q35" s="15"/>
      <c r="R35" s="250">
        <v>0.54420000000000002</v>
      </c>
      <c r="S35" s="3">
        <f t="shared" si="53"/>
        <v>0</v>
      </c>
      <c r="T35" s="3">
        <f t="shared" si="53"/>
        <v>0</v>
      </c>
      <c r="U35" s="3">
        <f t="shared" si="53"/>
        <v>0</v>
      </c>
      <c r="V35" s="3">
        <f t="shared" si="53"/>
        <v>0</v>
      </c>
      <c r="W35" s="3">
        <f t="shared" si="53"/>
        <v>0</v>
      </c>
      <c r="X35" s="3">
        <f t="shared" si="53"/>
        <v>0</v>
      </c>
      <c r="Y35" s="3">
        <f t="shared" si="53"/>
        <v>0</v>
      </c>
      <c r="Z35" s="3">
        <f t="shared" si="53"/>
        <v>0</v>
      </c>
      <c r="AA35" s="3">
        <f t="shared" si="53"/>
        <v>0</v>
      </c>
      <c r="AB35" s="3">
        <f t="shared" si="53"/>
        <v>0</v>
      </c>
      <c r="AC35" s="20">
        <f t="shared" si="53"/>
        <v>0</v>
      </c>
      <c r="AD35" s="20">
        <f t="shared" si="53"/>
        <v>0</v>
      </c>
      <c r="AE35" s="3">
        <f t="shared" si="2"/>
        <v>0</v>
      </c>
    </row>
    <row r="36" spans="1:31" hidden="1" x14ac:dyDescent="0.25">
      <c r="B36" t="s">
        <v>84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10"/>
      <c r="O36" s="10"/>
      <c r="P36" s="2">
        <f t="shared" si="1"/>
        <v>0</v>
      </c>
      <c r="Q36" s="15"/>
      <c r="R36" s="250">
        <v>0.53112000000000004</v>
      </c>
      <c r="S36" s="3">
        <f t="shared" si="53"/>
        <v>0</v>
      </c>
      <c r="T36" s="3">
        <f t="shared" si="53"/>
        <v>0</v>
      </c>
      <c r="U36" s="3">
        <f t="shared" si="53"/>
        <v>0</v>
      </c>
      <c r="V36" s="3">
        <f t="shared" si="53"/>
        <v>0</v>
      </c>
      <c r="W36" s="3">
        <f t="shared" si="53"/>
        <v>0</v>
      </c>
      <c r="X36" s="3">
        <f t="shared" si="53"/>
        <v>0</v>
      </c>
      <c r="Y36" s="3">
        <f t="shared" si="53"/>
        <v>0</v>
      </c>
      <c r="Z36" s="3">
        <f t="shared" si="53"/>
        <v>0</v>
      </c>
      <c r="AA36" s="3">
        <f t="shared" si="53"/>
        <v>0</v>
      </c>
      <c r="AB36" s="3">
        <f t="shared" si="53"/>
        <v>0</v>
      </c>
      <c r="AC36" s="20">
        <f t="shared" si="53"/>
        <v>0</v>
      </c>
      <c r="AD36" s="20">
        <f t="shared" si="53"/>
        <v>0</v>
      </c>
      <c r="AE36" s="3">
        <f t="shared" si="2"/>
        <v>0</v>
      </c>
    </row>
    <row r="37" spans="1:31" hidden="1" x14ac:dyDescent="0.25">
      <c r="B37" t="s">
        <v>85</v>
      </c>
      <c r="D37" s="2"/>
      <c r="E37" s="2"/>
      <c r="F37" s="5"/>
      <c r="G37" s="5"/>
      <c r="H37" s="5"/>
      <c r="I37" s="5"/>
      <c r="J37" s="5"/>
      <c r="K37" s="5"/>
      <c r="L37" s="5"/>
      <c r="M37" s="5"/>
      <c r="N37" s="10"/>
      <c r="O37" s="10"/>
      <c r="P37" s="2">
        <f t="shared" si="1"/>
        <v>0</v>
      </c>
      <c r="Q37" s="15"/>
      <c r="R37" s="250">
        <v>0.50941999999999998</v>
      </c>
      <c r="S37" s="3">
        <f t="shared" ref="S37:S42" si="54">$R37*D37</f>
        <v>0</v>
      </c>
      <c r="T37" s="3">
        <f t="shared" ref="T37:T42" si="55">$R37*E37</f>
        <v>0</v>
      </c>
      <c r="U37" s="3">
        <f t="shared" ref="U37:U42" si="56">$R37*F37</f>
        <v>0</v>
      </c>
      <c r="V37" s="3">
        <f t="shared" ref="V37:V42" si="57">$R37*G37</f>
        <v>0</v>
      </c>
      <c r="W37" s="3">
        <f t="shared" ref="W37:W42" si="58">$R37*H37</f>
        <v>0</v>
      </c>
      <c r="X37" s="3">
        <f t="shared" ref="X37:X42" si="59">$R37*I37</f>
        <v>0</v>
      </c>
      <c r="Y37" s="3">
        <f t="shared" ref="Y37:Y42" si="60">$R37*J37</f>
        <v>0</v>
      </c>
      <c r="Z37" s="3">
        <f t="shared" ref="Z37:Z42" si="61">$R37*K37</f>
        <v>0</v>
      </c>
      <c r="AA37" s="3">
        <f t="shared" ref="AA37:AA42" si="62">$R37*L37</f>
        <v>0</v>
      </c>
      <c r="AB37" s="3">
        <f t="shared" ref="AB37:AB42" si="63">$R37*M37</f>
        <v>0</v>
      </c>
      <c r="AC37" s="20">
        <f t="shared" ref="AC37:AC42" si="64">$R37*N37</f>
        <v>0</v>
      </c>
      <c r="AD37" s="20">
        <f t="shared" ref="AD37:AD42" si="65">$R37*O37</f>
        <v>0</v>
      </c>
      <c r="AE37" s="3">
        <f t="shared" si="2"/>
        <v>0</v>
      </c>
    </row>
    <row r="38" spans="1:31" x14ac:dyDescent="0.25">
      <c r="A38" t="s">
        <v>70</v>
      </c>
      <c r="B38" t="s">
        <v>14</v>
      </c>
      <c r="D38" s="10">
        <v>2</v>
      </c>
      <c r="E38" s="10">
        <v>1</v>
      </c>
      <c r="F38" s="10">
        <v>3</v>
      </c>
      <c r="G38" s="10">
        <v>2</v>
      </c>
      <c r="H38" s="10">
        <v>2</v>
      </c>
      <c r="I38" s="10">
        <v>2</v>
      </c>
      <c r="J38" s="10">
        <v>2</v>
      </c>
      <c r="K38" s="10">
        <v>2</v>
      </c>
      <c r="L38" s="10">
        <v>2</v>
      </c>
      <c r="M38" s="10">
        <v>2</v>
      </c>
      <c r="N38" s="10">
        <v>2</v>
      </c>
      <c r="O38" s="10">
        <v>2</v>
      </c>
      <c r="P38" s="2">
        <f t="shared" si="1"/>
        <v>24</v>
      </c>
      <c r="Q38" s="15"/>
      <c r="R38" s="249">
        <v>0</v>
      </c>
      <c r="S38" s="3">
        <f t="shared" si="54"/>
        <v>0</v>
      </c>
      <c r="T38" s="3">
        <f t="shared" si="55"/>
        <v>0</v>
      </c>
      <c r="U38" s="3">
        <f t="shared" si="56"/>
        <v>0</v>
      </c>
      <c r="V38" s="3">
        <f t="shared" si="57"/>
        <v>0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0</v>
      </c>
      <c r="AC38" s="20">
        <f t="shared" si="64"/>
        <v>0</v>
      </c>
      <c r="AD38" s="20">
        <f t="shared" si="65"/>
        <v>0</v>
      </c>
      <c r="AE38" s="3">
        <f t="shared" si="2"/>
        <v>0</v>
      </c>
    </row>
    <row r="39" spans="1:31" x14ac:dyDescent="0.25">
      <c r="B39" t="s">
        <v>82</v>
      </c>
      <c r="D39" s="10">
        <v>20000</v>
      </c>
      <c r="E39" s="10">
        <v>10000</v>
      </c>
      <c r="F39" s="10">
        <v>30000</v>
      </c>
      <c r="G39" s="10">
        <v>20000</v>
      </c>
      <c r="H39" s="10">
        <v>20000</v>
      </c>
      <c r="I39" s="10">
        <v>20000</v>
      </c>
      <c r="J39" s="10">
        <v>20000</v>
      </c>
      <c r="K39" s="10">
        <v>20000</v>
      </c>
      <c r="L39" s="10">
        <v>20000</v>
      </c>
      <c r="M39" s="10">
        <v>20000</v>
      </c>
      <c r="N39" s="10">
        <v>20000</v>
      </c>
      <c r="O39" s="10">
        <v>20000</v>
      </c>
      <c r="P39" s="2">
        <f t="shared" si="1"/>
        <v>240000</v>
      </c>
      <c r="Q39" s="15"/>
      <c r="R39" s="250">
        <v>0.58933999999999997</v>
      </c>
      <c r="S39" s="3">
        <f t="shared" si="54"/>
        <v>11786.8</v>
      </c>
      <c r="T39" s="3">
        <f t="shared" si="55"/>
        <v>5893.4</v>
      </c>
      <c r="U39" s="3">
        <f t="shared" si="56"/>
        <v>17680.2</v>
      </c>
      <c r="V39" s="3">
        <f t="shared" si="57"/>
        <v>11786.8</v>
      </c>
      <c r="W39" s="3">
        <f t="shared" si="58"/>
        <v>11786.8</v>
      </c>
      <c r="X39" s="3">
        <f t="shared" si="59"/>
        <v>11786.8</v>
      </c>
      <c r="Y39" s="3">
        <f t="shared" si="60"/>
        <v>11786.8</v>
      </c>
      <c r="Z39" s="3">
        <f t="shared" si="61"/>
        <v>11786.8</v>
      </c>
      <c r="AA39" s="3">
        <f t="shared" si="62"/>
        <v>11786.8</v>
      </c>
      <c r="AB39" s="3">
        <f t="shared" si="63"/>
        <v>11786.8</v>
      </c>
      <c r="AC39" s="20">
        <f t="shared" si="64"/>
        <v>11786.8</v>
      </c>
      <c r="AD39" s="20">
        <f t="shared" si="65"/>
        <v>11786.8</v>
      </c>
      <c r="AE39" s="3">
        <f t="shared" si="2"/>
        <v>141441.60000000001</v>
      </c>
    </row>
    <row r="40" spans="1:31" x14ac:dyDescent="0.25">
      <c r="B40" t="s">
        <v>83</v>
      </c>
      <c r="D40" s="10">
        <v>30000</v>
      </c>
      <c r="E40" s="10">
        <v>15000</v>
      </c>
      <c r="F40" s="10">
        <v>45000</v>
      </c>
      <c r="G40" s="10">
        <v>30000</v>
      </c>
      <c r="H40" s="10">
        <v>30000</v>
      </c>
      <c r="I40" s="10">
        <v>26374.848000000002</v>
      </c>
      <c r="J40" s="10">
        <v>18146.276000000002</v>
      </c>
      <c r="K40" s="10">
        <v>15815.96</v>
      </c>
      <c r="L40" s="10">
        <v>17416.560000000001</v>
      </c>
      <c r="M40" s="10">
        <v>20029.469000000001</v>
      </c>
      <c r="N40" s="10">
        <v>30000</v>
      </c>
      <c r="O40" s="10">
        <v>30000</v>
      </c>
      <c r="P40" s="2">
        <f t="shared" si="1"/>
        <v>307783.11300000001</v>
      </c>
      <c r="Q40" s="15"/>
      <c r="R40" s="250">
        <v>0.53607000000000005</v>
      </c>
      <c r="S40" s="3">
        <f t="shared" si="54"/>
        <v>16082.100000000002</v>
      </c>
      <c r="T40" s="3">
        <f t="shared" si="55"/>
        <v>8041.0500000000011</v>
      </c>
      <c r="U40" s="3">
        <f t="shared" si="56"/>
        <v>24123.15</v>
      </c>
      <c r="V40" s="3">
        <f t="shared" si="57"/>
        <v>16082.100000000002</v>
      </c>
      <c r="W40" s="3">
        <f t="shared" si="58"/>
        <v>16082.100000000002</v>
      </c>
      <c r="X40" s="3">
        <f t="shared" si="59"/>
        <v>14138.764767360002</v>
      </c>
      <c r="Y40" s="3">
        <f t="shared" si="60"/>
        <v>9727.6741753200022</v>
      </c>
      <c r="Z40" s="3">
        <f t="shared" si="61"/>
        <v>8478.4616772000008</v>
      </c>
      <c r="AA40" s="3">
        <f t="shared" si="62"/>
        <v>9336.4953192000012</v>
      </c>
      <c r="AB40" s="3">
        <f t="shared" si="63"/>
        <v>10737.197446830001</v>
      </c>
      <c r="AC40" s="20">
        <f t="shared" si="64"/>
        <v>16082.100000000002</v>
      </c>
      <c r="AD40" s="20">
        <f t="shared" si="65"/>
        <v>16082.100000000002</v>
      </c>
      <c r="AE40" s="3">
        <f t="shared" si="2"/>
        <v>164993.29338591002</v>
      </c>
    </row>
    <row r="41" spans="1:31" x14ac:dyDescent="0.25">
      <c r="B41" t="s">
        <v>84</v>
      </c>
      <c r="D41" s="10">
        <v>50000</v>
      </c>
      <c r="E41" s="10">
        <v>25000</v>
      </c>
      <c r="F41" s="10">
        <v>75000</v>
      </c>
      <c r="G41" s="10">
        <v>36985.383999999998</v>
      </c>
      <c r="H41" s="10">
        <v>15394.620999999999</v>
      </c>
      <c r="I41" s="10">
        <v>5065.4650000000001</v>
      </c>
      <c r="J41" s="10">
        <v>3900.8240000000001</v>
      </c>
      <c r="K41" s="10">
        <v>6582.4830000000002</v>
      </c>
      <c r="L41" s="10">
        <v>9688.85</v>
      </c>
      <c r="M41" s="10">
        <v>18398.179</v>
      </c>
      <c r="N41" s="10">
        <v>30283.792000000001</v>
      </c>
      <c r="O41" s="10">
        <v>50000</v>
      </c>
      <c r="P41" s="2">
        <f t="shared" si="1"/>
        <v>326299.598</v>
      </c>
      <c r="Q41" s="15"/>
      <c r="R41" s="250">
        <v>0.52298999999999995</v>
      </c>
      <c r="S41" s="3">
        <f t="shared" si="54"/>
        <v>26149.499999999996</v>
      </c>
      <c r="T41" s="3">
        <f t="shared" si="55"/>
        <v>13074.749999999998</v>
      </c>
      <c r="U41" s="3">
        <f t="shared" si="56"/>
        <v>39224.25</v>
      </c>
      <c r="V41" s="3">
        <f t="shared" si="57"/>
        <v>19342.985978159999</v>
      </c>
      <c r="W41" s="3">
        <f t="shared" si="58"/>
        <v>8051.2328367899991</v>
      </c>
      <c r="X41" s="3">
        <f t="shared" si="59"/>
        <v>2649.1875403499998</v>
      </c>
      <c r="Y41" s="3">
        <f t="shared" si="60"/>
        <v>2040.0919437599998</v>
      </c>
      <c r="Z41" s="3">
        <f t="shared" si="61"/>
        <v>3442.57278417</v>
      </c>
      <c r="AA41" s="3">
        <f t="shared" si="62"/>
        <v>5067.1716614999996</v>
      </c>
      <c r="AB41" s="3">
        <f t="shared" si="63"/>
        <v>9622.0636352099991</v>
      </c>
      <c r="AC41" s="20">
        <f t="shared" si="64"/>
        <v>15838.120378079999</v>
      </c>
      <c r="AD41" s="20">
        <f t="shared" si="65"/>
        <v>26149.499999999996</v>
      </c>
      <c r="AE41" s="3">
        <f t="shared" si="2"/>
        <v>170651.42675802001</v>
      </c>
    </row>
    <row r="42" spans="1:31" x14ac:dyDescent="0.25">
      <c r="B42" t="s">
        <v>85</v>
      </c>
      <c r="D42" s="10">
        <v>27341.609</v>
      </c>
      <c r="E42" s="10">
        <v>15536.155000000001</v>
      </c>
      <c r="F42" s="10">
        <v>33530.550999999999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18216.555</v>
      </c>
      <c r="O42" s="10">
        <v>22691.347000000002</v>
      </c>
      <c r="P42" s="2">
        <f t="shared" si="1"/>
        <v>117316.217</v>
      </c>
      <c r="Q42" s="15"/>
      <c r="R42" s="250">
        <v>0.50129000000000001</v>
      </c>
      <c r="S42" s="3">
        <f t="shared" si="54"/>
        <v>13706.07517561</v>
      </c>
      <c r="T42" s="3">
        <f t="shared" si="55"/>
        <v>7788.1191399500003</v>
      </c>
      <c r="U42" s="3">
        <f t="shared" si="56"/>
        <v>16808.529910789999</v>
      </c>
      <c r="V42" s="3">
        <f t="shared" si="57"/>
        <v>0</v>
      </c>
      <c r="W42" s="3">
        <f t="shared" si="58"/>
        <v>0</v>
      </c>
      <c r="X42" s="3">
        <f t="shared" si="59"/>
        <v>0</v>
      </c>
      <c r="Y42" s="3">
        <f t="shared" si="60"/>
        <v>0</v>
      </c>
      <c r="Z42" s="3">
        <f t="shared" si="61"/>
        <v>0</v>
      </c>
      <c r="AA42" s="3">
        <f t="shared" si="62"/>
        <v>0</v>
      </c>
      <c r="AB42" s="3">
        <f t="shared" si="63"/>
        <v>0</v>
      </c>
      <c r="AC42" s="20">
        <f t="shared" si="64"/>
        <v>9131.77685595</v>
      </c>
      <c r="AD42" s="20">
        <f t="shared" si="65"/>
        <v>11374.945337630001</v>
      </c>
      <c r="AE42" s="3">
        <f t="shared" si="2"/>
        <v>58809.446419930006</v>
      </c>
    </row>
    <row r="43" spans="1:31" x14ac:dyDescent="0.25">
      <c r="A43" t="s">
        <v>71</v>
      </c>
      <c r="B43" t="s">
        <v>14</v>
      </c>
      <c r="D43" s="10">
        <v>38</v>
      </c>
      <c r="E43" s="10">
        <v>38</v>
      </c>
      <c r="F43" s="10">
        <v>38</v>
      </c>
      <c r="G43" s="10">
        <v>38</v>
      </c>
      <c r="H43" s="10">
        <v>38</v>
      </c>
      <c r="I43" s="10">
        <v>38</v>
      </c>
      <c r="J43" s="10">
        <v>37</v>
      </c>
      <c r="K43" s="10">
        <v>38</v>
      </c>
      <c r="L43" s="10">
        <v>38</v>
      </c>
      <c r="M43" s="10">
        <v>38</v>
      </c>
      <c r="N43" s="10">
        <v>38</v>
      </c>
      <c r="O43" s="10">
        <v>38</v>
      </c>
      <c r="P43" s="2">
        <f t="shared" si="1"/>
        <v>455</v>
      </c>
      <c r="Q43" s="15"/>
      <c r="R43" s="249">
        <v>625</v>
      </c>
      <c r="S43" s="3">
        <f t="shared" ref="S43:AD46" si="66">$R43*D43</f>
        <v>23750</v>
      </c>
      <c r="T43" s="3">
        <f t="shared" si="66"/>
        <v>23750</v>
      </c>
      <c r="U43" s="3">
        <f t="shared" si="66"/>
        <v>23750</v>
      </c>
      <c r="V43" s="3">
        <f t="shared" si="66"/>
        <v>23750</v>
      </c>
      <c r="W43" s="3">
        <f t="shared" si="66"/>
        <v>23750</v>
      </c>
      <c r="X43" s="3">
        <f t="shared" si="66"/>
        <v>23750</v>
      </c>
      <c r="Y43" s="3">
        <f t="shared" si="66"/>
        <v>23125</v>
      </c>
      <c r="Z43" s="3">
        <f t="shared" si="66"/>
        <v>23750</v>
      </c>
      <c r="AA43" s="3">
        <f t="shared" si="66"/>
        <v>23750</v>
      </c>
      <c r="AB43" s="3">
        <f t="shared" si="66"/>
        <v>23750</v>
      </c>
      <c r="AC43" s="20">
        <f t="shared" si="66"/>
        <v>23750</v>
      </c>
      <c r="AD43" s="20">
        <f t="shared" si="66"/>
        <v>23750</v>
      </c>
      <c r="AE43" s="3">
        <f t="shared" si="2"/>
        <v>284375</v>
      </c>
    </row>
    <row r="44" spans="1:31" x14ac:dyDescent="0.25">
      <c r="B44" t="s">
        <v>82</v>
      </c>
      <c r="D44" s="10">
        <v>670503</v>
      </c>
      <c r="E44" s="10">
        <v>655136</v>
      </c>
      <c r="F44" s="10">
        <v>651219</v>
      </c>
      <c r="G44" s="10">
        <v>654750</v>
      </c>
      <c r="H44" s="10">
        <v>716457</v>
      </c>
      <c r="I44" s="10">
        <v>684224</v>
      </c>
      <c r="J44" s="10">
        <v>619013</v>
      </c>
      <c r="K44" s="10">
        <v>615474</v>
      </c>
      <c r="L44" s="10">
        <v>608824</v>
      </c>
      <c r="M44" s="10">
        <v>652138</v>
      </c>
      <c r="N44" s="10">
        <v>714557</v>
      </c>
      <c r="O44" s="10">
        <v>722233</v>
      </c>
      <c r="P44" s="2">
        <f t="shared" si="1"/>
        <v>7964528</v>
      </c>
      <c r="Q44" s="15"/>
      <c r="R44" s="250">
        <v>0.10663</v>
      </c>
      <c r="S44" s="3">
        <f t="shared" si="66"/>
        <v>71495.734890000007</v>
      </c>
      <c r="T44" s="3">
        <f t="shared" si="66"/>
        <v>69857.151679999995</v>
      </c>
      <c r="U44" s="3">
        <f t="shared" si="66"/>
        <v>69439.481970000008</v>
      </c>
      <c r="V44" s="3">
        <f t="shared" si="66"/>
        <v>69815.992500000008</v>
      </c>
      <c r="W44" s="3">
        <f t="shared" si="66"/>
        <v>76395.809909999996</v>
      </c>
      <c r="X44" s="3">
        <f t="shared" si="66"/>
        <v>72958.805120000005</v>
      </c>
      <c r="Y44" s="3">
        <f t="shared" si="66"/>
        <v>66005.356190000006</v>
      </c>
      <c r="Z44" s="3">
        <f t="shared" si="66"/>
        <v>65627.992620000005</v>
      </c>
      <c r="AA44" s="3">
        <f t="shared" si="66"/>
        <v>64918.903120000003</v>
      </c>
      <c r="AB44" s="3">
        <f t="shared" si="66"/>
        <v>69537.47494</v>
      </c>
      <c r="AC44" s="20">
        <f t="shared" si="66"/>
        <v>76193.212910000002</v>
      </c>
      <c r="AD44" s="20">
        <f t="shared" si="66"/>
        <v>77011.704790000003</v>
      </c>
      <c r="AE44" s="3">
        <f t="shared" si="2"/>
        <v>849257.62063999998</v>
      </c>
    </row>
    <row r="45" spans="1:31" x14ac:dyDescent="0.25">
      <c r="B45" t="s">
        <v>83</v>
      </c>
      <c r="D45" s="10">
        <v>740753</v>
      </c>
      <c r="E45" s="10">
        <v>745699</v>
      </c>
      <c r="F45" s="10">
        <v>760638</v>
      </c>
      <c r="G45" s="10">
        <v>740734</v>
      </c>
      <c r="H45" s="10">
        <v>667012</v>
      </c>
      <c r="I45" s="10">
        <v>585335</v>
      </c>
      <c r="J45" s="10">
        <v>521013</v>
      </c>
      <c r="K45" s="10">
        <v>480620</v>
      </c>
      <c r="L45" s="10">
        <v>487212</v>
      </c>
      <c r="M45" s="10">
        <v>513525</v>
      </c>
      <c r="N45" s="10">
        <v>672288</v>
      </c>
      <c r="O45" s="10">
        <v>775188</v>
      </c>
      <c r="P45" s="2">
        <f t="shared" si="1"/>
        <v>7690017</v>
      </c>
      <c r="Q45" s="15"/>
      <c r="R45" s="250">
        <v>9.5049999999999996E-2</v>
      </c>
      <c r="S45" s="3">
        <f t="shared" si="66"/>
        <v>70408.572650000002</v>
      </c>
      <c r="T45" s="3">
        <f t="shared" si="66"/>
        <v>70878.68995</v>
      </c>
      <c r="U45" s="3">
        <f t="shared" si="66"/>
        <v>72298.641900000002</v>
      </c>
      <c r="V45" s="3">
        <f t="shared" si="66"/>
        <v>70406.766699999993</v>
      </c>
      <c r="W45" s="3">
        <f t="shared" si="66"/>
        <v>63399.490599999997</v>
      </c>
      <c r="X45" s="3">
        <f t="shared" si="66"/>
        <v>55636.09175</v>
      </c>
      <c r="Y45" s="3">
        <f t="shared" si="66"/>
        <v>49522.285649999998</v>
      </c>
      <c r="Z45" s="3">
        <f t="shared" si="66"/>
        <v>45682.930999999997</v>
      </c>
      <c r="AA45" s="3">
        <f t="shared" si="66"/>
        <v>46309.500599999999</v>
      </c>
      <c r="AB45" s="3">
        <f t="shared" si="66"/>
        <v>48810.551249999997</v>
      </c>
      <c r="AC45" s="20">
        <f t="shared" si="66"/>
        <v>63900.974399999999</v>
      </c>
      <c r="AD45" s="20">
        <f t="shared" si="66"/>
        <v>73681.619399999996</v>
      </c>
      <c r="AE45" s="3">
        <f t="shared" si="2"/>
        <v>730936.11584999994</v>
      </c>
    </row>
    <row r="46" spans="1:31" x14ac:dyDescent="0.25">
      <c r="B46" t="s">
        <v>84</v>
      </c>
      <c r="D46" s="10">
        <v>1633236</v>
      </c>
      <c r="E46" s="10">
        <v>1626073</v>
      </c>
      <c r="F46" s="10">
        <v>1735758</v>
      </c>
      <c r="G46" s="10">
        <v>1484481</v>
      </c>
      <c r="H46" s="10">
        <v>1116455</v>
      </c>
      <c r="I46" s="10">
        <v>907579</v>
      </c>
      <c r="J46" s="10">
        <v>708347</v>
      </c>
      <c r="K46" s="10">
        <v>794433</v>
      </c>
      <c r="L46" s="10">
        <v>674638</v>
      </c>
      <c r="M46" s="10">
        <v>743413</v>
      </c>
      <c r="N46" s="10">
        <v>1072136</v>
      </c>
      <c r="O46" s="10">
        <v>1462747</v>
      </c>
      <c r="P46" s="2">
        <f t="shared" si="1"/>
        <v>13959296</v>
      </c>
      <c r="Q46" s="15"/>
      <c r="R46" s="250">
        <v>8.5879999999999998E-2</v>
      </c>
      <c r="S46" s="3">
        <f t="shared" si="66"/>
        <v>140262.30768</v>
      </c>
      <c r="T46" s="3">
        <f t="shared" si="66"/>
        <v>139647.14924</v>
      </c>
      <c r="U46" s="3">
        <f t="shared" si="66"/>
        <v>149066.89704000001</v>
      </c>
      <c r="V46" s="3">
        <f t="shared" si="66"/>
        <v>127487.22828</v>
      </c>
      <c r="W46" s="3">
        <f t="shared" si="66"/>
        <v>95881.155400000003</v>
      </c>
      <c r="X46" s="3">
        <f t="shared" si="66"/>
        <v>77942.884519999992</v>
      </c>
      <c r="Y46" s="3">
        <f t="shared" si="66"/>
        <v>60832.840360000002</v>
      </c>
      <c r="Z46" s="3">
        <f t="shared" si="66"/>
        <v>68225.906040000002</v>
      </c>
      <c r="AA46" s="3">
        <f t="shared" si="66"/>
        <v>57937.911439999996</v>
      </c>
      <c r="AB46" s="3">
        <f t="shared" si="66"/>
        <v>63844.308440000001</v>
      </c>
      <c r="AC46" s="20">
        <f t="shared" si="66"/>
        <v>92075.039680000002</v>
      </c>
      <c r="AD46" s="20">
        <f t="shared" si="66"/>
        <v>125620.71235999999</v>
      </c>
      <c r="AE46" s="3">
        <f t="shared" si="2"/>
        <v>1198824.34048</v>
      </c>
    </row>
    <row r="47" spans="1:31" x14ac:dyDescent="0.25">
      <c r="B47" t="s">
        <v>85</v>
      </c>
      <c r="D47" s="10">
        <v>148347</v>
      </c>
      <c r="E47" s="10">
        <v>191376</v>
      </c>
      <c r="F47" s="10">
        <v>287973</v>
      </c>
      <c r="G47" s="10">
        <v>181260</v>
      </c>
      <c r="H47" s="10">
        <v>72968</v>
      </c>
      <c r="I47" s="10">
        <v>129086</v>
      </c>
      <c r="J47" s="10">
        <v>153697</v>
      </c>
      <c r="K47" s="10">
        <v>191283</v>
      </c>
      <c r="L47" s="10">
        <v>190026</v>
      </c>
      <c r="M47" s="10">
        <v>200000</v>
      </c>
      <c r="N47" s="10">
        <v>200000</v>
      </c>
      <c r="O47" s="10">
        <v>207189</v>
      </c>
      <c r="P47" s="2">
        <f t="shared" si="1"/>
        <v>2153205</v>
      </c>
      <c r="Q47" s="15"/>
      <c r="R47" s="250">
        <v>7.954E-2</v>
      </c>
      <c r="S47" s="3">
        <f t="shared" ref="S47" si="67">$R47*D47</f>
        <v>11799.52038</v>
      </c>
      <c r="T47" s="3">
        <f t="shared" ref="T47" si="68">$R47*E47</f>
        <v>15222.047039999999</v>
      </c>
      <c r="U47" s="3">
        <f t="shared" ref="U47" si="69">$R47*F47</f>
        <v>22905.37242</v>
      </c>
      <c r="V47" s="3">
        <f t="shared" ref="V47" si="70">$R47*G47</f>
        <v>14417.420399999999</v>
      </c>
      <c r="W47" s="3">
        <f t="shared" ref="W47" si="71">$R47*H47</f>
        <v>5803.8747199999998</v>
      </c>
      <c r="X47" s="3">
        <f t="shared" ref="X47" si="72">$R47*I47</f>
        <v>10267.50044</v>
      </c>
      <c r="Y47" s="3">
        <f t="shared" ref="Y47" si="73">$R47*J47</f>
        <v>12225.059380000001</v>
      </c>
      <c r="Z47" s="3">
        <f t="shared" ref="Z47" si="74">$R47*K47</f>
        <v>15214.649820000001</v>
      </c>
      <c r="AA47" s="3">
        <f t="shared" ref="AA47" si="75">$R47*L47</f>
        <v>15114.66804</v>
      </c>
      <c r="AB47" s="3">
        <f t="shared" ref="AB47" si="76">$R47*M47</f>
        <v>15908</v>
      </c>
      <c r="AC47" s="20">
        <f t="shared" ref="AC47" si="77">$R47*N47</f>
        <v>15908</v>
      </c>
      <c r="AD47" s="20">
        <f t="shared" ref="AD47" si="78">$R47*O47</f>
        <v>16479.81306</v>
      </c>
      <c r="AE47" s="3">
        <f t="shared" ref="AE47" si="79">SUM(S47:AD47)</f>
        <v>171265.92570000002</v>
      </c>
    </row>
    <row r="48" spans="1:31" x14ac:dyDescent="0.25">
      <c r="B48" t="s">
        <v>86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130373</v>
      </c>
      <c r="N48" s="10">
        <v>51535</v>
      </c>
      <c r="O48" s="10">
        <v>65285</v>
      </c>
      <c r="P48" s="2">
        <f t="shared" si="1"/>
        <v>247193</v>
      </c>
      <c r="Q48" s="15"/>
      <c r="R48" s="250">
        <v>6.0199999999999997E-2</v>
      </c>
      <c r="S48" s="3">
        <f t="shared" ref="S48:S51" si="80">$R48*D48</f>
        <v>0</v>
      </c>
      <c r="T48" s="3">
        <f t="shared" ref="T48:T51" si="81">$R48*E48</f>
        <v>0</v>
      </c>
      <c r="U48" s="3">
        <f t="shared" ref="U48:U51" si="82">$R48*F48</f>
        <v>0</v>
      </c>
      <c r="V48" s="3">
        <f t="shared" ref="V48:V51" si="83">$R48*G48</f>
        <v>0</v>
      </c>
      <c r="W48" s="3">
        <f t="shared" ref="W48:W51" si="84">$R48*H48</f>
        <v>0</v>
      </c>
      <c r="X48" s="3">
        <f t="shared" ref="X48:X51" si="85">$R48*I48</f>
        <v>0</v>
      </c>
      <c r="Y48" s="3">
        <f t="shared" ref="Y48:Y51" si="86">$R48*J48</f>
        <v>0</v>
      </c>
      <c r="Z48" s="3">
        <f t="shared" ref="Z48:Z51" si="87">$R48*K48</f>
        <v>0</v>
      </c>
      <c r="AA48" s="3">
        <f t="shared" ref="AA48:AA51" si="88">$R48*L48</f>
        <v>0</v>
      </c>
      <c r="AB48" s="3">
        <f t="shared" ref="AB48:AB51" si="89">$R48*M48</f>
        <v>7848.4545999999991</v>
      </c>
      <c r="AC48" s="20">
        <f t="shared" ref="AC48" si="90">$R48*N48</f>
        <v>3102.4069999999997</v>
      </c>
      <c r="AD48" s="20">
        <f t="shared" ref="AD48" si="91">$R48*O48</f>
        <v>3930.1569999999997</v>
      </c>
      <c r="AE48" s="3">
        <f t="shared" si="2"/>
        <v>14881.018599999998</v>
      </c>
    </row>
    <row r="49" spans="1:32" ht="14.45" customHeight="1" x14ac:dyDescent="0.25">
      <c r="A49" s="12" t="s">
        <v>72</v>
      </c>
      <c r="B49" t="s">
        <v>14</v>
      </c>
      <c r="D49" s="10">
        <v>2</v>
      </c>
      <c r="E49" s="10">
        <v>2</v>
      </c>
      <c r="F49" s="10">
        <v>2</v>
      </c>
      <c r="G49" s="10">
        <v>3</v>
      </c>
      <c r="H49" s="10">
        <v>2</v>
      </c>
      <c r="I49" s="10">
        <v>2</v>
      </c>
      <c r="J49" s="10">
        <v>3</v>
      </c>
      <c r="K49" s="10">
        <v>3</v>
      </c>
      <c r="L49" s="10">
        <v>3</v>
      </c>
      <c r="M49" s="10">
        <v>3</v>
      </c>
      <c r="N49" s="10">
        <v>3</v>
      </c>
      <c r="O49" s="10">
        <v>2</v>
      </c>
      <c r="P49" s="2">
        <f t="shared" si="1"/>
        <v>30</v>
      </c>
      <c r="Q49" s="15"/>
      <c r="R49" s="249">
        <v>0</v>
      </c>
      <c r="S49" s="3">
        <f t="shared" si="80"/>
        <v>0</v>
      </c>
      <c r="T49" s="3">
        <f t="shared" si="81"/>
        <v>0</v>
      </c>
      <c r="U49" s="3">
        <f t="shared" si="82"/>
        <v>0</v>
      </c>
      <c r="V49" s="3">
        <f t="shared" si="83"/>
        <v>0</v>
      </c>
      <c r="W49" s="3">
        <f t="shared" si="84"/>
        <v>0</v>
      </c>
      <c r="X49" s="3">
        <f t="shared" si="85"/>
        <v>0</v>
      </c>
      <c r="Y49" s="3">
        <f t="shared" si="86"/>
        <v>0</v>
      </c>
      <c r="Z49" s="3">
        <f t="shared" si="87"/>
        <v>0</v>
      </c>
      <c r="AA49" s="3">
        <f t="shared" si="88"/>
        <v>0</v>
      </c>
      <c r="AB49" s="3">
        <f t="shared" si="89"/>
        <v>0</v>
      </c>
      <c r="AC49" s="20">
        <f t="shared" ref="AC49:AC51" si="92">$R49*N49</f>
        <v>0</v>
      </c>
      <c r="AD49" s="20">
        <f t="shared" ref="AD49:AD51" si="93">$R49*O49</f>
        <v>0</v>
      </c>
      <c r="AE49" s="3">
        <f t="shared" si="2"/>
        <v>0</v>
      </c>
    </row>
    <row r="50" spans="1:32" x14ac:dyDescent="0.25">
      <c r="A50" s="12"/>
      <c r="B50" t="s">
        <v>87</v>
      </c>
      <c r="D50" s="10">
        <v>230915</v>
      </c>
      <c r="E50" s="10">
        <v>59520</v>
      </c>
      <c r="F50" s="10">
        <v>264407</v>
      </c>
      <c r="G50" s="10">
        <v>415084</v>
      </c>
      <c r="H50" s="10">
        <v>533385</v>
      </c>
      <c r="I50" s="10">
        <v>365764</v>
      </c>
      <c r="J50" s="10">
        <v>847264</v>
      </c>
      <c r="K50" s="10">
        <v>1043906</v>
      </c>
      <c r="L50" s="10">
        <v>1066372</v>
      </c>
      <c r="M50" s="10">
        <v>829370</v>
      </c>
      <c r="N50" s="10">
        <v>832244</v>
      </c>
      <c r="O50" s="10">
        <v>265161</v>
      </c>
      <c r="P50" s="2">
        <f t="shared" si="1"/>
        <v>6753392</v>
      </c>
      <c r="Q50" s="15"/>
      <c r="R50" s="250">
        <v>2.0910000000000002E-2</v>
      </c>
      <c r="S50" s="3">
        <f t="shared" si="80"/>
        <v>4828.4326500000006</v>
      </c>
      <c r="T50" s="3">
        <f t="shared" si="81"/>
        <v>1244.5632000000001</v>
      </c>
      <c r="U50" s="3">
        <f t="shared" si="82"/>
        <v>5528.7503700000007</v>
      </c>
      <c r="V50" s="3">
        <f t="shared" si="83"/>
        <v>8679.4064400000007</v>
      </c>
      <c r="W50" s="3">
        <f t="shared" si="84"/>
        <v>11153.08035</v>
      </c>
      <c r="X50" s="3">
        <f t="shared" si="85"/>
        <v>7648.1252400000003</v>
      </c>
      <c r="Y50" s="3">
        <f t="shared" si="86"/>
        <v>17716.290240000002</v>
      </c>
      <c r="Z50" s="3">
        <f t="shared" si="87"/>
        <v>21828.07446</v>
      </c>
      <c r="AA50" s="3">
        <f t="shared" si="88"/>
        <v>22297.838520000001</v>
      </c>
      <c r="AB50" s="3">
        <f t="shared" si="89"/>
        <v>17342.126700000001</v>
      </c>
      <c r="AC50" s="20">
        <f t="shared" si="92"/>
        <v>17402.222040000001</v>
      </c>
      <c r="AD50" s="20">
        <f t="shared" si="93"/>
        <v>5544.5165100000004</v>
      </c>
      <c r="AE50" s="3">
        <f t="shared" si="2"/>
        <v>141213.42671999999</v>
      </c>
    </row>
    <row r="51" spans="1:32" x14ac:dyDescent="0.25">
      <c r="A51" s="12" t="s">
        <v>89</v>
      </c>
      <c r="B51" t="s">
        <v>14</v>
      </c>
      <c r="D51" s="10">
        <v>5</v>
      </c>
      <c r="E51" s="10">
        <v>5</v>
      </c>
      <c r="F51" s="10">
        <v>5</v>
      </c>
      <c r="G51" s="10">
        <v>5</v>
      </c>
      <c r="H51" s="10">
        <v>5</v>
      </c>
      <c r="I51" s="10">
        <v>5</v>
      </c>
      <c r="J51" s="10">
        <v>5</v>
      </c>
      <c r="K51" s="10">
        <v>5</v>
      </c>
      <c r="L51" s="10">
        <v>5</v>
      </c>
      <c r="M51" s="10">
        <v>5</v>
      </c>
      <c r="N51" s="10">
        <v>5</v>
      </c>
      <c r="O51" s="10">
        <v>5</v>
      </c>
      <c r="P51" s="2">
        <f t="shared" si="1"/>
        <v>60</v>
      </c>
      <c r="Q51" s="15"/>
      <c r="R51" s="249">
        <v>200</v>
      </c>
      <c r="S51" s="3">
        <f t="shared" si="80"/>
        <v>1000</v>
      </c>
      <c r="T51" s="3">
        <f t="shared" si="81"/>
        <v>1000</v>
      </c>
      <c r="U51" s="3">
        <f t="shared" si="82"/>
        <v>1000</v>
      </c>
      <c r="V51" s="3">
        <f t="shared" si="83"/>
        <v>1000</v>
      </c>
      <c r="W51" s="3">
        <f t="shared" si="84"/>
        <v>1000</v>
      </c>
      <c r="X51" s="3">
        <f t="shared" si="85"/>
        <v>1000</v>
      </c>
      <c r="Y51" s="3">
        <f t="shared" si="86"/>
        <v>1000</v>
      </c>
      <c r="Z51" s="3">
        <f t="shared" si="87"/>
        <v>1000</v>
      </c>
      <c r="AA51" s="3">
        <f t="shared" si="88"/>
        <v>1000</v>
      </c>
      <c r="AB51" s="3">
        <f t="shared" si="89"/>
        <v>1000</v>
      </c>
      <c r="AC51" s="20">
        <f t="shared" si="92"/>
        <v>1000</v>
      </c>
      <c r="AD51" s="20">
        <f t="shared" si="93"/>
        <v>1000</v>
      </c>
      <c r="AE51" s="3">
        <f t="shared" si="2"/>
        <v>12000</v>
      </c>
    </row>
    <row r="52" spans="1:32" x14ac:dyDescent="0.25">
      <c r="A52" s="12"/>
      <c r="B52" t="s">
        <v>87</v>
      </c>
      <c r="D52" s="10">
        <v>4223059</v>
      </c>
      <c r="E52" s="10">
        <v>4182623</v>
      </c>
      <c r="F52" s="10">
        <v>3745074</v>
      </c>
      <c r="G52" s="10">
        <v>3615312</v>
      </c>
      <c r="H52" s="10">
        <v>3356162</v>
      </c>
      <c r="I52" s="10">
        <v>3249405</v>
      </c>
      <c r="J52" s="10">
        <v>2921395</v>
      </c>
      <c r="K52" s="10">
        <v>2781719</v>
      </c>
      <c r="L52" s="10">
        <v>2919834</v>
      </c>
      <c r="M52" s="10">
        <v>2992183</v>
      </c>
      <c r="N52" s="10">
        <v>3586607</v>
      </c>
      <c r="O52" s="10">
        <v>3650952</v>
      </c>
      <c r="P52" s="2">
        <f t="shared" si="1"/>
        <v>41224325</v>
      </c>
      <c r="Q52" s="15"/>
      <c r="R52" s="239" t="s">
        <v>88</v>
      </c>
      <c r="S52" s="11">
        <v>130787.53601091218</v>
      </c>
      <c r="T52" s="11">
        <v>131861.49273586427</v>
      </c>
      <c r="U52" s="11">
        <v>119481.5029408752</v>
      </c>
      <c r="V52" s="11">
        <v>117487.87763474807</v>
      </c>
      <c r="W52" s="11">
        <v>110845.13297863596</v>
      </c>
      <c r="X52" s="11">
        <v>108386.73148888994</v>
      </c>
      <c r="Y52" s="11">
        <v>104067.44545783044</v>
      </c>
      <c r="Z52" s="11">
        <v>101329.93145319515</v>
      </c>
      <c r="AA52" s="11">
        <v>104415.2115217056</v>
      </c>
      <c r="AB52" s="11">
        <v>104229.68919866778</v>
      </c>
      <c r="AC52" s="11">
        <v>115813.31277927302</v>
      </c>
      <c r="AD52" s="11">
        <v>121381.42197767957</v>
      </c>
      <c r="AE52" s="3">
        <f t="shared" si="2"/>
        <v>1370087.2861782771</v>
      </c>
    </row>
    <row r="53" spans="1:32" x14ac:dyDescent="0.25">
      <c r="Q53" s="270"/>
    </row>
    <row r="54" spans="1:32" x14ac:dyDescent="0.25">
      <c r="A54" t="s">
        <v>63</v>
      </c>
      <c r="B54" t="s">
        <v>26</v>
      </c>
      <c r="D54" s="10">
        <v>9778594</v>
      </c>
      <c r="E54" s="10">
        <v>10048030</v>
      </c>
      <c r="F54" s="10">
        <v>5947051</v>
      </c>
      <c r="G54" s="10">
        <v>3539167</v>
      </c>
      <c r="H54" s="10">
        <v>2387785</v>
      </c>
      <c r="I54" s="10">
        <v>1649437</v>
      </c>
      <c r="J54" s="10">
        <v>1533016</v>
      </c>
      <c r="K54" s="10">
        <v>1831861</v>
      </c>
      <c r="L54" s="10">
        <v>2180452</v>
      </c>
      <c r="M54" s="10">
        <v>4619733</v>
      </c>
      <c r="N54" s="10">
        <v>7174518</v>
      </c>
      <c r="O54" s="10">
        <v>11204413</v>
      </c>
      <c r="P54" s="2">
        <f t="shared" si="1"/>
        <v>61894057</v>
      </c>
      <c r="Q54" s="15"/>
      <c r="S54" s="3">
        <f t="shared" ref="S54:AD54" si="94">SUM(S4:S5)/SUM(D4:D5)*D54</f>
        <v>8675356.6761377845</v>
      </c>
      <c r="T54" s="3">
        <f t="shared" si="94"/>
        <v>8924615.9816694632</v>
      </c>
      <c r="U54" s="3">
        <f t="shared" si="94"/>
        <v>5225523.081599596</v>
      </c>
      <c r="V54" s="3">
        <f t="shared" si="94"/>
        <v>3028628.0053459322</v>
      </c>
      <c r="W54" s="3">
        <f t="shared" si="94"/>
        <v>2000812.8176647332</v>
      </c>
      <c r="X54" s="3">
        <f t="shared" si="94"/>
        <v>1378370.9403589673</v>
      </c>
      <c r="Y54" s="3">
        <f t="shared" si="94"/>
        <v>1277144.1593218094</v>
      </c>
      <c r="Z54" s="3">
        <f t="shared" si="94"/>
        <v>1528550.5638640856</v>
      </c>
      <c r="AA54" s="3">
        <f t="shared" si="94"/>
        <v>1827079.2504909472</v>
      </c>
      <c r="AB54" s="3">
        <f t="shared" si="94"/>
        <v>3866509.6171866171</v>
      </c>
      <c r="AC54" s="20">
        <f t="shared" si="94"/>
        <v>6120216.6323969159</v>
      </c>
      <c r="AD54" s="20">
        <f t="shared" si="94"/>
        <v>9845045.1254000254</v>
      </c>
      <c r="AE54" s="3">
        <f t="shared" ref="AE54:AE78" si="95">SUM(S54:AD54)</f>
        <v>53697852.851436883</v>
      </c>
      <c r="AF54" t="s">
        <v>30</v>
      </c>
    </row>
    <row r="55" spans="1:32" x14ac:dyDescent="0.25">
      <c r="B55" t="s">
        <v>27</v>
      </c>
      <c r="D55" s="10">
        <v>-9739449</v>
      </c>
      <c r="E55" s="10">
        <v>-9778594</v>
      </c>
      <c r="F55" s="10">
        <v>-10048030</v>
      </c>
      <c r="G55" s="10">
        <v>-5947051</v>
      </c>
      <c r="H55" s="10">
        <v>-3539167</v>
      </c>
      <c r="I55" s="10">
        <v>-2387785</v>
      </c>
      <c r="J55" s="10">
        <v>-1649437</v>
      </c>
      <c r="K55" s="10">
        <v>-1533016</v>
      </c>
      <c r="L55" s="10">
        <v>-1831861</v>
      </c>
      <c r="M55" s="10">
        <v>-2180452</v>
      </c>
      <c r="N55" s="10">
        <v>-4619733</v>
      </c>
      <c r="O55" s="10">
        <v>-7174518</v>
      </c>
      <c r="P55" s="2">
        <f t="shared" si="1"/>
        <v>-60429093</v>
      </c>
      <c r="Q55" s="15"/>
      <c r="S55" s="3">
        <f>SUM(S4:S5)/SUM(D4:D5)*D55</f>
        <v>-8640628.0804841146</v>
      </c>
      <c r="T55" s="3">
        <f>-S54</f>
        <v>-8675356.6761377845</v>
      </c>
      <c r="U55" s="3">
        <f t="shared" ref="U55:AD55" si="96">-T54</f>
        <v>-8924615.9816694632</v>
      </c>
      <c r="V55" s="3">
        <f t="shared" si="96"/>
        <v>-5225523.081599596</v>
      </c>
      <c r="W55" s="3">
        <f t="shared" si="96"/>
        <v>-3028628.0053459322</v>
      </c>
      <c r="X55" s="3">
        <f t="shared" si="96"/>
        <v>-2000812.8176647332</v>
      </c>
      <c r="Y55" s="3">
        <f t="shared" si="96"/>
        <v>-1378370.9403589673</v>
      </c>
      <c r="Z55" s="3">
        <f t="shared" si="96"/>
        <v>-1277144.1593218094</v>
      </c>
      <c r="AA55" s="3">
        <f t="shared" si="96"/>
        <v>-1528550.5638640856</v>
      </c>
      <c r="AB55" s="3">
        <f t="shared" si="96"/>
        <v>-1827079.2504909472</v>
      </c>
      <c r="AC55" s="20">
        <f t="shared" si="96"/>
        <v>-3866509.6171866171</v>
      </c>
      <c r="AD55" s="20">
        <f t="shared" si="96"/>
        <v>-6120216.6323969159</v>
      </c>
      <c r="AE55" s="3">
        <f t="shared" si="95"/>
        <v>-52493435.806520961</v>
      </c>
      <c r="AF55" t="s">
        <v>31</v>
      </c>
    </row>
    <row r="56" spans="1:32" x14ac:dyDescent="0.25">
      <c r="B56" t="s">
        <v>25</v>
      </c>
      <c r="D56" s="16">
        <f>D54+D55</f>
        <v>39145</v>
      </c>
      <c r="E56" s="16">
        <f t="shared" ref="E56:O56" si="97">E54+E55</f>
        <v>269436</v>
      </c>
      <c r="F56" s="16">
        <f t="shared" si="97"/>
        <v>-4100979</v>
      </c>
      <c r="G56" s="16">
        <f t="shared" si="97"/>
        <v>-2407884</v>
      </c>
      <c r="H56" s="16">
        <f t="shared" si="97"/>
        <v>-1151382</v>
      </c>
      <c r="I56" s="16">
        <f t="shared" si="97"/>
        <v>-738348</v>
      </c>
      <c r="J56" s="16">
        <f t="shared" si="97"/>
        <v>-116421</v>
      </c>
      <c r="K56" s="16">
        <f t="shared" si="97"/>
        <v>298845</v>
      </c>
      <c r="L56" s="16">
        <f t="shared" si="97"/>
        <v>348591</v>
      </c>
      <c r="M56" s="16">
        <f t="shared" si="97"/>
        <v>2439281</v>
      </c>
      <c r="N56" s="16">
        <f t="shared" si="97"/>
        <v>2554785</v>
      </c>
      <c r="O56" s="16">
        <f t="shared" si="97"/>
        <v>4029895</v>
      </c>
      <c r="P56" s="2">
        <f t="shared" si="1"/>
        <v>1464964</v>
      </c>
      <c r="Q56" s="15"/>
      <c r="R56" s="237">
        <f>ROUND(SUM(AE4:AE5)/SUM(P4:P5),5)</f>
        <v>0.86997000000000002</v>
      </c>
      <c r="S56" s="3">
        <f t="shared" ref="S56:AD56" si="98">$R56*D56</f>
        <v>34054.97565</v>
      </c>
      <c r="T56" s="3">
        <f t="shared" si="98"/>
        <v>234401.23692</v>
      </c>
      <c r="U56" s="3">
        <f t="shared" si="98"/>
        <v>-3567728.7006299999</v>
      </c>
      <c r="V56" s="3">
        <f t="shared" si="98"/>
        <v>-2094786.84348</v>
      </c>
      <c r="W56" s="3">
        <f t="shared" si="98"/>
        <v>-1001667.79854</v>
      </c>
      <c r="X56" s="3">
        <f t="shared" si="98"/>
        <v>-642340.60956000001</v>
      </c>
      <c r="Y56" s="3">
        <f t="shared" si="98"/>
        <v>-101282.77737</v>
      </c>
      <c r="Z56" s="3">
        <f t="shared" si="98"/>
        <v>259986.18465000001</v>
      </c>
      <c r="AA56" s="3">
        <f t="shared" si="98"/>
        <v>303263.71227000002</v>
      </c>
      <c r="AB56" s="3">
        <f t="shared" si="98"/>
        <v>2122101.2915699999</v>
      </c>
      <c r="AC56" s="20">
        <f t="shared" si="98"/>
        <v>2222586.30645</v>
      </c>
      <c r="AD56" s="20">
        <f t="shared" si="98"/>
        <v>3505887.7531500002</v>
      </c>
      <c r="AE56" s="3">
        <f t="shared" si="95"/>
        <v>1274474.7310800003</v>
      </c>
      <c r="AF56" t="s">
        <v>33</v>
      </c>
    </row>
    <row r="57" spans="1:32" x14ac:dyDescent="0.25">
      <c r="A57" t="s">
        <v>65</v>
      </c>
      <c r="B57" t="s">
        <v>26</v>
      </c>
      <c r="D57" s="10">
        <v>1873253</v>
      </c>
      <c r="E57" s="10">
        <v>1851663</v>
      </c>
      <c r="F57" s="10">
        <v>1224419</v>
      </c>
      <c r="G57" s="10">
        <v>701544</v>
      </c>
      <c r="H57" s="10">
        <v>522675</v>
      </c>
      <c r="I57" s="10">
        <v>333030</v>
      </c>
      <c r="J57" s="10">
        <v>342300</v>
      </c>
      <c r="K57" s="10">
        <v>452632</v>
      </c>
      <c r="L57" s="10">
        <v>646900</v>
      </c>
      <c r="M57" s="10">
        <v>1252660</v>
      </c>
      <c r="N57" s="10">
        <v>1596397</v>
      </c>
      <c r="O57" s="10">
        <v>2362861</v>
      </c>
      <c r="P57" s="2">
        <f t="shared" si="1"/>
        <v>13160334</v>
      </c>
      <c r="Q57" s="10"/>
      <c r="S57" s="3">
        <f>SUM(S10:S12)/SUM(D10:D12)*D57</f>
        <v>1202688.6226364421</v>
      </c>
      <c r="T57" s="3">
        <f>SUM(T10:T12)/SUM(E10:E12)*E57</f>
        <v>1189971.3427093721</v>
      </c>
      <c r="U57" s="3">
        <f t="shared" ref="U57:AD57" si="99">SUM(U10:U12)/SUM(F10:F12)*F57</f>
        <v>781050.3946354877</v>
      </c>
      <c r="V57" s="3">
        <f t="shared" si="99"/>
        <v>434317.2698755333</v>
      </c>
      <c r="W57" s="3">
        <f t="shared" si="99"/>
        <v>303072.51070714986</v>
      </c>
      <c r="X57" s="3">
        <f t="shared" si="99"/>
        <v>183921.59226093744</v>
      </c>
      <c r="Y57" s="3">
        <f t="shared" si="99"/>
        <v>182298.40388905903</v>
      </c>
      <c r="Z57" s="3">
        <f t="shared" si="99"/>
        <v>243547.28330840872</v>
      </c>
      <c r="AA57" s="3">
        <f t="shared" si="99"/>
        <v>351799.54049602972</v>
      </c>
      <c r="AB57" s="3">
        <f t="shared" si="99"/>
        <v>713601.24687892303</v>
      </c>
      <c r="AC57" s="20">
        <f t="shared" si="99"/>
        <v>979023.19152549189</v>
      </c>
      <c r="AD57" s="20">
        <f t="shared" si="99"/>
        <v>1507147.3506756662</v>
      </c>
      <c r="AE57" s="3">
        <f t="shared" si="95"/>
        <v>8072438.7495985013</v>
      </c>
      <c r="AF57" t="s">
        <v>30</v>
      </c>
    </row>
    <row r="58" spans="1:32" x14ac:dyDescent="0.25">
      <c r="B58" t="s">
        <v>27</v>
      </c>
      <c r="D58" s="10">
        <v>-2427831</v>
      </c>
      <c r="E58" s="10">
        <v>-1873253</v>
      </c>
      <c r="F58" s="10">
        <v>-1851663</v>
      </c>
      <c r="G58" s="10">
        <v>-1224419</v>
      </c>
      <c r="H58" s="10">
        <v>-701544</v>
      </c>
      <c r="I58" s="10">
        <v>-522675</v>
      </c>
      <c r="J58" s="10">
        <v>-333030</v>
      </c>
      <c r="K58" s="10">
        <v>-342300</v>
      </c>
      <c r="L58" s="10">
        <v>-452632</v>
      </c>
      <c r="M58" s="10">
        <v>-646900</v>
      </c>
      <c r="N58" s="10">
        <v>-1252660</v>
      </c>
      <c r="O58" s="10">
        <v>-1596397</v>
      </c>
      <c r="P58" s="2">
        <f t="shared" si="1"/>
        <v>-13225304</v>
      </c>
      <c r="Q58" s="15"/>
      <c r="S58" s="3">
        <f>SUM(S10:S12)/SUM(D10:D12)*D58</f>
        <v>-1558745.5198972353</v>
      </c>
      <c r="T58" s="3">
        <f>-S57</f>
        <v>-1202688.6226364421</v>
      </c>
      <c r="U58" s="3">
        <f t="shared" ref="U58:AD58" si="100">-T57</f>
        <v>-1189971.3427093721</v>
      </c>
      <c r="V58" s="3">
        <f t="shared" si="100"/>
        <v>-781050.3946354877</v>
      </c>
      <c r="W58" s="3">
        <f t="shared" si="100"/>
        <v>-434317.2698755333</v>
      </c>
      <c r="X58" s="3">
        <f t="shared" si="100"/>
        <v>-303072.51070714986</v>
      </c>
      <c r="Y58" s="3">
        <f t="shared" si="100"/>
        <v>-183921.59226093744</v>
      </c>
      <c r="Z58" s="3">
        <f t="shared" si="100"/>
        <v>-182298.40388905903</v>
      </c>
      <c r="AA58" s="3">
        <f t="shared" si="100"/>
        <v>-243547.28330840872</v>
      </c>
      <c r="AB58" s="3">
        <f t="shared" si="100"/>
        <v>-351799.54049602972</v>
      </c>
      <c r="AC58" s="20">
        <f t="shared" si="100"/>
        <v>-713601.24687892303</v>
      </c>
      <c r="AD58" s="20">
        <f t="shared" si="100"/>
        <v>-979023.19152549189</v>
      </c>
      <c r="AE58" s="3">
        <f t="shared" si="95"/>
        <v>-8124036.9188200701</v>
      </c>
      <c r="AF58" t="s">
        <v>31</v>
      </c>
    </row>
    <row r="59" spans="1:32" x14ac:dyDescent="0.25">
      <c r="B59" t="s">
        <v>25</v>
      </c>
      <c r="D59" s="16">
        <f>D57+D58</f>
        <v>-554578</v>
      </c>
      <c r="E59" s="16">
        <f t="shared" ref="E59:O59" si="101">E57+E58</f>
        <v>-21590</v>
      </c>
      <c r="F59" s="16">
        <f t="shared" si="101"/>
        <v>-627244</v>
      </c>
      <c r="G59" s="16">
        <f t="shared" si="101"/>
        <v>-522875</v>
      </c>
      <c r="H59" s="16">
        <f t="shared" si="101"/>
        <v>-178869</v>
      </c>
      <c r="I59" s="16">
        <f t="shared" si="101"/>
        <v>-189645</v>
      </c>
      <c r="J59" s="16">
        <f t="shared" si="101"/>
        <v>9270</v>
      </c>
      <c r="K59" s="16">
        <f t="shared" si="101"/>
        <v>110332</v>
      </c>
      <c r="L59" s="16">
        <f t="shared" si="101"/>
        <v>194268</v>
      </c>
      <c r="M59" s="16">
        <f t="shared" si="101"/>
        <v>605760</v>
      </c>
      <c r="N59" s="16">
        <f t="shared" si="101"/>
        <v>343737</v>
      </c>
      <c r="O59" s="16">
        <f t="shared" si="101"/>
        <v>766464</v>
      </c>
      <c r="P59" s="2">
        <f t="shared" si="1"/>
        <v>-64970</v>
      </c>
      <c r="Q59" s="15"/>
      <c r="R59" s="237">
        <f>ROUND(SUM(AE10:AE12)/SUM(P10:P12),5)</f>
        <v>0.61448000000000003</v>
      </c>
      <c r="S59" s="3">
        <f t="shared" ref="S59:AD59" si="102">$R59*D59</f>
        <v>-340777.08944000001</v>
      </c>
      <c r="T59" s="3">
        <f t="shared" si="102"/>
        <v>-13266.6232</v>
      </c>
      <c r="U59" s="3">
        <f t="shared" si="102"/>
        <v>-385428.89312000002</v>
      </c>
      <c r="V59" s="3">
        <f t="shared" si="102"/>
        <v>-321296.23000000004</v>
      </c>
      <c r="W59" s="3">
        <f t="shared" si="102"/>
        <v>-109911.42312000001</v>
      </c>
      <c r="X59" s="3">
        <f t="shared" si="102"/>
        <v>-116533.05960000001</v>
      </c>
      <c r="Y59" s="3">
        <f t="shared" si="102"/>
        <v>5696.2296000000006</v>
      </c>
      <c r="Z59" s="3">
        <f t="shared" si="102"/>
        <v>67796.807360000006</v>
      </c>
      <c r="AA59" s="3">
        <f t="shared" si="102"/>
        <v>119373.80064</v>
      </c>
      <c r="AB59" s="3">
        <f t="shared" si="102"/>
        <v>372227.40480000002</v>
      </c>
      <c r="AC59" s="20">
        <f t="shared" si="102"/>
        <v>211219.51176000002</v>
      </c>
      <c r="AD59" s="20">
        <f t="shared" si="102"/>
        <v>470976.79872000002</v>
      </c>
      <c r="AE59" s="3">
        <f t="shared" si="95"/>
        <v>-39922.765599999868</v>
      </c>
      <c r="AF59" t="s">
        <v>33</v>
      </c>
    </row>
    <row r="60" spans="1:32" x14ac:dyDescent="0.25">
      <c r="A60" t="s">
        <v>66</v>
      </c>
      <c r="B60" t="s">
        <v>26</v>
      </c>
      <c r="D60" s="10">
        <v>30994</v>
      </c>
      <c r="E60" s="10">
        <v>29489</v>
      </c>
      <c r="F60" s="10">
        <v>19253</v>
      </c>
      <c r="G60" s="10">
        <v>13627</v>
      </c>
      <c r="H60" s="10">
        <v>6080</v>
      </c>
      <c r="I60" s="10">
        <v>5707</v>
      </c>
      <c r="J60" s="10">
        <v>5856</v>
      </c>
      <c r="K60" s="10">
        <v>7700</v>
      </c>
      <c r="L60" s="10">
        <v>10025</v>
      </c>
      <c r="M60" s="10">
        <v>17212</v>
      </c>
      <c r="N60" s="10">
        <v>20298</v>
      </c>
      <c r="O60" s="10">
        <v>-4468</v>
      </c>
      <c r="P60" s="2">
        <f t="shared" si="1"/>
        <v>161773</v>
      </c>
      <c r="Q60" s="15"/>
      <c r="R60" s="237"/>
      <c r="S60" s="3">
        <f>SUM(S16:S18)/SUM(D16:D18)*D60</f>
        <v>19798.396910400006</v>
      </c>
      <c r="T60" s="3">
        <f>SUM(T16:T18)/SUM(E16:E18)*E60</f>
        <v>18837.030602400006</v>
      </c>
      <c r="U60" s="3">
        <f t="shared" ref="U60:AD60" si="103">SUM(U16:U18)/SUM(F16:F18)*F60</f>
        <v>12298.462144800003</v>
      </c>
      <c r="V60" s="3">
        <f t="shared" si="103"/>
        <v>8704.3523804514825</v>
      </c>
      <c r="W60" s="3">
        <f t="shared" si="103"/>
        <v>3876.9107674012353</v>
      </c>
      <c r="X60" s="3">
        <f t="shared" si="103"/>
        <v>3638.8077696268128</v>
      </c>
      <c r="Y60" s="3">
        <f t="shared" si="103"/>
        <v>3713.7990195672332</v>
      </c>
      <c r="Z60" s="3">
        <f t="shared" si="103"/>
        <v>4875.4632839378983</v>
      </c>
      <c r="AA60" s="3">
        <f t="shared" si="103"/>
        <v>6362.6628104910378</v>
      </c>
      <c r="AB60" s="3">
        <f t="shared" si="103"/>
        <v>10982.517670091758</v>
      </c>
      <c r="AC60" s="3">
        <f t="shared" si="103"/>
        <v>12965.988916800003</v>
      </c>
      <c r="AD60" s="3">
        <f t="shared" si="103"/>
        <v>-2854.0761888000002</v>
      </c>
      <c r="AE60" s="3">
        <f t="shared" si="95"/>
        <v>103200.31608716749</v>
      </c>
    </row>
    <row r="61" spans="1:32" x14ac:dyDescent="0.25">
      <c r="B61" t="s">
        <v>27</v>
      </c>
      <c r="D61" s="10">
        <v>-35868</v>
      </c>
      <c r="E61" s="10">
        <v>-30994</v>
      </c>
      <c r="F61" s="10">
        <v>-29489</v>
      </c>
      <c r="G61" s="10">
        <v>-19253</v>
      </c>
      <c r="H61" s="10">
        <v>-13627</v>
      </c>
      <c r="I61" s="10">
        <v>-6080</v>
      </c>
      <c r="J61" s="10">
        <v>-5707</v>
      </c>
      <c r="K61" s="10">
        <v>-5856</v>
      </c>
      <c r="L61" s="10">
        <v>-7700</v>
      </c>
      <c r="M61" s="10">
        <v>-10025</v>
      </c>
      <c r="N61" s="10">
        <v>-17212</v>
      </c>
      <c r="O61" s="10">
        <v>-20298</v>
      </c>
      <c r="P61" s="2">
        <f t="shared" si="1"/>
        <v>-202109</v>
      </c>
      <c r="Q61" s="15"/>
      <c r="R61" s="237"/>
      <c r="S61" s="3">
        <f>SUM(S15:S16)/SUM(D15:D16)*D61</f>
        <v>-21313.800597014928</v>
      </c>
      <c r="T61" s="3">
        <f>-S60</f>
        <v>-19798.396910400006</v>
      </c>
      <c r="U61" s="3">
        <f t="shared" ref="U61:AD61" si="104">-T60</f>
        <v>-18837.030602400006</v>
      </c>
      <c r="V61" s="3">
        <f t="shared" si="104"/>
        <v>-12298.462144800003</v>
      </c>
      <c r="W61" s="3">
        <f t="shared" si="104"/>
        <v>-8704.3523804514825</v>
      </c>
      <c r="X61" s="3">
        <f t="shared" si="104"/>
        <v>-3876.9107674012353</v>
      </c>
      <c r="Y61" s="3">
        <f t="shared" si="104"/>
        <v>-3638.8077696268128</v>
      </c>
      <c r="Z61" s="3">
        <f t="shared" si="104"/>
        <v>-3713.7990195672332</v>
      </c>
      <c r="AA61" s="3">
        <f t="shared" si="104"/>
        <v>-4875.4632839378983</v>
      </c>
      <c r="AB61" s="3">
        <f t="shared" si="104"/>
        <v>-6362.6628104910378</v>
      </c>
      <c r="AC61" s="20">
        <f t="shared" si="104"/>
        <v>-10982.517670091758</v>
      </c>
      <c r="AD61" s="20">
        <f t="shared" si="104"/>
        <v>-12965.988916800003</v>
      </c>
      <c r="AE61" s="3">
        <f t="shared" si="95"/>
        <v>-127368.19287298241</v>
      </c>
    </row>
    <row r="62" spans="1:32" x14ac:dyDescent="0.25">
      <c r="B62" t="s">
        <v>25</v>
      </c>
      <c r="D62" s="16">
        <f t="shared" ref="D62:L62" si="105">D60+D61</f>
        <v>-4874</v>
      </c>
      <c r="E62" s="16">
        <f t="shared" si="105"/>
        <v>-1505</v>
      </c>
      <c r="F62" s="16">
        <f t="shared" si="105"/>
        <v>-10236</v>
      </c>
      <c r="G62" s="16">
        <f t="shared" si="105"/>
        <v>-5626</v>
      </c>
      <c r="H62" s="16">
        <f t="shared" si="105"/>
        <v>-7547</v>
      </c>
      <c r="I62" s="16">
        <f t="shared" si="105"/>
        <v>-373</v>
      </c>
      <c r="J62" s="16">
        <f t="shared" si="105"/>
        <v>149</v>
      </c>
      <c r="K62" s="16">
        <f t="shared" si="105"/>
        <v>1844</v>
      </c>
      <c r="L62" s="16">
        <f t="shared" si="105"/>
        <v>2325</v>
      </c>
      <c r="M62" s="16">
        <f t="shared" ref="M62:O62" si="106">M60+M61</f>
        <v>7187</v>
      </c>
      <c r="N62" s="16">
        <f t="shared" si="106"/>
        <v>3086</v>
      </c>
      <c r="O62" s="16">
        <f t="shared" si="106"/>
        <v>-24766</v>
      </c>
      <c r="P62" s="2">
        <f t="shared" si="1"/>
        <v>-40336</v>
      </c>
      <c r="Q62" s="15"/>
      <c r="R62" s="237">
        <f>ROUND(SUM(AE16:AE18)/SUM(P16:P18),5)</f>
        <v>0.63763999999999998</v>
      </c>
      <c r="S62" s="3">
        <f>$R62*D62</f>
        <v>-3107.85736</v>
      </c>
      <c r="T62" s="3">
        <f t="shared" ref="T62" si="107">$R62*E62</f>
        <v>-959.64819999999997</v>
      </c>
      <c r="U62" s="3">
        <f t="shared" ref="U62" si="108">$R62*F62</f>
        <v>-6526.8830399999997</v>
      </c>
      <c r="V62" s="3">
        <f t="shared" ref="V62" si="109">$R62*G62</f>
        <v>-3587.3626399999998</v>
      </c>
      <c r="W62" s="3">
        <f t="shared" ref="W62" si="110">$R62*H62</f>
        <v>-4812.26908</v>
      </c>
      <c r="X62" s="3">
        <f t="shared" ref="X62" si="111">$R62*I62</f>
        <v>-237.83972</v>
      </c>
      <c r="Y62" s="3">
        <f t="shared" ref="Y62" si="112">$R62*J62</f>
        <v>95.008359999999996</v>
      </c>
      <c r="Z62" s="3">
        <f t="shared" ref="Z62" si="113">$R62*K62</f>
        <v>1175.80816</v>
      </c>
      <c r="AA62" s="3">
        <f t="shared" ref="AA62" si="114">$R62*L62</f>
        <v>1482.5129999999999</v>
      </c>
      <c r="AB62" s="3">
        <f t="shared" ref="AB62" si="115">$R62*M62</f>
        <v>4582.7186799999999</v>
      </c>
      <c r="AC62" s="20">
        <f t="shared" ref="AC62" si="116">$R62*N62</f>
        <v>1967.75704</v>
      </c>
      <c r="AD62" s="20">
        <f t="shared" ref="AD62" si="117">$R62*O62</f>
        <v>-15791.792239999999</v>
      </c>
      <c r="AE62" s="3">
        <f t="shared" si="95"/>
        <v>-25719.847040000001</v>
      </c>
    </row>
    <row r="63" spans="1:32" hidden="1" x14ac:dyDescent="0.25">
      <c r="A63" t="s">
        <v>67</v>
      </c>
      <c r="B63" t="s">
        <v>26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2">
        <f t="shared" si="1"/>
        <v>0</v>
      </c>
      <c r="Q63" s="10"/>
      <c r="S63" s="3" t="e">
        <f>SUM(S22:S26)/SUM(D22:D26)*D63</f>
        <v>#DIV/0!</v>
      </c>
      <c r="T63" s="3" t="e">
        <f t="shared" ref="T63:AD63" si="118">SUM(T22:T23)/SUM(E22:E23)*E63</f>
        <v>#DIV/0!</v>
      </c>
      <c r="U63" s="3" t="e">
        <f t="shared" si="118"/>
        <v>#DIV/0!</v>
      </c>
      <c r="V63" s="3" t="e">
        <f t="shared" si="118"/>
        <v>#DIV/0!</v>
      </c>
      <c r="W63" s="3" t="e">
        <f t="shared" si="118"/>
        <v>#DIV/0!</v>
      </c>
      <c r="X63" s="3" t="e">
        <f t="shared" si="118"/>
        <v>#DIV/0!</v>
      </c>
      <c r="Y63" s="3" t="e">
        <f t="shared" si="118"/>
        <v>#DIV/0!</v>
      </c>
      <c r="Z63" s="3" t="e">
        <f t="shared" si="118"/>
        <v>#DIV/0!</v>
      </c>
      <c r="AA63" s="3" t="e">
        <f t="shared" si="118"/>
        <v>#DIV/0!</v>
      </c>
      <c r="AB63" s="3" t="e">
        <f t="shared" si="118"/>
        <v>#DIV/0!</v>
      </c>
      <c r="AC63" s="20" t="e">
        <f t="shared" si="118"/>
        <v>#DIV/0!</v>
      </c>
      <c r="AD63" s="20" t="e">
        <f t="shared" si="118"/>
        <v>#DIV/0!</v>
      </c>
      <c r="AE63" s="3" t="e">
        <f t="shared" si="95"/>
        <v>#DIV/0!</v>
      </c>
      <c r="AF63" t="s">
        <v>30</v>
      </c>
    </row>
    <row r="64" spans="1:32" hidden="1" x14ac:dyDescent="0.25">
      <c r="B64" t="s">
        <v>27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2">
        <f t="shared" ref="P64:P78" si="119">SUM(D64:O64)</f>
        <v>0</v>
      </c>
      <c r="Q64" s="15"/>
      <c r="S64" s="3" t="e">
        <f>SUM(S22:S26)/SUM(D22:D26)*D64</f>
        <v>#DIV/0!</v>
      </c>
      <c r="T64" s="3" t="e">
        <f>-S63</f>
        <v>#DIV/0!</v>
      </c>
      <c r="U64" s="3" t="e">
        <f t="shared" ref="U64:AD64" si="120">-T63</f>
        <v>#DIV/0!</v>
      </c>
      <c r="V64" s="3" t="e">
        <f t="shared" si="120"/>
        <v>#DIV/0!</v>
      </c>
      <c r="W64" s="3" t="e">
        <f t="shared" si="120"/>
        <v>#DIV/0!</v>
      </c>
      <c r="X64" s="3" t="e">
        <f t="shared" si="120"/>
        <v>#DIV/0!</v>
      </c>
      <c r="Y64" s="3" t="e">
        <f t="shared" si="120"/>
        <v>#DIV/0!</v>
      </c>
      <c r="Z64" s="3" t="e">
        <f t="shared" si="120"/>
        <v>#DIV/0!</v>
      </c>
      <c r="AA64" s="3" t="e">
        <f t="shared" si="120"/>
        <v>#DIV/0!</v>
      </c>
      <c r="AB64" s="3" t="e">
        <f t="shared" si="120"/>
        <v>#DIV/0!</v>
      </c>
      <c r="AC64" s="20" t="e">
        <f t="shared" si="120"/>
        <v>#DIV/0!</v>
      </c>
      <c r="AD64" s="20" t="e">
        <f t="shared" si="120"/>
        <v>#DIV/0!</v>
      </c>
      <c r="AE64" s="3" t="e">
        <f t="shared" si="95"/>
        <v>#DIV/0!</v>
      </c>
      <c r="AF64" t="s">
        <v>31</v>
      </c>
    </row>
    <row r="65" spans="1:32" hidden="1" x14ac:dyDescent="0.25">
      <c r="B65" t="s">
        <v>25</v>
      </c>
      <c r="D65" s="16">
        <f>D63+D64</f>
        <v>0</v>
      </c>
      <c r="E65" s="16">
        <f t="shared" ref="E65:O65" si="121">E63+E64</f>
        <v>0</v>
      </c>
      <c r="F65" s="16">
        <f t="shared" si="121"/>
        <v>0</v>
      </c>
      <c r="G65" s="16">
        <f t="shared" si="121"/>
        <v>0</v>
      </c>
      <c r="H65" s="16">
        <f t="shared" si="121"/>
        <v>0</v>
      </c>
      <c r="I65" s="16">
        <f t="shared" si="121"/>
        <v>0</v>
      </c>
      <c r="J65" s="16">
        <f t="shared" si="121"/>
        <v>0</v>
      </c>
      <c r="K65" s="16">
        <f t="shared" si="121"/>
        <v>0</v>
      </c>
      <c r="L65" s="16">
        <f t="shared" si="121"/>
        <v>0</v>
      </c>
      <c r="M65" s="16">
        <f t="shared" si="121"/>
        <v>0</v>
      </c>
      <c r="N65" s="16">
        <f t="shared" si="121"/>
        <v>0</v>
      </c>
      <c r="O65" s="16">
        <f t="shared" si="121"/>
        <v>0</v>
      </c>
      <c r="P65" s="2">
        <f t="shared" si="119"/>
        <v>0</v>
      </c>
      <c r="Q65" s="15"/>
      <c r="R65" s="237" t="e">
        <f>ROUND(SUM(AE22:AE26)/SUM(P22:P26),5)</f>
        <v>#DIV/0!</v>
      </c>
      <c r="S65" s="3" t="e">
        <f t="shared" ref="S65:AD65" si="122">$R65*D65</f>
        <v>#DIV/0!</v>
      </c>
      <c r="T65" s="3" t="e">
        <f t="shared" si="122"/>
        <v>#DIV/0!</v>
      </c>
      <c r="U65" s="3" t="e">
        <f t="shared" si="122"/>
        <v>#DIV/0!</v>
      </c>
      <c r="V65" s="3" t="e">
        <f t="shared" si="122"/>
        <v>#DIV/0!</v>
      </c>
      <c r="W65" s="3" t="e">
        <f t="shared" si="122"/>
        <v>#DIV/0!</v>
      </c>
      <c r="X65" s="3" t="e">
        <f t="shared" si="122"/>
        <v>#DIV/0!</v>
      </c>
      <c r="Y65" s="3" t="e">
        <f t="shared" si="122"/>
        <v>#DIV/0!</v>
      </c>
      <c r="Z65" s="3" t="e">
        <f t="shared" si="122"/>
        <v>#DIV/0!</v>
      </c>
      <c r="AA65" s="3" t="e">
        <f t="shared" si="122"/>
        <v>#DIV/0!</v>
      </c>
      <c r="AB65" s="3" t="e">
        <f t="shared" si="122"/>
        <v>#DIV/0!</v>
      </c>
      <c r="AC65" s="20" t="e">
        <f t="shared" si="122"/>
        <v>#DIV/0!</v>
      </c>
      <c r="AD65" s="20" t="e">
        <f t="shared" si="122"/>
        <v>#DIV/0!</v>
      </c>
      <c r="AE65" s="3" t="e">
        <f t="shared" si="95"/>
        <v>#DIV/0!</v>
      </c>
      <c r="AF65" t="s">
        <v>33</v>
      </c>
    </row>
    <row r="66" spans="1:32" hidden="1" x14ac:dyDescent="0.25">
      <c r="A66" t="s">
        <v>68</v>
      </c>
      <c r="B66" t="s">
        <v>26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2">
        <f t="shared" ref="P66" si="123">SUM(D66:O66)</f>
        <v>0</v>
      </c>
      <c r="Q66" s="15"/>
      <c r="R66" s="237"/>
      <c r="S66" s="3" t="e">
        <f>SUM(S28:S32)/SUM(D28:D32)*D66</f>
        <v>#DIV/0!</v>
      </c>
      <c r="T66" s="3" t="e">
        <f>SUM(T28:T32)/SUM(E28:E32)*E66</f>
        <v>#DIV/0!</v>
      </c>
      <c r="U66" s="3" t="e">
        <f t="shared" ref="U66:AD66" si="124">SUM(U28:U32)/SUM(F28:F32)*F66</f>
        <v>#DIV/0!</v>
      </c>
      <c r="V66" s="3" t="e">
        <f t="shared" si="124"/>
        <v>#DIV/0!</v>
      </c>
      <c r="W66" s="3" t="e">
        <f t="shared" si="124"/>
        <v>#DIV/0!</v>
      </c>
      <c r="X66" s="3" t="e">
        <f t="shared" si="124"/>
        <v>#DIV/0!</v>
      </c>
      <c r="Y66" s="3" t="e">
        <f t="shared" si="124"/>
        <v>#DIV/0!</v>
      </c>
      <c r="Z66" s="3" t="e">
        <f t="shared" si="124"/>
        <v>#DIV/0!</v>
      </c>
      <c r="AA66" s="3" t="e">
        <f t="shared" si="124"/>
        <v>#DIV/0!</v>
      </c>
      <c r="AB66" s="3" t="e">
        <f t="shared" si="124"/>
        <v>#DIV/0!</v>
      </c>
      <c r="AC66" s="3" t="e">
        <f t="shared" si="124"/>
        <v>#DIV/0!</v>
      </c>
      <c r="AD66" s="3" t="e">
        <f t="shared" si="124"/>
        <v>#DIV/0!</v>
      </c>
      <c r="AE66" s="3" t="e">
        <f t="shared" ref="AE66:AE68" si="125">SUM(S66:AD66)</f>
        <v>#DIV/0!</v>
      </c>
      <c r="AF66" t="s">
        <v>30</v>
      </c>
    </row>
    <row r="67" spans="1:32" hidden="1" x14ac:dyDescent="0.25">
      <c r="B67" t="s">
        <v>27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2">
        <f t="shared" si="119"/>
        <v>0</v>
      </c>
      <c r="Q67" s="15"/>
      <c r="R67" s="237"/>
      <c r="S67" s="3" t="e">
        <f>SUM(S28:S32)/SUM(D28:D32)*D67</f>
        <v>#DIV/0!</v>
      </c>
      <c r="T67" s="3" t="e">
        <f>-S66</f>
        <v>#DIV/0!</v>
      </c>
      <c r="U67" s="3" t="e">
        <f t="shared" ref="U67:AD67" si="126">-T66</f>
        <v>#DIV/0!</v>
      </c>
      <c r="V67" s="3" t="e">
        <f t="shared" si="126"/>
        <v>#DIV/0!</v>
      </c>
      <c r="W67" s="3" t="e">
        <f t="shared" si="126"/>
        <v>#DIV/0!</v>
      </c>
      <c r="X67" s="3" t="e">
        <f t="shared" si="126"/>
        <v>#DIV/0!</v>
      </c>
      <c r="Y67" s="3" t="e">
        <f t="shared" si="126"/>
        <v>#DIV/0!</v>
      </c>
      <c r="Z67" s="3" t="e">
        <f t="shared" si="126"/>
        <v>#DIV/0!</v>
      </c>
      <c r="AA67" s="3" t="e">
        <f t="shared" si="126"/>
        <v>#DIV/0!</v>
      </c>
      <c r="AB67" s="3" t="e">
        <f t="shared" si="126"/>
        <v>#DIV/0!</v>
      </c>
      <c r="AC67" s="3" t="e">
        <f t="shared" si="126"/>
        <v>#DIV/0!</v>
      </c>
      <c r="AD67" s="3" t="e">
        <f t="shared" si="126"/>
        <v>#DIV/0!</v>
      </c>
      <c r="AE67" s="3" t="e">
        <f t="shared" si="125"/>
        <v>#DIV/0!</v>
      </c>
      <c r="AF67" t="s">
        <v>31</v>
      </c>
    </row>
    <row r="68" spans="1:32" hidden="1" x14ac:dyDescent="0.25">
      <c r="B68" t="s">
        <v>25</v>
      </c>
      <c r="D68" s="16">
        <f>D66+D67</f>
        <v>0</v>
      </c>
      <c r="E68" s="16">
        <f t="shared" ref="E68:O68" si="127">E66+E67</f>
        <v>0</v>
      </c>
      <c r="F68" s="16">
        <f t="shared" si="127"/>
        <v>0</v>
      </c>
      <c r="G68" s="16">
        <f t="shared" si="127"/>
        <v>0</v>
      </c>
      <c r="H68" s="16">
        <f t="shared" si="127"/>
        <v>0</v>
      </c>
      <c r="I68" s="16">
        <f t="shared" si="127"/>
        <v>0</v>
      </c>
      <c r="J68" s="16">
        <f t="shared" si="127"/>
        <v>0</v>
      </c>
      <c r="K68" s="16">
        <f t="shared" si="127"/>
        <v>0</v>
      </c>
      <c r="L68" s="16">
        <f t="shared" si="127"/>
        <v>0</v>
      </c>
      <c r="M68" s="16">
        <f t="shared" si="127"/>
        <v>0</v>
      </c>
      <c r="N68" s="16">
        <f t="shared" si="127"/>
        <v>0</v>
      </c>
      <c r="O68" s="16">
        <f t="shared" si="127"/>
        <v>0</v>
      </c>
      <c r="P68" s="2">
        <f t="shared" si="119"/>
        <v>0</v>
      </c>
      <c r="Q68" s="15"/>
      <c r="R68" s="237" t="e">
        <f>ROUND(SUM(AE28:AE32)/SUM(P28:P32),5)</f>
        <v>#DIV/0!</v>
      </c>
      <c r="S68" s="3" t="e">
        <f t="shared" ref="S68" si="128">$R68*D68</f>
        <v>#DIV/0!</v>
      </c>
      <c r="T68" s="3" t="e">
        <f t="shared" ref="T68" si="129">$R68*E68</f>
        <v>#DIV/0!</v>
      </c>
      <c r="U68" s="3" t="e">
        <f t="shared" ref="U68" si="130">$R68*F68</f>
        <v>#DIV/0!</v>
      </c>
      <c r="V68" s="3" t="e">
        <f t="shared" ref="V68" si="131">$R68*G68</f>
        <v>#DIV/0!</v>
      </c>
      <c r="W68" s="3" t="e">
        <f t="shared" ref="W68" si="132">$R68*H68</f>
        <v>#DIV/0!</v>
      </c>
      <c r="X68" s="3" t="e">
        <f t="shared" ref="X68" si="133">$R68*I68</f>
        <v>#DIV/0!</v>
      </c>
      <c r="Y68" s="3" t="e">
        <f t="shared" ref="Y68" si="134">$R68*J68</f>
        <v>#DIV/0!</v>
      </c>
      <c r="Z68" s="3" t="e">
        <f t="shared" ref="Z68" si="135">$R68*K68</f>
        <v>#DIV/0!</v>
      </c>
      <c r="AA68" s="3" t="e">
        <f t="shared" ref="AA68" si="136">$R68*L68</f>
        <v>#DIV/0!</v>
      </c>
      <c r="AB68" s="3" t="e">
        <f t="shared" ref="AB68" si="137">$R68*M68</f>
        <v>#DIV/0!</v>
      </c>
      <c r="AC68" s="3" t="e">
        <f t="shared" ref="AC68" si="138">$R68*N68</f>
        <v>#DIV/0!</v>
      </c>
      <c r="AD68" s="3" t="e">
        <f t="shared" ref="AD68" si="139">$R68*O68</f>
        <v>#DIV/0!</v>
      </c>
      <c r="AE68" s="3" t="e">
        <f t="shared" si="125"/>
        <v>#DIV/0!</v>
      </c>
      <c r="AF68" t="s">
        <v>33</v>
      </c>
    </row>
    <row r="69" spans="1:32" x14ac:dyDescent="0.25">
      <c r="A69" t="s">
        <v>71</v>
      </c>
      <c r="B69" t="s">
        <v>26</v>
      </c>
      <c r="D69" s="10">
        <v>300459</v>
      </c>
      <c r="E69" s="10">
        <v>330667</v>
      </c>
      <c r="F69" s="10">
        <v>285369</v>
      </c>
      <c r="G69" s="10">
        <v>239896</v>
      </c>
      <c r="H69" s="10">
        <v>215292</v>
      </c>
      <c r="I69" s="10">
        <v>186853</v>
      </c>
      <c r="J69" s="10">
        <v>194263</v>
      </c>
      <c r="K69" s="10">
        <v>163576</v>
      </c>
      <c r="L69" s="10">
        <v>208359</v>
      </c>
      <c r="M69" s="10">
        <v>255640</v>
      </c>
      <c r="N69" s="10">
        <v>300708</v>
      </c>
      <c r="O69" s="10">
        <v>355353</v>
      </c>
      <c r="P69" s="2">
        <f t="shared" si="119"/>
        <v>3036435</v>
      </c>
      <c r="Q69" s="15"/>
      <c r="S69" s="3">
        <f>SUM(S44:S48)/SUM(D44:D48)*D69</f>
        <v>27663.396474498219</v>
      </c>
      <c r="T69" s="3">
        <f>SUM(T44:T48)/SUM(E44:E48)*E69</f>
        <v>30372.34472488629</v>
      </c>
      <c r="U69" s="3">
        <f t="shared" ref="U69:AD69" si="140">SUM(U44:U48)/SUM(F44:F48)*F69</f>
        <v>26057.612622406636</v>
      </c>
      <c r="V69" s="3">
        <f t="shared" si="140"/>
        <v>22109.200284454913</v>
      </c>
      <c r="W69" s="3">
        <f t="shared" si="140"/>
        <v>20206.360524263731</v>
      </c>
      <c r="X69" s="3">
        <f t="shared" si="140"/>
        <v>17565.820720702322</v>
      </c>
      <c r="Y69" s="3">
        <f t="shared" si="140"/>
        <v>18298.657421546468</v>
      </c>
      <c r="Z69" s="3">
        <f t="shared" si="140"/>
        <v>15302.389750947721</v>
      </c>
      <c r="AA69" s="3">
        <f t="shared" si="140"/>
        <v>19583.108776747489</v>
      </c>
      <c r="AB69" s="3">
        <f t="shared" si="140"/>
        <v>23509.688534437351</v>
      </c>
      <c r="AC69" s="3">
        <f t="shared" si="140"/>
        <v>27866.179494186686</v>
      </c>
      <c r="AD69" s="3">
        <f t="shared" si="140"/>
        <v>32617.829602190206</v>
      </c>
      <c r="AE69" s="3">
        <f t="shared" si="95"/>
        <v>281152.58893126796</v>
      </c>
      <c r="AF69" t="s">
        <v>30</v>
      </c>
    </row>
    <row r="70" spans="1:32" x14ac:dyDescent="0.25">
      <c r="B70" t="s">
        <v>27</v>
      </c>
      <c r="D70" s="10">
        <v>-284322</v>
      </c>
      <c r="E70" s="10">
        <v>-300459</v>
      </c>
      <c r="F70" s="10">
        <v>-330667</v>
      </c>
      <c r="G70" s="10">
        <v>-285369</v>
      </c>
      <c r="H70" s="10">
        <v>-239896</v>
      </c>
      <c r="I70" s="10">
        <v>-215292</v>
      </c>
      <c r="J70" s="10">
        <v>-186853</v>
      </c>
      <c r="K70" s="10">
        <v>-194263</v>
      </c>
      <c r="L70" s="10">
        <v>-163576</v>
      </c>
      <c r="M70" s="10">
        <v>-208359</v>
      </c>
      <c r="N70" s="10">
        <v>-255640</v>
      </c>
      <c r="O70" s="10">
        <v>-300708</v>
      </c>
      <c r="P70" s="2">
        <f t="shared" si="119"/>
        <v>-2965404</v>
      </c>
      <c r="Q70" s="15"/>
      <c r="S70" s="3">
        <f>SUM(S44:S48)/SUM(D44:D48)*D70</f>
        <v>-26177.655561731492</v>
      </c>
      <c r="T70" s="3">
        <f>-S69</f>
        <v>-27663.396474498219</v>
      </c>
      <c r="U70" s="3">
        <f t="shared" ref="U70:AD70" si="141">-T69</f>
        <v>-30372.34472488629</v>
      </c>
      <c r="V70" s="3">
        <f t="shared" si="141"/>
        <v>-26057.612622406636</v>
      </c>
      <c r="W70" s="3">
        <f t="shared" si="141"/>
        <v>-22109.200284454913</v>
      </c>
      <c r="X70" s="3">
        <f t="shared" si="141"/>
        <v>-20206.360524263731</v>
      </c>
      <c r="Y70" s="3">
        <f t="shared" si="141"/>
        <v>-17565.820720702322</v>
      </c>
      <c r="Z70" s="3">
        <f t="shared" si="141"/>
        <v>-18298.657421546468</v>
      </c>
      <c r="AA70" s="3">
        <f t="shared" si="141"/>
        <v>-15302.389750947721</v>
      </c>
      <c r="AB70" s="3">
        <f t="shared" si="141"/>
        <v>-19583.108776747489</v>
      </c>
      <c r="AC70" s="20">
        <f t="shared" si="141"/>
        <v>-23509.688534437351</v>
      </c>
      <c r="AD70" s="20">
        <f t="shared" si="141"/>
        <v>-27866.179494186686</v>
      </c>
      <c r="AE70" s="3">
        <f t="shared" si="95"/>
        <v>-274712.41489080933</v>
      </c>
      <c r="AF70" t="s">
        <v>31</v>
      </c>
    </row>
    <row r="71" spans="1:32" x14ac:dyDescent="0.25">
      <c r="B71" t="s">
        <v>25</v>
      </c>
      <c r="D71" s="16">
        <f>D69+D70</f>
        <v>16137</v>
      </c>
      <c r="E71" s="16">
        <f t="shared" ref="E71:O71" si="142">E69+E70</f>
        <v>30208</v>
      </c>
      <c r="F71" s="16">
        <f t="shared" si="142"/>
        <v>-45298</v>
      </c>
      <c r="G71" s="16">
        <f t="shared" si="142"/>
        <v>-45473</v>
      </c>
      <c r="H71" s="16">
        <f t="shared" si="142"/>
        <v>-24604</v>
      </c>
      <c r="I71" s="16">
        <f t="shared" si="142"/>
        <v>-28439</v>
      </c>
      <c r="J71" s="16">
        <f t="shared" si="142"/>
        <v>7410</v>
      </c>
      <c r="K71" s="16">
        <f t="shared" si="142"/>
        <v>-30687</v>
      </c>
      <c r="L71" s="16">
        <f t="shared" si="142"/>
        <v>44783</v>
      </c>
      <c r="M71" s="16">
        <f t="shared" si="142"/>
        <v>47281</v>
      </c>
      <c r="N71" s="16">
        <f t="shared" si="142"/>
        <v>45068</v>
      </c>
      <c r="O71" s="16">
        <f t="shared" si="142"/>
        <v>54645</v>
      </c>
      <c r="P71" s="2">
        <f t="shared" si="119"/>
        <v>71031</v>
      </c>
      <c r="Q71" s="15"/>
      <c r="R71" s="237">
        <f>ROUND(SUM(AE44:AE48)/SUM(P44:P48),5)</f>
        <v>9.2619999999999994E-2</v>
      </c>
      <c r="S71" s="3">
        <f t="shared" ref="S71:AD71" si="143">$R71*D71</f>
        <v>1494.6089399999998</v>
      </c>
      <c r="T71" s="3">
        <f t="shared" si="143"/>
        <v>2797.8649599999999</v>
      </c>
      <c r="U71" s="3">
        <f t="shared" si="143"/>
        <v>-4195.5007599999999</v>
      </c>
      <c r="V71" s="3">
        <f t="shared" si="143"/>
        <v>-4211.7092599999996</v>
      </c>
      <c r="W71" s="3">
        <f t="shared" si="143"/>
        <v>-2278.8224799999998</v>
      </c>
      <c r="X71" s="3">
        <f t="shared" si="143"/>
        <v>-2634.02018</v>
      </c>
      <c r="Y71" s="3">
        <f t="shared" si="143"/>
        <v>686.31419999999991</v>
      </c>
      <c r="Z71" s="3">
        <f t="shared" si="143"/>
        <v>-2842.2299399999997</v>
      </c>
      <c r="AA71" s="3">
        <f t="shared" si="143"/>
        <v>4147.8014599999997</v>
      </c>
      <c r="AB71" s="3">
        <f t="shared" si="143"/>
        <v>4379.1662200000001</v>
      </c>
      <c r="AC71" s="20">
        <f t="shared" si="143"/>
        <v>4174.1981599999999</v>
      </c>
      <c r="AD71" s="20">
        <f t="shared" si="143"/>
        <v>5061.2199000000001</v>
      </c>
      <c r="AE71" s="3">
        <f t="shared" si="95"/>
        <v>6578.8912200000013</v>
      </c>
      <c r="AF71" t="s">
        <v>33</v>
      </c>
    </row>
    <row r="72" spans="1:32" x14ac:dyDescent="0.25">
      <c r="A72" t="s">
        <v>89</v>
      </c>
      <c r="B72" t="s">
        <v>26</v>
      </c>
      <c r="D72" s="10">
        <v>87459</v>
      </c>
      <c r="E72" s="10">
        <v>80129</v>
      </c>
      <c r="F72" s="10">
        <v>72543</v>
      </c>
      <c r="G72" s="10">
        <v>66521</v>
      </c>
      <c r="H72" s="10">
        <v>64318</v>
      </c>
      <c r="I72" s="10">
        <v>57516</v>
      </c>
      <c r="J72" s="10">
        <v>55012</v>
      </c>
      <c r="K72" s="10">
        <v>57066</v>
      </c>
      <c r="L72" s="10">
        <v>62528</v>
      </c>
      <c r="M72" s="10">
        <v>74983</v>
      </c>
      <c r="N72" s="10">
        <v>76297</v>
      </c>
      <c r="O72" s="10">
        <v>91723</v>
      </c>
      <c r="P72" s="2">
        <f t="shared" si="119"/>
        <v>846095</v>
      </c>
      <c r="Q72" s="15"/>
      <c r="S72" s="3">
        <f>SUM(S52)/SUM(D52)*D72</f>
        <v>2708.5927788312615</v>
      </c>
      <c r="T72" s="3">
        <f t="shared" ref="T72:AD72" si="144">SUM(T52)/SUM(E52)*E72</f>
        <v>2526.1491536368608</v>
      </c>
      <c r="U72" s="3">
        <f t="shared" si="144"/>
        <v>2314.3859554817632</v>
      </c>
      <c r="V72" s="3">
        <f t="shared" si="144"/>
        <v>2161.7528744797341</v>
      </c>
      <c r="W72" s="3">
        <f t="shared" si="144"/>
        <v>2124.2530196456273</v>
      </c>
      <c r="X72" s="3">
        <f t="shared" si="144"/>
        <v>1918.4962318686019</v>
      </c>
      <c r="Y72" s="3">
        <f t="shared" si="144"/>
        <v>1959.6659505223251</v>
      </c>
      <c r="Z72" s="3">
        <f t="shared" si="144"/>
        <v>2078.7483812376572</v>
      </c>
      <c r="AA72" s="3">
        <f t="shared" si="144"/>
        <v>2236.0429894402246</v>
      </c>
      <c r="AB72" s="3">
        <f t="shared" si="144"/>
        <v>2611.9574856162562</v>
      </c>
      <c r="AC72" s="20">
        <f t="shared" si="144"/>
        <v>2463.6678412550341</v>
      </c>
      <c r="AD72" s="20">
        <f t="shared" si="144"/>
        <v>3049.4698829397657</v>
      </c>
      <c r="AE72" s="3">
        <f t="shared" si="95"/>
        <v>28153.182544955111</v>
      </c>
      <c r="AF72" t="s">
        <v>30</v>
      </c>
    </row>
    <row r="73" spans="1:32" x14ac:dyDescent="0.25">
      <c r="B73" t="s">
        <v>27</v>
      </c>
      <c r="D73" s="10">
        <v>-88304</v>
      </c>
      <c r="E73" s="10">
        <v>-87459</v>
      </c>
      <c r="F73" s="10">
        <v>-80129</v>
      </c>
      <c r="G73" s="10">
        <v>-72543</v>
      </c>
      <c r="H73" s="10">
        <v>-66521</v>
      </c>
      <c r="I73" s="10">
        <v>-64318</v>
      </c>
      <c r="J73" s="10">
        <v>-57516</v>
      </c>
      <c r="K73" s="10">
        <v>-55012</v>
      </c>
      <c r="L73" s="10">
        <v>-57066</v>
      </c>
      <c r="M73" s="10">
        <v>-62528</v>
      </c>
      <c r="N73" s="10">
        <v>-74983</v>
      </c>
      <c r="O73" s="10">
        <v>-76297</v>
      </c>
      <c r="P73" s="2">
        <f t="shared" si="119"/>
        <v>-842676</v>
      </c>
      <c r="Q73" s="15"/>
      <c r="S73" s="3">
        <f>SUM(S52)/SUM(D52)*D73</f>
        <v>-2734.7623085321775</v>
      </c>
      <c r="T73" s="3">
        <f>-S72</f>
        <v>-2708.5927788312615</v>
      </c>
      <c r="U73" s="3">
        <f t="shared" ref="U73:AD73" si="145">-T72</f>
        <v>-2526.1491536368608</v>
      </c>
      <c r="V73" s="3">
        <f t="shared" si="145"/>
        <v>-2314.3859554817632</v>
      </c>
      <c r="W73" s="3">
        <f t="shared" si="145"/>
        <v>-2161.7528744797341</v>
      </c>
      <c r="X73" s="3">
        <f t="shared" si="145"/>
        <v>-2124.2530196456273</v>
      </c>
      <c r="Y73" s="3">
        <f t="shared" si="145"/>
        <v>-1918.4962318686019</v>
      </c>
      <c r="Z73" s="3">
        <f t="shared" si="145"/>
        <v>-1959.6659505223251</v>
      </c>
      <c r="AA73" s="3">
        <f t="shared" si="145"/>
        <v>-2078.7483812376572</v>
      </c>
      <c r="AB73" s="3">
        <f t="shared" si="145"/>
        <v>-2236.0429894402246</v>
      </c>
      <c r="AC73" s="20">
        <f t="shared" si="145"/>
        <v>-2611.9574856162562</v>
      </c>
      <c r="AD73" s="20">
        <f t="shared" si="145"/>
        <v>-2463.6678412550341</v>
      </c>
      <c r="AE73" s="3">
        <f t="shared" si="95"/>
        <v>-27838.474970547522</v>
      </c>
      <c r="AF73" t="s">
        <v>31</v>
      </c>
    </row>
    <row r="74" spans="1:32" x14ac:dyDescent="0.25">
      <c r="B74" t="s">
        <v>25</v>
      </c>
      <c r="D74" s="6">
        <f t="shared" ref="D74:O74" si="146">D72+D73</f>
        <v>-845</v>
      </c>
      <c r="E74" s="6">
        <f t="shared" si="146"/>
        <v>-7330</v>
      </c>
      <c r="F74" s="6">
        <f t="shared" si="146"/>
        <v>-7586</v>
      </c>
      <c r="G74" s="6">
        <f t="shared" si="146"/>
        <v>-6022</v>
      </c>
      <c r="H74" s="6">
        <f t="shared" si="146"/>
        <v>-2203</v>
      </c>
      <c r="I74" s="6">
        <f t="shared" si="146"/>
        <v>-6802</v>
      </c>
      <c r="J74" s="6">
        <f t="shared" si="146"/>
        <v>-2504</v>
      </c>
      <c r="K74" s="6">
        <f t="shared" si="146"/>
        <v>2054</v>
      </c>
      <c r="L74" s="6">
        <f t="shared" si="146"/>
        <v>5462</v>
      </c>
      <c r="M74" s="6">
        <f t="shared" si="146"/>
        <v>12455</v>
      </c>
      <c r="N74" s="16">
        <f t="shared" si="146"/>
        <v>1314</v>
      </c>
      <c r="O74" s="16">
        <f t="shared" si="146"/>
        <v>15426</v>
      </c>
      <c r="P74" s="2">
        <f t="shared" si="119"/>
        <v>3419</v>
      </c>
      <c r="Q74" s="15"/>
      <c r="R74" s="237">
        <f>ROUND(SUM(AE52)/SUM(P52),5)</f>
        <v>3.3230000000000003E-2</v>
      </c>
      <c r="S74" s="3">
        <f t="shared" ref="S74" si="147">$R74*D74</f>
        <v>-28.079350000000002</v>
      </c>
      <c r="T74" s="3">
        <f t="shared" ref="T74" si="148">$R74*E74</f>
        <v>-243.57590000000002</v>
      </c>
      <c r="U74" s="3">
        <f t="shared" ref="U74" si="149">$R74*F74</f>
        <v>-252.08278000000001</v>
      </c>
      <c r="V74" s="3">
        <f t="shared" ref="V74" si="150">$R74*G74</f>
        <v>-200.11106000000001</v>
      </c>
      <c r="W74" s="3">
        <f t="shared" ref="W74" si="151">$R74*H74</f>
        <v>-73.205690000000004</v>
      </c>
      <c r="X74" s="3">
        <f t="shared" ref="X74" si="152">$R74*I74</f>
        <v>-226.03046000000001</v>
      </c>
      <c r="Y74" s="3">
        <f t="shared" ref="Y74" si="153">$R74*J74</f>
        <v>-83.207920000000001</v>
      </c>
      <c r="Z74" s="3">
        <f t="shared" ref="Z74" si="154">$R74*K74</f>
        <v>68.25442000000001</v>
      </c>
      <c r="AA74" s="3">
        <f t="shared" ref="AA74" si="155">$R74*L74</f>
        <v>181.50226000000001</v>
      </c>
      <c r="AB74" s="3">
        <f t="shared" ref="AB74" si="156">$R74*M74</f>
        <v>413.87965000000003</v>
      </c>
      <c r="AC74" s="20">
        <f t="shared" ref="AC74" si="157">$R74*N74</f>
        <v>43.66422</v>
      </c>
      <c r="AD74" s="20">
        <f t="shared" ref="AD74" si="158">$R74*O74</f>
        <v>512.60598000000005</v>
      </c>
      <c r="AE74" s="3">
        <f t="shared" si="95"/>
        <v>113.61337000000009</v>
      </c>
      <c r="AF74" t="s">
        <v>33</v>
      </c>
    </row>
    <row r="75" spans="1:32" x14ac:dyDescent="0.25">
      <c r="D75" s="6">
        <f>D56+D59+D62+D65+D68+D71+D74</f>
        <v>-505015</v>
      </c>
      <c r="E75" s="6">
        <f t="shared" ref="E75:O75" si="159">E56+E59+E62+E65+E68+E71+E74</f>
        <v>269219</v>
      </c>
      <c r="F75" s="6">
        <f t="shared" si="159"/>
        <v>-4791343</v>
      </c>
      <c r="G75" s="6">
        <f t="shared" si="159"/>
        <v>-2987880</v>
      </c>
      <c r="H75" s="6">
        <f t="shared" si="159"/>
        <v>-1364605</v>
      </c>
      <c r="I75" s="6">
        <f t="shared" si="159"/>
        <v>-963607</v>
      </c>
      <c r="J75" s="6">
        <f t="shared" si="159"/>
        <v>-102096</v>
      </c>
      <c r="K75" s="6">
        <f t="shared" si="159"/>
        <v>382388</v>
      </c>
      <c r="L75" s="6">
        <f t="shared" si="159"/>
        <v>595429</v>
      </c>
      <c r="M75" s="6">
        <f t="shared" si="159"/>
        <v>3111964</v>
      </c>
      <c r="N75" s="6">
        <f t="shared" si="159"/>
        <v>2947990</v>
      </c>
      <c r="O75" s="6">
        <f t="shared" si="159"/>
        <v>4841664</v>
      </c>
      <c r="P75" s="2">
        <f t="shared" si="119"/>
        <v>1434108</v>
      </c>
    </row>
    <row r="76" spans="1:32" x14ac:dyDescent="0.25">
      <c r="A76" t="s">
        <v>63</v>
      </c>
      <c r="B76" t="s">
        <v>28</v>
      </c>
      <c r="D76" s="10">
        <v>2406829</v>
      </c>
      <c r="E76" s="10">
        <v>-1513973</v>
      </c>
      <c r="F76" s="10">
        <v>951085</v>
      </c>
      <c r="G76" s="10">
        <v>1299017</v>
      </c>
      <c r="H76" s="10">
        <v>491317</v>
      </c>
      <c r="I76" s="10">
        <v>1036601</v>
      </c>
      <c r="J76" s="10">
        <v>512388</v>
      </c>
      <c r="K76" s="10">
        <v>41032</v>
      </c>
      <c r="L76" s="10">
        <v>676736</v>
      </c>
      <c r="M76" s="10">
        <v>581850</v>
      </c>
      <c r="N76" s="10">
        <v>2328859</v>
      </c>
      <c r="O76" s="10">
        <v>-666408</v>
      </c>
      <c r="P76" s="2">
        <f t="shared" si="119"/>
        <v>8145333</v>
      </c>
      <c r="Q76" s="15"/>
      <c r="R76" s="237">
        <f>ROUND((Q4*R4+Q5*R5)/SUM(Q4:Q5),5)</f>
        <v>0.87561999999999995</v>
      </c>
      <c r="S76" s="3">
        <f>$R76*D76</f>
        <v>2107467.60898</v>
      </c>
      <c r="T76" s="3">
        <f t="shared" ref="S76:AD78" si="160">$R76*E76</f>
        <v>-1325665.0382599998</v>
      </c>
      <c r="U76" s="3">
        <f t="shared" si="160"/>
        <v>832789.0477</v>
      </c>
      <c r="V76" s="3">
        <f t="shared" si="160"/>
        <v>1137445.2655400001</v>
      </c>
      <c r="W76" s="3">
        <f t="shared" si="160"/>
        <v>430206.99153999996</v>
      </c>
      <c r="X76" s="3">
        <f t="shared" si="160"/>
        <v>907668.56761999999</v>
      </c>
      <c r="Y76" s="3">
        <f t="shared" si="160"/>
        <v>448657.18055999995</v>
      </c>
      <c r="Z76" s="3">
        <f t="shared" si="160"/>
        <v>35928.439839999999</v>
      </c>
      <c r="AA76" s="3">
        <f t="shared" si="160"/>
        <v>592563.57631999999</v>
      </c>
      <c r="AB76" s="3">
        <f t="shared" si="160"/>
        <v>509479.49699999997</v>
      </c>
      <c r="AC76" s="20">
        <f t="shared" si="160"/>
        <v>2039195.51758</v>
      </c>
      <c r="AD76" s="20">
        <f t="shared" si="160"/>
        <v>-583520.17296</v>
      </c>
      <c r="AE76" s="3">
        <f t="shared" si="95"/>
        <v>7132216.4814600004</v>
      </c>
    </row>
    <row r="77" spans="1:32" x14ac:dyDescent="0.25">
      <c r="A77" t="s">
        <v>65</v>
      </c>
      <c r="B77" t="s">
        <v>28</v>
      </c>
      <c r="D77" s="10">
        <v>809878</v>
      </c>
      <c r="E77" s="10">
        <v>-509440</v>
      </c>
      <c r="F77" s="10">
        <v>320033</v>
      </c>
      <c r="G77" s="10">
        <v>430589</v>
      </c>
      <c r="H77" s="10">
        <v>162094</v>
      </c>
      <c r="I77" s="10">
        <v>341786</v>
      </c>
      <c r="J77" s="10">
        <v>191418</v>
      </c>
      <c r="K77" s="10">
        <v>15294</v>
      </c>
      <c r="L77" s="10">
        <v>252308</v>
      </c>
      <c r="M77" s="10">
        <v>192965</v>
      </c>
      <c r="N77" s="10">
        <v>776018</v>
      </c>
      <c r="O77" s="10">
        <v>-227241</v>
      </c>
      <c r="P77" s="2">
        <f t="shared" si="119"/>
        <v>2755702</v>
      </c>
      <c r="Q77" s="15"/>
      <c r="R77" s="237">
        <f>ROUND((Q10*R10+Q11*R11+Q12*R12)/SUM(Q10:Q12),5)</f>
        <v>0.69486000000000003</v>
      </c>
      <c r="S77" s="3">
        <f t="shared" si="160"/>
        <v>562751.82708000008</v>
      </c>
      <c r="T77" s="3">
        <f t="shared" si="160"/>
        <v>-353989.47840000002</v>
      </c>
      <c r="U77" s="3">
        <f t="shared" si="160"/>
        <v>222378.13038000002</v>
      </c>
      <c r="V77" s="3">
        <f t="shared" si="160"/>
        <v>299199.07254000002</v>
      </c>
      <c r="W77" s="3">
        <f t="shared" si="160"/>
        <v>112632.63684000001</v>
      </c>
      <c r="X77" s="3">
        <f t="shared" si="160"/>
        <v>237493.41996</v>
      </c>
      <c r="Y77" s="3">
        <f t="shared" si="160"/>
        <v>133008.71148</v>
      </c>
      <c r="Z77" s="3">
        <f t="shared" si="160"/>
        <v>10627.188840000001</v>
      </c>
      <c r="AA77" s="3">
        <f t="shared" si="160"/>
        <v>175318.73688000001</v>
      </c>
      <c r="AB77" s="3">
        <f t="shared" si="160"/>
        <v>134083.6599</v>
      </c>
      <c r="AC77" s="20">
        <f t="shared" si="160"/>
        <v>539223.86748000002</v>
      </c>
      <c r="AD77" s="20">
        <f t="shared" si="160"/>
        <v>-157900.68126000001</v>
      </c>
      <c r="AE77" s="3">
        <f t="shared" si="95"/>
        <v>1914827.0917200004</v>
      </c>
    </row>
    <row r="78" spans="1:32" x14ac:dyDescent="0.25">
      <c r="A78" t="s">
        <v>74</v>
      </c>
      <c r="B78" t="s">
        <v>28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2">
        <f t="shared" si="119"/>
        <v>0</v>
      </c>
      <c r="Q78" s="15"/>
      <c r="R78" s="237" t="e">
        <f>ROUND((Q22*R22+Q23*R23+Q24*R24+Q25*R25+Q26*R26)/SUM(Q22:Q26),5)</f>
        <v>#DIV/0!</v>
      </c>
      <c r="S78" s="3" t="e">
        <f t="shared" si="160"/>
        <v>#DIV/0!</v>
      </c>
      <c r="T78" s="3" t="e">
        <f t="shared" si="160"/>
        <v>#DIV/0!</v>
      </c>
      <c r="U78" s="3" t="e">
        <f t="shared" si="160"/>
        <v>#DIV/0!</v>
      </c>
      <c r="V78" s="3" t="e">
        <f t="shared" si="160"/>
        <v>#DIV/0!</v>
      </c>
      <c r="W78" s="3" t="e">
        <f t="shared" si="160"/>
        <v>#DIV/0!</v>
      </c>
      <c r="X78" s="3" t="e">
        <f t="shared" si="160"/>
        <v>#DIV/0!</v>
      </c>
      <c r="Y78" s="3" t="e">
        <f t="shared" si="160"/>
        <v>#DIV/0!</v>
      </c>
      <c r="Z78" s="3" t="e">
        <f t="shared" si="160"/>
        <v>#DIV/0!</v>
      </c>
      <c r="AA78" s="3" t="e">
        <f t="shared" si="160"/>
        <v>#DIV/0!</v>
      </c>
      <c r="AB78" s="3" t="e">
        <f t="shared" si="160"/>
        <v>#DIV/0!</v>
      </c>
      <c r="AC78" s="20" t="e">
        <f t="shared" si="160"/>
        <v>#DIV/0!</v>
      </c>
      <c r="AD78" s="20" t="e">
        <f t="shared" si="160"/>
        <v>#DIV/0!</v>
      </c>
      <c r="AE78" s="3" t="e">
        <f t="shared" si="95"/>
        <v>#DIV/0!</v>
      </c>
    </row>
    <row r="80" spans="1:32" x14ac:dyDescent="0.25">
      <c r="A80" t="s">
        <v>45</v>
      </c>
      <c r="C80" t="s">
        <v>81</v>
      </c>
    </row>
    <row r="81" spans="1:38" x14ac:dyDescent="0.25">
      <c r="A81" t="s">
        <v>75</v>
      </c>
      <c r="D81" s="2">
        <f>SUM(D4:D5,D7:D8)+D56+D76</f>
        <v>23319967.687520001</v>
      </c>
      <c r="E81" s="2">
        <f t="shared" ref="E81:O81" si="161">SUM(E4:E5,E7:E8)+E56+E76</f>
        <v>19989616.133309994</v>
      </c>
      <c r="F81" s="2">
        <f t="shared" si="161"/>
        <v>16824908.559470002</v>
      </c>
      <c r="G81" s="2">
        <f t="shared" si="161"/>
        <v>10867658.912959998</v>
      </c>
      <c r="H81" s="2">
        <f t="shared" si="161"/>
        <v>5335065.9769600006</v>
      </c>
      <c r="I81" s="2">
        <f t="shared" si="161"/>
        <v>4055999.8091399996</v>
      </c>
      <c r="J81" s="2">
        <f t="shared" si="161"/>
        <v>2604790.11748</v>
      </c>
      <c r="K81" s="2">
        <f t="shared" si="161"/>
        <v>2391679.0396100003</v>
      </c>
      <c r="L81" s="2">
        <f t="shared" si="161"/>
        <v>3541822.9421800002</v>
      </c>
      <c r="M81" s="2">
        <f t="shared" si="161"/>
        <v>8178894.8256000001</v>
      </c>
      <c r="N81" s="15">
        <f t="shared" si="161"/>
        <v>15848908.448169999</v>
      </c>
      <c r="O81" s="15">
        <f t="shared" si="161"/>
        <v>21971511.63256</v>
      </c>
      <c r="P81" s="6">
        <f>SUM(D81:O81)</f>
        <v>134930824.08495998</v>
      </c>
      <c r="S81" s="3">
        <f>SUM(S3:S8)+S56+S76</f>
        <v>22193758.017068889</v>
      </c>
      <c r="T81" s="3">
        <f t="shared" ref="T81:AD81" si="162">SUM(T3:T8)+T56+T76</f>
        <v>19299304.861493707</v>
      </c>
      <c r="U81" s="3">
        <f t="shared" si="162"/>
        <v>16550030.676906895</v>
      </c>
      <c r="V81" s="3">
        <f t="shared" si="162"/>
        <v>10898742.425245874</v>
      </c>
      <c r="W81" s="3">
        <f t="shared" si="162"/>
        <v>6064074.6747436784</v>
      </c>
      <c r="X81" s="3">
        <f t="shared" si="162"/>
        <v>5020923.5833902042</v>
      </c>
      <c r="Y81" s="3">
        <f t="shared" si="162"/>
        <v>3804989.9386089221</v>
      </c>
      <c r="Z81" s="3">
        <f t="shared" si="162"/>
        <v>3628292.2277937694</v>
      </c>
      <c r="AA81" s="3">
        <f t="shared" si="162"/>
        <v>4622892.5457017906</v>
      </c>
      <c r="AB81" s="3">
        <f t="shared" si="162"/>
        <v>8567832.6716470141</v>
      </c>
      <c r="AC81" s="20">
        <f t="shared" si="162"/>
        <v>15229435.066345897</v>
      </c>
      <c r="AD81" s="20">
        <f t="shared" si="162"/>
        <v>20883303.303033441</v>
      </c>
      <c r="AE81" s="3">
        <f>SUM(S81:AD81)</f>
        <v>136763579.99198008</v>
      </c>
      <c r="AF81" s="3">
        <f>AE81</f>
        <v>136763579.99198008</v>
      </c>
      <c r="AH81" t="s">
        <v>109</v>
      </c>
      <c r="AJ81" s="3">
        <f>SUM(Y81:AB81)</f>
        <v>20624007.383751497</v>
      </c>
      <c r="AL81" s="3">
        <f>AE81+AB81+AA81+Z81</f>
        <v>153582597.43712267</v>
      </c>
    </row>
    <row r="82" spans="1:38" x14ac:dyDescent="0.25">
      <c r="A82" t="s">
        <v>76</v>
      </c>
      <c r="D82" s="2">
        <f>SUM(D10:D12,D16:D18)+D59+D62+D77</f>
        <v>7131836.5362499999</v>
      </c>
      <c r="E82" s="2">
        <f t="shared" ref="E82:O82" si="163">SUM(E10:E12,E16:E18)+E59+E62+E77</f>
        <v>6303976.1552600004</v>
      </c>
      <c r="F82" s="2">
        <f t="shared" si="163"/>
        <v>7148101.8419200005</v>
      </c>
      <c r="G82" s="2">
        <f t="shared" si="163"/>
        <v>4746144.6372600002</v>
      </c>
      <c r="H82" s="2">
        <f t="shared" si="163"/>
        <v>3026270.7196800006</v>
      </c>
      <c r="I82" s="2">
        <f t="shared" si="163"/>
        <v>2369159.8122800002</v>
      </c>
      <c r="J82" s="2">
        <f t="shared" si="163"/>
        <v>1760308.1649799999</v>
      </c>
      <c r="K82" s="2">
        <f t="shared" si="163"/>
        <v>1646080.25489</v>
      </c>
      <c r="L82" s="2">
        <f t="shared" si="163"/>
        <v>2234322.50263</v>
      </c>
      <c r="M82" s="2">
        <f t="shared" si="163"/>
        <v>3527643.32235</v>
      </c>
      <c r="N82" s="15">
        <f t="shared" si="163"/>
        <v>5637515.4901000001</v>
      </c>
      <c r="O82" s="15">
        <f t="shared" si="163"/>
        <v>7212589.2697999999</v>
      </c>
      <c r="P82" s="6">
        <f t="shared" ref="P82:P86" si="164">SUM(D82:O82)</f>
        <v>52743948.707400002</v>
      </c>
      <c r="S82" s="3">
        <f>SUM(S9:S18)+S59+S62+S77</f>
        <v>5468372.3098091017</v>
      </c>
      <c r="T82" s="3">
        <f t="shared" ref="T82:AD82" si="165">SUM(T9:T18)+T59+T62+T77</f>
        <v>4830524.9703786569</v>
      </c>
      <c r="U82" s="3">
        <f t="shared" si="165"/>
        <v>5537003.8733289102</v>
      </c>
      <c r="V82" s="3">
        <f t="shared" si="165"/>
        <v>3554043.6841874118</v>
      </c>
      <c r="W82" s="3">
        <f t="shared" si="165"/>
        <v>2265192.657020045</v>
      </c>
      <c r="X82" s="3">
        <f t="shared" si="165"/>
        <v>1827048.3779548965</v>
      </c>
      <c r="Y82" s="3">
        <f t="shared" si="165"/>
        <v>1415839.33861219</v>
      </c>
      <c r="Z82" s="3">
        <f t="shared" si="165"/>
        <v>1376281.422936501</v>
      </c>
      <c r="AA82" s="3">
        <f t="shared" si="165"/>
        <v>1753166.0939475538</v>
      </c>
      <c r="AB82" s="3">
        <f t="shared" si="165"/>
        <v>2600036.0537564778</v>
      </c>
      <c r="AC82" s="20">
        <f t="shared" si="165"/>
        <v>4109078.4886614638</v>
      </c>
      <c r="AD82" s="20">
        <f t="shared" si="165"/>
        <v>5391199.7869923236</v>
      </c>
      <c r="AE82" s="3">
        <f>SUM(S82:AD82)</f>
        <v>40127787.057585537</v>
      </c>
      <c r="AJ82" s="3">
        <f>SUM(Y82:AB82)</f>
        <v>7145322.9092527218</v>
      </c>
      <c r="AL82" s="3">
        <f>AE82+AB82+AA82+Z82</f>
        <v>45857270.628226064</v>
      </c>
    </row>
    <row r="83" spans="1:38" hidden="1" x14ac:dyDescent="0.25">
      <c r="A83" t="s">
        <v>77</v>
      </c>
      <c r="D83" s="2">
        <f>SUM(D22:D26,D28:D32)+D65+D68+D78</f>
        <v>0</v>
      </c>
      <c r="E83" s="2">
        <f t="shared" ref="E83:O83" si="166">SUM(E22:E26,E28:E32)+E65+E68+E78</f>
        <v>0</v>
      </c>
      <c r="F83" s="2">
        <f t="shared" si="166"/>
        <v>0</v>
      </c>
      <c r="G83" s="2">
        <f t="shared" si="166"/>
        <v>0</v>
      </c>
      <c r="H83" s="2">
        <f t="shared" si="166"/>
        <v>0</v>
      </c>
      <c r="I83" s="2">
        <f t="shared" si="166"/>
        <v>0</v>
      </c>
      <c r="J83" s="2">
        <f t="shared" si="166"/>
        <v>0</v>
      </c>
      <c r="K83" s="2">
        <f t="shared" si="166"/>
        <v>0</v>
      </c>
      <c r="L83" s="2">
        <f t="shared" si="166"/>
        <v>0</v>
      </c>
      <c r="M83" s="2">
        <f t="shared" si="166"/>
        <v>0</v>
      </c>
      <c r="N83" s="2">
        <f t="shared" si="166"/>
        <v>0</v>
      </c>
      <c r="O83" s="2">
        <f t="shared" si="166"/>
        <v>0</v>
      </c>
      <c r="P83" s="6">
        <f t="shared" si="164"/>
        <v>0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f>AE82+AE83+AE84-AE89</f>
        <v>40663682.8241494</v>
      </c>
      <c r="AH83" t="s">
        <v>110</v>
      </c>
      <c r="AJ83" s="3"/>
    </row>
    <row r="84" spans="1:38" x14ac:dyDescent="0.25">
      <c r="A84" t="s">
        <v>78</v>
      </c>
      <c r="D84" s="2">
        <f>SUM(D34:D37)+SUM(D39:D42)</f>
        <v>127341.609</v>
      </c>
      <c r="E84" s="2">
        <f t="shared" ref="E84:O84" si="167">SUM(E34:E37)+SUM(E39:E42)</f>
        <v>65536.154999999999</v>
      </c>
      <c r="F84" s="2">
        <f t="shared" si="167"/>
        <v>183530.55100000001</v>
      </c>
      <c r="G84" s="2">
        <f t="shared" si="167"/>
        <v>86985.383999999991</v>
      </c>
      <c r="H84" s="2">
        <f t="shared" si="167"/>
        <v>65394.620999999999</v>
      </c>
      <c r="I84" s="2">
        <f t="shared" si="167"/>
        <v>51440.312999999995</v>
      </c>
      <c r="J84" s="2">
        <f t="shared" si="167"/>
        <v>42047.1</v>
      </c>
      <c r="K84" s="2">
        <f t="shared" si="167"/>
        <v>42398.442999999999</v>
      </c>
      <c r="L84" s="2">
        <f t="shared" si="167"/>
        <v>47105.409999999996</v>
      </c>
      <c r="M84" s="2">
        <f t="shared" si="167"/>
        <v>58427.648000000001</v>
      </c>
      <c r="N84" s="15">
        <f t="shared" si="167"/>
        <v>98500.347000000009</v>
      </c>
      <c r="O84" s="15">
        <f t="shared" si="167"/>
        <v>122691.34700000001</v>
      </c>
      <c r="P84" s="6">
        <f t="shared" si="164"/>
        <v>991398.92800000007</v>
      </c>
      <c r="S84" s="3">
        <f>SUM(S33:S42)</f>
        <v>67724.475175609987</v>
      </c>
      <c r="T84" s="3">
        <f t="shared" ref="T84:AD84" si="168">SUM(T33:T42)</f>
        <v>34797.319139949999</v>
      </c>
      <c r="U84" s="3">
        <f t="shared" si="168"/>
        <v>97836.129910790012</v>
      </c>
      <c r="V84" s="3">
        <f t="shared" si="168"/>
        <v>47211.885978160004</v>
      </c>
      <c r="W84" s="3">
        <f t="shared" si="168"/>
        <v>35920.132836789999</v>
      </c>
      <c r="X84" s="3">
        <f t="shared" si="168"/>
        <v>28574.752307710005</v>
      </c>
      <c r="Y84" s="3">
        <f t="shared" si="168"/>
        <v>23554.566119079998</v>
      </c>
      <c r="Z84" s="3">
        <f t="shared" si="168"/>
        <v>23707.834461369999</v>
      </c>
      <c r="AA84" s="3">
        <f t="shared" si="168"/>
        <v>26190.466980699999</v>
      </c>
      <c r="AB84" s="3">
        <f t="shared" si="168"/>
        <v>32146.061082039996</v>
      </c>
      <c r="AC84" s="20">
        <f t="shared" si="168"/>
        <v>52838.797234030004</v>
      </c>
      <c r="AD84" s="20">
        <f t="shared" si="168"/>
        <v>65393.345337629995</v>
      </c>
      <c r="AE84" s="3">
        <f t="shared" ref="AE84:AE86" si="169">SUM(S84:AD84)</f>
        <v>535895.76656386</v>
      </c>
      <c r="AJ84" s="3">
        <f>SUM(Y84:AB84)</f>
        <v>105598.92864318998</v>
      </c>
      <c r="AL84" s="3">
        <f>AE84+AB84+AA84+Z84</f>
        <v>617940.12908797001</v>
      </c>
    </row>
    <row r="85" spans="1:38" x14ac:dyDescent="0.25">
      <c r="A85" t="s">
        <v>79</v>
      </c>
      <c r="D85" s="2">
        <f>SUM(D44:D48)+D71</f>
        <v>3208976</v>
      </c>
      <c r="E85" s="2">
        <f t="shared" ref="E85:O85" si="170">SUM(E44:E48)+E71</f>
        <v>3248492</v>
      </c>
      <c r="F85" s="2">
        <f t="shared" si="170"/>
        <v>3390290</v>
      </c>
      <c r="G85" s="2">
        <f t="shared" si="170"/>
        <v>3015752</v>
      </c>
      <c r="H85" s="2">
        <f t="shared" si="170"/>
        <v>2548288</v>
      </c>
      <c r="I85" s="2">
        <f t="shared" si="170"/>
        <v>2277785</v>
      </c>
      <c r="J85" s="2">
        <f t="shared" si="170"/>
        <v>2009480</v>
      </c>
      <c r="K85" s="2">
        <f t="shared" si="170"/>
        <v>2051123</v>
      </c>
      <c r="L85" s="2">
        <f t="shared" si="170"/>
        <v>2005483</v>
      </c>
      <c r="M85" s="2">
        <f t="shared" si="170"/>
        <v>2286730</v>
      </c>
      <c r="N85" s="15">
        <f t="shared" si="170"/>
        <v>2755584</v>
      </c>
      <c r="O85" s="15">
        <f t="shared" si="170"/>
        <v>3287287</v>
      </c>
      <c r="P85" s="6">
        <f t="shared" si="164"/>
        <v>32085270</v>
      </c>
      <c r="S85" s="3">
        <f>SUM(S43:S48)+S71</f>
        <v>319210.74454000004</v>
      </c>
      <c r="T85" s="3">
        <f t="shared" ref="T85:AD85" si="171">SUM(T43:T48)+T71</f>
        <v>322152.90286999993</v>
      </c>
      <c r="U85" s="3">
        <f t="shared" si="171"/>
        <v>333264.89256999997</v>
      </c>
      <c r="V85" s="3">
        <f t="shared" si="171"/>
        <v>301665.69862000004</v>
      </c>
      <c r="W85" s="3">
        <f t="shared" si="171"/>
        <v>262951.50815000007</v>
      </c>
      <c r="X85" s="3">
        <f t="shared" si="171"/>
        <v>237921.26165</v>
      </c>
      <c r="Y85" s="3">
        <f t="shared" si="171"/>
        <v>212396.85577999998</v>
      </c>
      <c r="Z85" s="3">
        <f t="shared" si="171"/>
        <v>215659.24954000002</v>
      </c>
      <c r="AA85" s="3">
        <f t="shared" si="171"/>
        <v>212178.78465999998</v>
      </c>
      <c r="AB85" s="3">
        <f t="shared" si="171"/>
        <v>234077.95545000001</v>
      </c>
      <c r="AC85" s="20">
        <f t="shared" si="171"/>
        <v>279103.83215000003</v>
      </c>
      <c r="AD85" s="20">
        <f t="shared" si="171"/>
        <v>325535.22651000007</v>
      </c>
      <c r="AE85" s="3">
        <f t="shared" si="169"/>
        <v>3256118.9124900005</v>
      </c>
      <c r="AF85" s="3">
        <f>AE85+AE86+AE89</f>
        <v>4779533.2387582771</v>
      </c>
      <c r="AH85" t="s">
        <v>111</v>
      </c>
      <c r="AJ85" s="3">
        <f>SUM(Y85:AB85)</f>
        <v>874312.84542999999</v>
      </c>
      <c r="AL85" s="3">
        <f>AE85+AB85+AA85+Z85</f>
        <v>3918034.9021400004</v>
      </c>
    </row>
    <row r="86" spans="1:38" x14ac:dyDescent="0.25">
      <c r="A86" t="s">
        <v>80</v>
      </c>
      <c r="D86" s="2">
        <f>D50+D52+D74</f>
        <v>4453129</v>
      </c>
      <c r="E86" s="2">
        <f t="shared" ref="E86:O86" si="172">E50+E52+E74</f>
        <v>4234813</v>
      </c>
      <c r="F86" s="2">
        <f t="shared" si="172"/>
        <v>4001895</v>
      </c>
      <c r="G86" s="2">
        <f t="shared" si="172"/>
        <v>4024374</v>
      </c>
      <c r="H86" s="2">
        <f t="shared" si="172"/>
        <v>3887344</v>
      </c>
      <c r="I86" s="2">
        <f t="shared" si="172"/>
        <v>3608367</v>
      </c>
      <c r="J86" s="2">
        <f t="shared" si="172"/>
        <v>3766155</v>
      </c>
      <c r="K86" s="2">
        <f t="shared" si="172"/>
        <v>3827679</v>
      </c>
      <c r="L86" s="2">
        <f t="shared" si="172"/>
        <v>3991668</v>
      </c>
      <c r="M86" s="2">
        <f t="shared" si="172"/>
        <v>3834008</v>
      </c>
      <c r="N86" s="15">
        <f t="shared" si="172"/>
        <v>4420165</v>
      </c>
      <c r="O86" s="15">
        <f t="shared" si="172"/>
        <v>3931539</v>
      </c>
      <c r="P86" s="6">
        <f t="shared" si="164"/>
        <v>47981136</v>
      </c>
      <c r="S86" s="3">
        <f>SUM(S49:S52)+S74</f>
        <v>136587.88931091217</v>
      </c>
      <c r="T86" s="3">
        <f t="shared" ref="T86:AD86" si="173">SUM(T49:T52)+T74</f>
        <v>133862.48003586428</v>
      </c>
      <c r="U86" s="3">
        <f t="shared" si="173"/>
        <v>125758.1705308752</v>
      </c>
      <c r="V86" s="3">
        <f t="shared" si="173"/>
        <v>126967.17301474808</v>
      </c>
      <c r="W86" s="3">
        <f t="shared" si="173"/>
        <v>122925.00763863596</v>
      </c>
      <c r="X86" s="3">
        <f t="shared" si="173"/>
        <v>116808.82626888996</v>
      </c>
      <c r="Y86" s="3">
        <f t="shared" si="173"/>
        <v>122700.52777783044</v>
      </c>
      <c r="Z86" s="3">
        <f t="shared" si="173"/>
        <v>124226.26033319515</v>
      </c>
      <c r="AA86" s="3">
        <f t="shared" si="173"/>
        <v>127894.5523017056</v>
      </c>
      <c r="AB86" s="3">
        <f t="shared" si="173"/>
        <v>122985.69554866779</v>
      </c>
      <c r="AC86" s="20">
        <f t="shared" si="173"/>
        <v>134259.19903927302</v>
      </c>
      <c r="AD86" s="20">
        <f t="shared" si="173"/>
        <v>128438.54446767956</v>
      </c>
      <c r="AE86" s="3">
        <f t="shared" si="169"/>
        <v>1523414.3262682771</v>
      </c>
      <c r="AJ86" s="3">
        <f>SUM(Y86:AB86)</f>
        <v>497807.03596139897</v>
      </c>
      <c r="AL86" s="3">
        <f>AE86+AB86+AA86+Z86</f>
        <v>1898520.8344518456</v>
      </c>
    </row>
    <row r="87" spans="1:38" x14ac:dyDescent="0.25">
      <c r="A87" t="s">
        <v>52</v>
      </c>
      <c r="D87" s="8">
        <f>SUM(D81:D86)</f>
        <v>38241250.832770005</v>
      </c>
      <c r="E87" s="8">
        <f t="shared" ref="E87:P87" si="174">SUM(E81:E86)</f>
        <v>33842433.443569995</v>
      </c>
      <c r="F87" s="8">
        <f t="shared" si="174"/>
        <v>31548725.95239</v>
      </c>
      <c r="G87" s="8">
        <f t="shared" si="174"/>
        <v>22740914.934219997</v>
      </c>
      <c r="H87" s="8">
        <f t="shared" si="174"/>
        <v>14862363.317640001</v>
      </c>
      <c r="I87" s="8">
        <f t="shared" si="174"/>
        <v>12362751.934420001</v>
      </c>
      <c r="J87" s="8">
        <f t="shared" si="174"/>
        <v>10182780.38246</v>
      </c>
      <c r="K87" s="8">
        <f t="shared" si="174"/>
        <v>9958959.7375000007</v>
      </c>
      <c r="L87" s="8">
        <f t="shared" si="174"/>
        <v>11820401.854809999</v>
      </c>
      <c r="M87" s="8">
        <f t="shared" si="174"/>
        <v>17885703.795950003</v>
      </c>
      <c r="N87" s="18">
        <f t="shared" si="174"/>
        <v>28760673.285269998</v>
      </c>
      <c r="O87" s="18">
        <f t="shared" si="174"/>
        <v>36525618.249359995</v>
      </c>
      <c r="P87" s="8">
        <f t="shared" si="174"/>
        <v>268732577.72035998</v>
      </c>
      <c r="S87" s="7">
        <f>SUM(S81:S86)</f>
        <v>28185653.43590451</v>
      </c>
      <c r="T87" s="7">
        <f t="shared" ref="T87:AD87" si="175">SUM(T81:T86)</f>
        <v>24620642.533918176</v>
      </c>
      <c r="U87" s="7">
        <f t="shared" si="175"/>
        <v>22643893.743247468</v>
      </c>
      <c r="V87" s="7">
        <f t="shared" si="175"/>
        <v>14928630.867046196</v>
      </c>
      <c r="W87" s="7">
        <f t="shared" si="175"/>
        <v>8751063.980389148</v>
      </c>
      <c r="X87" s="7">
        <f t="shared" si="175"/>
        <v>7231276.8015717007</v>
      </c>
      <c r="Y87" s="7">
        <f t="shared" si="175"/>
        <v>5579481.226898022</v>
      </c>
      <c r="Z87" s="7">
        <f t="shared" si="175"/>
        <v>5368166.995064836</v>
      </c>
      <c r="AA87" s="7">
        <f t="shared" si="175"/>
        <v>6742322.4435917512</v>
      </c>
      <c r="AB87" s="7">
        <f t="shared" si="175"/>
        <v>11557078.437484201</v>
      </c>
      <c r="AC87" s="21">
        <f t="shared" si="175"/>
        <v>19804715.383430663</v>
      </c>
      <c r="AD87" s="21">
        <f t="shared" si="175"/>
        <v>26793870.206341073</v>
      </c>
      <c r="AE87" s="7">
        <f>SUM(AE81:AE86)</f>
        <v>182206796.05488777</v>
      </c>
      <c r="AF87" s="3">
        <f>SUM(AF81:AF86)</f>
        <v>182206796.05488774</v>
      </c>
    </row>
    <row r="88" spans="1:38" x14ac:dyDescent="0.25">
      <c r="D88" s="35">
        <f>D87/$P$87</f>
        <v>0.14230225139492916</v>
      </c>
      <c r="E88" s="35">
        <f t="shared" ref="E88:O88" si="176">E87/$P$87</f>
        <v>0.12593349764532843</v>
      </c>
      <c r="F88" s="35">
        <f t="shared" si="176"/>
        <v>0.11739821877948584</v>
      </c>
      <c r="G88" s="35">
        <f t="shared" si="176"/>
        <v>8.4622843747228629E-2</v>
      </c>
      <c r="H88" s="35">
        <f t="shared" si="176"/>
        <v>5.530540228399701E-2</v>
      </c>
      <c r="I88" s="35">
        <f t="shared" si="176"/>
        <v>4.6003919730508214E-2</v>
      </c>
      <c r="J88" s="35">
        <f t="shared" si="176"/>
        <v>3.7891871796266116E-2</v>
      </c>
      <c r="K88" s="35">
        <f t="shared" si="176"/>
        <v>3.705899679890385E-2</v>
      </c>
      <c r="L88" s="35">
        <f t="shared" si="176"/>
        <v>4.3985742090079501E-2</v>
      </c>
      <c r="M88" s="35">
        <f t="shared" si="176"/>
        <v>6.6555770601663566E-2</v>
      </c>
      <c r="N88" s="35">
        <f t="shared" si="176"/>
        <v>0.10702339675094406</v>
      </c>
      <c r="O88" s="35">
        <f t="shared" si="176"/>
        <v>0.13591808838066569</v>
      </c>
      <c r="P88" s="35">
        <f>SUM(D88:O88)</f>
        <v>1.0000000000000002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7"/>
      <c r="AD88" s="27"/>
      <c r="AE88" s="26"/>
    </row>
    <row r="89" spans="1:38" x14ac:dyDescent="0.25">
      <c r="A89" t="s">
        <v>112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5"/>
      <c r="P89" s="24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3"/>
    </row>
    <row r="91" spans="1:38" x14ac:dyDescent="0.25">
      <c r="A91" t="s">
        <v>54</v>
      </c>
      <c r="C91" t="s">
        <v>55</v>
      </c>
      <c r="R91" s="236" t="s">
        <v>56</v>
      </c>
    </row>
    <row r="92" spans="1:38" x14ac:dyDescent="0.25">
      <c r="A92" t="s">
        <v>75</v>
      </c>
      <c r="D92" s="2">
        <f>D81/(D3+D6)</f>
        <v>143.00587286147055</v>
      </c>
      <c r="E92" s="2">
        <f t="shared" ref="E92:O92" si="177">E81/(E3+E6)</f>
        <v>122.73733542080861</v>
      </c>
      <c r="F92" s="2">
        <f t="shared" si="177"/>
        <v>91.350355953252262</v>
      </c>
      <c r="G92" s="2">
        <f t="shared" si="177"/>
        <v>63.816664687512834</v>
      </c>
      <c r="H92" s="2">
        <f t="shared" si="177"/>
        <v>31.334265089655418</v>
      </c>
      <c r="I92" s="2">
        <f t="shared" si="177"/>
        <v>23.803374545998729</v>
      </c>
      <c r="J92" s="2">
        <f t="shared" si="177"/>
        <v>15.282380825843092</v>
      </c>
      <c r="K92" s="2">
        <f t="shared" si="177"/>
        <v>14.009038211440689</v>
      </c>
      <c r="L92" s="2">
        <f t="shared" si="177"/>
        <v>20.762317278253583</v>
      </c>
      <c r="M92" s="2">
        <f t="shared" si="177"/>
        <v>47.792901535656689</v>
      </c>
      <c r="N92" s="15">
        <f t="shared" si="177"/>
        <v>92.545128043221837</v>
      </c>
      <c r="O92" s="15">
        <f t="shared" si="177"/>
        <v>127.90941372128495</v>
      </c>
      <c r="P92" s="2">
        <f t="shared" ref="P92" si="178">P81/(P3+P6)</f>
        <v>65.9167635984969</v>
      </c>
      <c r="S92" s="3">
        <f t="shared" ref="S92:AE92" si="179">S81/(D3+D6)</f>
        <v>136.09957697350148</v>
      </c>
      <c r="T92" s="3">
        <f t="shared" ref="T92" si="180">T81/(E3+E6)</f>
        <v>118.4987864887711</v>
      </c>
      <c r="U92" s="3">
        <f t="shared" ref="U92" si="181">U81/(F3+F6)</f>
        <v>89.857914414740449</v>
      </c>
      <c r="V92" s="3">
        <f t="shared" ref="V92" si="182">V81/(G3+G6)</f>
        <v>63.999192138617538</v>
      </c>
      <c r="W92" s="3">
        <f t="shared" ref="W92" si="183">W81/(H3+H6)</f>
        <v>35.615927563496932</v>
      </c>
      <c r="X92" s="3">
        <f t="shared" ref="X92" si="184">X81/(I3+I6)</f>
        <v>29.466205682000776</v>
      </c>
      <c r="Y92" s="3">
        <f t="shared" ref="Y92" si="185">Y81/(J3+J6)</f>
        <v>22.323988750609715</v>
      </c>
      <c r="Z92" s="3">
        <f t="shared" ref="Z92" si="186">Z81/(K3+K6)</f>
        <v>21.252385299042722</v>
      </c>
      <c r="AA92" s="3">
        <f t="shared" ref="AA92" si="187">AA81/(L3+L6)</f>
        <v>27.099593442143341</v>
      </c>
      <c r="AB92" s="3">
        <f t="shared" ref="AB92" si="188">AB81/(M3+M6)</f>
        <v>50.065637470765338</v>
      </c>
      <c r="AC92" s="20">
        <f t="shared" ref="AC92" si="189">AC81/(N3+N6)</f>
        <v>88.927891964929088</v>
      </c>
      <c r="AD92" s="20">
        <f t="shared" ref="AD92" si="190">AD81/(O3+O6)</f>
        <v>121.57429705912095</v>
      </c>
      <c r="AE92" s="3">
        <f t="shared" si="179"/>
        <v>66.812106368957743</v>
      </c>
    </row>
    <row r="93" spans="1:38" x14ac:dyDescent="0.25">
      <c r="A93" t="s">
        <v>76</v>
      </c>
      <c r="D93" s="2">
        <f>D82/(D9+D15)</f>
        <v>2362.3175012421329</v>
      </c>
      <c r="E93" s="2">
        <f t="shared" ref="E93:O93" si="191">E82/(E9+E15)</f>
        <v>2138.3908260719131</v>
      </c>
      <c r="F93" s="2">
        <f t="shared" si="191"/>
        <v>1997.2343788544288</v>
      </c>
      <c r="G93" s="2">
        <f t="shared" si="191"/>
        <v>1485.4912792676057</v>
      </c>
      <c r="H93" s="2">
        <f t="shared" si="191"/>
        <v>951.95681650833615</v>
      </c>
      <c r="I93" s="2">
        <f t="shared" si="191"/>
        <v>744.78459989940279</v>
      </c>
      <c r="J93" s="2">
        <f t="shared" si="191"/>
        <v>550.78478253441801</v>
      </c>
      <c r="K93" s="2">
        <f t="shared" si="191"/>
        <v>515.52779670842472</v>
      </c>
      <c r="L93" s="2">
        <f t="shared" si="191"/>
        <v>699.97572137531324</v>
      </c>
      <c r="M93" s="2">
        <f t="shared" si="191"/>
        <v>1098.9543060280373</v>
      </c>
      <c r="N93" s="15">
        <f t="shared" si="191"/>
        <v>1748.0668186356588</v>
      </c>
      <c r="O93" s="15">
        <f t="shared" si="191"/>
        <v>2217.2115800184447</v>
      </c>
      <c r="P93" s="2">
        <f t="shared" ref="P93" si="192">P82/(P9+P15)</f>
        <v>1374.614248303362</v>
      </c>
      <c r="S93" s="3">
        <f t="shared" ref="S93:AE93" si="193">S82/(D9+D15)</f>
        <v>1811.3190824144094</v>
      </c>
      <c r="T93" s="3">
        <f t="shared" ref="T93" si="194">T82/(E9+E15)</f>
        <v>1638.5769913089066</v>
      </c>
      <c r="U93" s="3">
        <f t="shared" ref="U93" si="195">U82/(F9+F15)</f>
        <v>1547.0812722349567</v>
      </c>
      <c r="V93" s="3">
        <f t="shared" ref="V93" si="196">V82/(G9+G15)</f>
        <v>1112.3767399647611</v>
      </c>
      <c r="W93" s="3">
        <f t="shared" ref="W93" si="197">W82/(H9+H15)</f>
        <v>712.54880686380784</v>
      </c>
      <c r="X93" s="3">
        <f t="shared" ref="X93" si="198">X82/(I9+I15)</f>
        <v>574.36289781669177</v>
      </c>
      <c r="Y93" s="3">
        <f t="shared" ref="Y93" si="199">Y82/(J9+J15)</f>
        <v>443.00354775099811</v>
      </c>
      <c r="Z93" s="3">
        <f t="shared" ref="Z93" si="200">Z82/(K9+K15)</f>
        <v>431.03082459646134</v>
      </c>
      <c r="AA93" s="3">
        <f t="shared" ref="AA93" si="201">AA82/(L9+L15)</f>
        <v>549.23749810387028</v>
      </c>
      <c r="AB93" s="3">
        <f t="shared" ref="AB93" si="202">AB82/(M9+M15)</f>
        <v>809.98007905186228</v>
      </c>
      <c r="AC93" s="20">
        <f t="shared" ref="AC93" si="203">AC82/(N9+N15)</f>
        <v>1274.1328647012292</v>
      </c>
      <c r="AD93" s="20">
        <f t="shared" ref="AD93" si="204">AD82/(O9+O15)</f>
        <v>1657.3008874861123</v>
      </c>
      <c r="AE93" s="3">
        <f t="shared" si="193"/>
        <v>1045.8114948549787</v>
      </c>
    </row>
    <row r="94" spans="1:38" hidden="1" x14ac:dyDescent="0.25">
      <c r="A94" t="s">
        <v>77</v>
      </c>
      <c r="D94" s="2" t="e">
        <f>D83/(D21+D27)</f>
        <v>#DIV/0!</v>
      </c>
      <c r="E94" s="2" t="e">
        <f t="shared" ref="E94:H94" si="205">E83/(E21+E27)</f>
        <v>#DIV/0!</v>
      </c>
      <c r="F94" s="2" t="e">
        <f t="shared" si="205"/>
        <v>#DIV/0!</v>
      </c>
      <c r="G94" s="2" t="e">
        <f t="shared" si="205"/>
        <v>#DIV/0!</v>
      </c>
      <c r="H94" s="2" t="e">
        <f t="shared" si="205"/>
        <v>#DIV/0!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 t="e">
        <f t="shared" ref="P94" si="206">P83/(P21+P27)</f>
        <v>#DIV/0!</v>
      </c>
      <c r="S94" s="3" t="e">
        <f t="shared" ref="S94:AE94" si="207">S83/(D21+D27)</f>
        <v>#DIV/0!</v>
      </c>
      <c r="T94" s="3" t="e">
        <f t="shared" ref="T94" si="208">T83/(E21+E27)</f>
        <v>#DIV/0!</v>
      </c>
      <c r="U94" s="3" t="e">
        <f t="shared" ref="U94" si="209">U83/(F21+F27)</f>
        <v>#DIV/0!</v>
      </c>
      <c r="V94" s="3" t="e">
        <f t="shared" ref="V94" si="210">V83/(G21+G27)</f>
        <v>#DIV/0!</v>
      </c>
      <c r="W94" s="3" t="e">
        <f t="shared" ref="W94" si="211">W83/(H21+H27)</f>
        <v>#DIV/0!</v>
      </c>
      <c r="X94" s="3" t="e">
        <f t="shared" ref="X94" si="212">X83/(I21+I27)</f>
        <v>#DIV/0!</v>
      </c>
      <c r="Y94" s="3" t="e">
        <f t="shared" ref="Y94" si="213">Y83/(J21+J27)</f>
        <v>#DIV/0!</v>
      </c>
      <c r="Z94" s="3" t="e">
        <f t="shared" ref="Z94" si="214">Z83/(K21+K27)</f>
        <v>#DIV/0!</v>
      </c>
      <c r="AA94" s="3" t="e">
        <f t="shared" ref="AA94" si="215">AA83/(L21+L27)</f>
        <v>#DIV/0!</v>
      </c>
      <c r="AB94" s="3" t="e">
        <f t="shared" ref="AB94" si="216">AB83/(M21+M27)</f>
        <v>#DIV/0!</v>
      </c>
      <c r="AC94" s="20" t="e">
        <f t="shared" ref="AC94" si="217">AC83/(N21+N27)</f>
        <v>#DIV/0!</v>
      </c>
      <c r="AD94" s="20" t="e">
        <f t="shared" ref="AD94" si="218">AD83/(O21+O27)</f>
        <v>#DIV/0!</v>
      </c>
      <c r="AE94" s="3" t="e">
        <f t="shared" si="207"/>
        <v>#DIV/0!</v>
      </c>
    </row>
    <row r="95" spans="1:38" x14ac:dyDescent="0.25">
      <c r="A95" t="s">
        <v>78</v>
      </c>
      <c r="D95" s="22">
        <f>D84/(D33+D38)</f>
        <v>63670.804499999998</v>
      </c>
      <c r="E95" s="2">
        <f t="shared" ref="E95:O95" si="219">E84/(E33+E38)</f>
        <v>65536.154999999999</v>
      </c>
      <c r="F95" s="2">
        <f t="shared" si="219"/>
        <v>61176.850333333336</v>
      </c>
      <c r="G95" s="2">
        <f t="shared" si="219"/>
        <v>43492.691999999995</v>
      </c>
      <c r="H95" s="2">
        <f t="shared" si="219"/>
        <v>32697.3105</v>
      </c>
      <c r="I95" s="2">
        <f t="shared" si="219"/>
        <v>25720.156499999997</v>
      </c>
      <c r="J95" s="2">
        <f t="shared" si="219"/>
        <v>21023.55</v>
      </c>
      <c r="K95" s="2">
        <f t="shared" si="219"/>
        <v>21199.2215</v>
      </c>
      <c r="L95" s="2">
        <f t="shared" si="219"/>
        <v>23552.704999999998</v>
      </c>
      <c r="M95" s="2">
        <f t="shared" si="219"/>
        <v>29213.824000000001</v>
      </c>
      <c r="N95" s="15">
        <f t="shared" si="219"/>
        <v>49250.173500000004</v>
      </c>
      <c r="O95" s="15">
        <f t="shared" si="219"/>
        <v>61345.673500000004</v>
      </c>
      <c r="P95" s="2">
        <f t="shared" ref="P95" si="220">P84/(P33+P38)</f>
        <v>41308.288666666667</v>
      </c>
      <c r="S95" s="3">
        <f>S84/(D33+D38)</f>
        <v>33862.237587804993</v>
      </c>
      <c r="T95" s="3">
        <f t="shared" ref="T95:AD95" si="221">T84/(E33+E38)</f>
        <v>34797.319139949999</v>
      </c>
      <c r="U95" s="3">
        <f t="shared" si="221"/>
        <v>32612.043303596671</v>
      </c>
      <c r="V95" s="3">
        <f t="shared" si="221"/>
        <v>23605.942989080002</v>
      </c>
      <c r="W95" s="3">
        <f t="shared" si="221"/>
        <v>17960.066418394999</v>
      </c>
      <c r="X95" s="3">
        <f t="shared" si="221"/>
        <v>14287.376153855002</v>
      </c>
      <c r="Y95" s="3">
        <f t="shared" si="221"/>
        <v>11777.283059539999</v>
      </c>
      <c r="Z95" s="3">
        <f t="shared" si="221"/>
        <v>11853.917230685</v>
      </c>
      <c r="AA95" s="3">
        <f t="shared" si="221"/>
        <v>13095.23349035</v>
      </c>
      <c r="AB95" s="3">
        <f t="shared" si="221"/>
        <v>16073.030541019998</v>
      </c>
      <c r="AC95" s="20">
        <f t="shared" si="221"/>
        <v>26419.398617015002</v>
      </c>
      <c r="AD95" s="20">
        <f t="shared" si="221"/>
        <v>32696.672668814997</v>
      </c>
      <c r="AE95" s="3">
        <f>AE84/(P33+P38)</f>
        <v>22328.990273494168</v>
      </c>
    </row>
    <row r="96" spans="1:38" x14ac:dyDescent="0.25">
      <c r="A96" t="s">
        <v>79</v>
      </c>
      <c r="D96" s="2">
        <f>D85/(D43)</f>
        <v>84446.736842105267</v>
      </c>
      <c r="E96" s="2">
        <f t="shared" ref="E96:O96" si="222">E85/(E43)</f>
        <v>85486.631578947374</v>
      </c>
      <c r="F96" s="2">
        <f t="shared" si="222"/>
        <v>89218.15789473684</v>
      </c>
      <c r="G96" s="2">
        <f t="shared" si="222"/>
        <v>79361.894736842107</v>
      </c>
      <c r="H96" s="2">
        <f t="shared" si="222"/>
        <v>67060.210526315786</v>
      </c>
      <c r="I96" s="2">
        <f t="shared" si="222"/>
        <v>59941.710526315786</v>
      </c>
      <c r="J96" s="2">
        <f t="shared" si="222"/>
        <v>54310.270270270274</v>
      </c>
      <c r="K96" s="2">
        <f t="shared" si="222"/>
        <v>53976.92105263158</v>
      </c>
      <c r="L96" s="2">
        <f t="shared" si="222"/>
        <v>52775.868421052633</v>
      </c>
      <c r="M96" s="2">
        <f t="shared" si="222"/>
        <v>60177.105263157893</v>
      </c>
      <c r="N96" s="15">
        <f t="shared" si="222"/>
        <v>72515.368421052626</v>
      </c>
      <c r="O96" s="15">
        <f t="shared" si="222"/>
        <v>86507.552631578947</v>
      </c>
      <c r="P96" s="2">
        <f t="shared" ref="P96" si="223">P85/(P43)</f>
        <v>70517.076923076922</v>
      </c>
      <c r="S96" s="3">
        <f>S85/(D43)</f>
        <v>8400.2827510526331</v>
      </c>
      <c r="T96" s="3">
        <f t="shared" ref="T96:AD96" si="224">T85/(E43)</f>
        <v>8477.7079702631563</v>
      </c>
      <c r="U96" s="3">
        <f t="shared" si="224"/>
        <v>8770.128751842105</v>
      </c>
      <c r="V96" s="3">
        <f t="shared" si="224"/>
        <v>7938.5710163157901</v>
      </c>
      <c r="W96" s="3">
        <f t="shared" si="224"/>
        <v>6919.7765302631597</v>
      </c>
      <c r="X96" s="3">
        <f t="shared" si="224"/>
        <v>6261.085832894737</v>
      </c>
      <c r="Y96" s="3">
        <f t="shared" si="224"/>
        <v>5740.4555616216212</v>
      </c>
      <c r="Z96" s="3">
        <f t="shared" si="224"/>
        <v>5675.2434089473691</v>
      </c>
      <c r="AA96" s="3">
        <f t="shared" si="224"/>
        <v>5583.6522278947359</v>
      </c>
      <c r="AB96" s="3">
        <f t="shared" si="224"/>
        <v>6159.9461960526314</v>
      </c>
      <c r="AC96" s="20">
        <f t="shared" si="224"/>
        <v>7344.8376881578952</v>
      </c>
      <c r="AD96" s="20">
        <f t="shared" si="224"/>
        <v>8566.7164871052646</v>
      </c>
      <c r="AE96" s="3">
        <f>AE85/(P43)</f>
        <v>7156.3053021758251</v>
      </c>
    </row>
    <row r="97" spans="1:31" x14ac:dyDescent="0.25">
      <c r="A97" t="s">
        <v>73</v>
      </c>
      <c r="D97" s="13">
        <f>D86/(D49+D51)</f>
        <v>636161.28571428568</v>
      </c>
      <c r="E97" s="13">
        <f t="shared" ref="E97:O97" si="225">E86/(E49+E51)</f>
        <v>604973.28571428568</v>
      </c>
      <c r="F97" s="13">
        <f t="shared" si="225"/>
        <v>571699.28571428568</v>
      </c>
      <c r="G97" s="13">
        <f t="shared" si="225"/>
        <v>503046.75</v>
      </c>
      <c r="H97" s="13">
        <f t="shared" si="225"/>
        <v>555334.85714285716</v>
      </c>
      <c r="I97" s="13">
        <f t="shared" si="225"/>
        <v>515481</v>
      </c>
      <c r="J97" s="13">
        <f t="shared" si="225"/>
        <v>470769.375</v>
      </c>
      <c r="K97" s="13">
        <f t="shared" si="225"/>
        <v>478459.875</v>
      </c>
      <c r="L97" s="13">
        <f t="shared" si="225"/>
        <v>498958.5</v>
      </c>
      <c r="M97" s="13">
        <f t="shared" si="225"/>
        <v>479251</v>
      </c>
      <c r="N97" s="23">
        <f t="shared" si="225"/>
        <v>552520.625</v>
      </c>
      <c r="O97" s="23">
        <f t="shared" si="225"/>
        <v>561648.42857142852</v>
      </c>
      <c r="P97" s="13">
        <f t="shared" ref="P97" si="226">P86/(P49+P51)</f>
        <v>533123.73333333328</v>
      </c>
      <c r="S97" s="3">
        <f>S86/(D49+D51)</f>
        <v>19512.555615844594</v>
      </c>
      <c r="T97" s="3">
        <f t="shared" ref="T97:AD97" si="227">T86/(E49+E51)</f>
        <v>19123.211433694898</v>
      </c>
      <c r="U97" s="3">
        <f t="shared" si="227"/>
        <v>17965.452932982171</v>
      </c>
      <c r="V97" s="3">
        <f t="shared" si="227"/>
        <v>15870.896626843511</v>
      </c>
      <c r="W97" s="3">
        <f t="shared" si="227"/>
        <v>17560.715376947996</v>
      </c>
      <c r="X97" s="3">
        <f t="shared" si="227"/>
        <v>16686.975181269994</v>
      </c>
      <c r="Y97" s="3">
        <f t="shared" si="227"/>
        <v>15337.565972228806</v>
      </c>
      <c r="Z97" s="3">
        <f t="shared" si="227"/>
        <v>15528.282541649394</v>
      </c>
      <c r="AA97" s="3">
        <f t="shared" si="227"/>
        <v>15986.8190377132</v>
      </c>
      <c r="AB97" s="3">
        <f t="shared" si="227"/>
        <v>15373.211943583474</v>
      </c>
      <c r="AC97" s="20">
        <f t="shared" si="227"/>
        <v>16782.399879909128</v>
      </c>
      <c r="AD97" s="20">
        <f t="shared" si="227"/>
        <v>18348.363495382793</v>
      </c>
      <c r="AE97" s="3">
        <f>AE86/(P49+P51)</f>
        <v>16926.825847425302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52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5"/>
  <sheetViews>
    <sheetView zoomScale="83" zoomScaleNormal="83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N8" sqref="N8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2.140625" style="14" customWidth="1"/>
    <col min="18" max="18" width="10.8554687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" customWidth="1"/>
    <col min="29" max="30" width="11.5703125" style="14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90</v>
      </c>
      <c r="R1" s="236" t="s">
        <v>291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7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63</v>
      </c>
      <c r="B3" t="s">
        <v>14</v>
      </c>
      <c r="D3" s="10">
        <v>85799</v>
      </c>
      <c r="E3" s="10">
        <v>85793</v>
      </c>
      <c r="F3" s="10">
        <v>85933</v>
      </c>
      <c r="G3" s="10">
        <v>86018</v>
      </c>
      <c r="H3" s="10">
        <v>85840</v>
      </c>
      <c r="I3" s="10">
        <v>86412</v>
      </c>
      <c r="J3" s="10">
        <v>86299</v>
      </c>
      <c r="K3" s="10">
        <v>86548</v>
      </c>
      <c r="L3" s="10">
        <v>86813</v>
      </c>
      <c r="M3" s="10">
        <v>86921</v>
      </c>
      <c r="N3" s="10">
        <v>87139</v>
      </c>
      <c r="O3" s="10">
        <v>87688</v>
      </c>
      <c r="P3" s="2">
        <f>SUM(D3:O3)</f>
        <v>1037203</v>
      </c>
      <c r="Q3" s="15">
        <v>9</v>
      </c>
      <c r="R3" s="249">
        <v>6</v>
      </c>
      <c r="S3" s="3">
        <f t="shared" ref="S3:AD14" si="0">$R3*D3</f>
        <v>514794</v>
      </c>
      <c r="T3" s="3">
        <f t="shared" si="0"/>
        <v>514758</v>
      </c>
      <c r="U3" s="3">
        <f t="shared" si="0"/>
        <v>515598</v>
      </c>
      <c r="V3" s="3">
        <f t="shared" si="0"/>
        <v>516108</v>
      </c>
      <c r="W3" s="3">
        <f t="shared" si="0"/>
        <v>515040</v>
      </c>
      <c r="X3" s="3">
        <f t="shared" si="0"/>
        <v>518472</v>
      </c>
      <c r="Y3" s="3">
        <f t="shared" si="0"/>
        <v>517794</v>
      </c>
      <c r="Z3" s="3">
        <f t="shared" si="0"/>
        <v>519288</v>
      </c>
      <c r="AA3" s="3">
        <f t="shared" si="0"/>
        <v>520878</v>
      </c>
      <c r="AB3" s="3">
        <f t="shared" si="0"/>
        <v>521526</v>
      </c>
      <c r="AC3" s="20">
        <f t="shared" si="0"/>
        <v>522834</v>
      </c>
      <c r="AD3" s="20">
        <f t="shared" si="0"/>
        <v>526128</v>
      </c>
      <c r="AE3" s="3">
        <f>SUM(S3:AD3)</f>
        <v>6223218</v>
      </c>
    </row>
    <row r="4" spans="1:31" x14ac:dyDescent="0.25">
      <c r="B4" t="s">
        <v>82</v>
      </c>
      <c r="D4" s="10">
        <v>10156318.48404</v>
      </c>
      <c r="E4" s="10">
        <v>9421634.2855500001</v>
      </c>
      <c r="F4" s="10">
        <v>8242444.5673700003</v>
      </c>
      <c r="G4" s="10">
        <v>6779974.6614100002</v>
      </c>
      <c r="H4" s="10">
        <v>3439935.0484000002</v>
      </c>
      <c r="I4" s="10">
        <v>2326083.1373800002</v>
      </c>
      <c r="J4" s="10">
        <v>1544012.5733099999</v>
      </c>
      <c r="K4" s="10">
        <v>1127111.1918800001</v>
      </c>
      <c r="L4" s="10">
        <v>1236835.4676699999</v>
      </c>
      <c r="M4" s="10">
        <v>2322407.2309099999</v>
      </c>
      <c r="N4" s="10">
        <v>6851729.03706</v>
      </c>
      <c r="O4" s="10">
        <v>9871865.7491599992</v>
      </c>
      <c r="P4" s="2">
        <f t="shared" ref="P4:P31" si="1">SUM(D4:O4)</f>
        <v>63320351.434140004</v>
      </c>
      <c r="Q4" s="15">
        <f>IF(P4-P3*Q3&gt;0,P4-P3*Q3,0)</f>
        <v>53985524.434140004</v>
      </c>
      <c r="R4" s="250">
        <f>0.69026</f>
        <v>0.69025999999999998</v>
      </c>
      <c r="S4" s="3">
        <f t="shared" si="0"/>
        <v>7010500.3967934502</v>
      </c>
      <c r="T4" s="3">
        <f t="shared" si="0"/>
        <v>6503377.2819437431</v>
      </c>
      <c r="U4" s="3">
        <f t="shared" si="0"/>
        <v>5689429.7870728159</v>
      </c>
      <c r="V4" s="3">
        <f t="shared" si="0"/>
        <v>4679945.3097848669</v>
      </c>
      <c r="W4" s="3">
        <f t="shared" si="0"/>
        <v>2374449.5665085842</v>
      </c>
      <c r="X4" s="3">
        <f t="shared" si="0"/>
        <v>1605602.146407919</v>
      </c>
      <c r="Y4" s="3">
        <f t="shared" si="0"/>
        <v>1065770.1188529604</v>
      </c>
      <c r="Z4" s="3">
        <f t="shared" si="0"/>
        <v>777999.77130708878</v>
      </c>
      <c r="AA4" s="3">
        <f t="shared" si="0"/>
        <v>853738.04991389415</v>
      </c>
      <c r="AB4" s="3">
        <f t="shared" si="0"/>
        <v>1603064.8152079366</v>
      </c>
      <c r="AC4" s="20">
        <f t="shared" si="0"/>
        <v>4729474.4851210359</v>
      </c>
      <c r="AD4" s="20">
        <f t="shared" si="0"/>
        <v>6814154.0520151807</v>
      </c>
      <c r="AE4" s="3">
        <f t="shared" ref="AE4:AE24" si="2">SUM(S4:AD4)</f>
        <v>43707505.780929469</v>
      </c>
    </row>
    <row r="5" spans="1:31" x14ac:dyDescent="0.25">
      <c r="A5" t="s">
        <v>65</v>
      </c>
      <c r="B5" t="s">
        <v>14</v>
      </c>
      <c r="D5" s="10">
        <v>1540</v>
      </c>
      <c r="E5" s="10">
        <v>1527</v>
      </c>
      <c r="F5" s="10">
        <v>1548</v>
      </c>
      <c r="G5" s="10">
        <v>1535</v>
      </c>
      <c r="H5" s="10">
        <v>1522</v>
      </c>
      <c r="I5" s="10">
        <v>1549</v>
      </c>
      <c r="J5" s="10">
        <v>1532</v>
      </c>
      <c r="K5" s="10">
        <v>1520</v>
      </c>
      <c r="L5" s="10">
        <v>1533</v>
      </c>
      <c r="M5" s="10">
        <v>1539</v>
      </c>
      <c r="N5" s="10">
        <v>1535</v>
      </c>
      <c r="O5" s="10">
        <v>1554</v>
      </c>
      <c r="P5" s="2">
        <f t="shared" si="1"/>
        <v>18434</v>
      </c>
      <c r="Q5" s="15">
        <v>634</v>
      </c>
      <c r="R5" s="249">
        <v>106.18</v>
      </c>
      <c r="S5" s="3">
        <f t="shared" si="0"/>
        <v>163517.20000000001</v>
      </c>
      <c r="T5" s="3">
        <f t="shared" si="0"/>
        <v>162136.86000000002</v>
      </c>
      <c r="U5" s="3">
        <f t="shared" si="0"/>
        <v>164366.64000000001</v>
      </c>
      <c r="V5" s="3">
        <f t="shared" si="0"/>
        <v>162986.30000000002</v>
      </c>
      <c r="W5" s="3">
        <f t="shared" si="0"/>
        <v>161605.96000000002</v>
      </c>
      <c r="X5" s="3">
        <f t="shared" si="0"/>
        <v>164472.82</v>
      </c>
      <c r="Y5" s="3">
        <f t="shared" si="0"/>
        <v>162667.76</v>
      </c>
      <c r="Z5" s="3">
        <f t="shared" si="0"/>
        <v>161393.60000000001</v>
      </c>
      <c r="AA5" s="3">
        <f t="shared" si="0"/>
        <v>162773.94</v>
      </c>
      <c r="AB5" s="3">
        <f t="shared" si="0"/>
        <v>163411.02000000002</v>
      </c>
      <c r="AC5" s="20">
        <f t="shared" si="0"/>
        <v>162986.30000000002</v>
      </c>
      <c r="AD5" s="20">
        <f t="shared" si="0"/>
        <v>165003.72</v>
      </c>
      <c r="AE5" s="3">
        <f t="shared" si="2"/>
        <v>1957322.1200000003</v>
      </c>
    </row>
    <row r="6" spans="1:31" x14ac:dyDescent="0.25">
      <c r="B6" t="s">
        <v>82</v>
      </c>
      <c r="D6" s="10">
        <v>303427.12134000001</v>
      </c>
      <c r="E6" s="10">
        <v>302155.22266000003</v>
      </c>
      <c r="F6" s="10">
        <v>304233.07261999999</v>
      </c>
      <c r="G6" s="10">
        <v>298293.50273000001</v>
      </c>
      <c r="H6" s="10">
        <v>272714.94601999997</v>
      </c>
      <c r="I6" s="10">
        <v>254355.43706</v>
      </c>
      <c r="J6" s="10">
        <v>216517.29715</v>
      </c>
      <c r="K6" s="10">
        <v>188128.62711</v>
      </c>
      <c r="L6" s="10">
        <v>200347.37276</v>
      </c>
      <c r="M6" s="10">
        <v>257099.83707000001</v>
      </c>
      <c r="N6" s="10">
        <v>300603.71999000001</v>
      </c>
      <c r="O6" s="10">
        <v>306310.25566000002</v>
      </c>
      <c r="P6" s="2">
        <f t="shared" si="1"/>
        <v>3204186.4121700004</v>
      </c>
      <c r="Q6" s="15">
        <f>IF(P6-P5*Q5&gt;0,P6-P5*Q5,0)</f>
        <v>0</v>
      </c>
      <c r="R6" s="250"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0"/>
        <v>0</v>
      </c>
      <c r="AB6" s="3">
        <f t="shared" si="0"/>
        <v>0</v>
      </c>
      <c r="AC6" s="20">
        <f t="shared" si="0"/>
        <v>0</v>
      </c>
      <c r="AD6" s="20">
        <f t="shared" si="0"/>
        <v>0</v>
      </c>
      <c r="AE6" s="3">
        <f t="shared" si="2"/>
        <v>0</v>
      </c>
    </row>
    <row r="7" spans="1:31" x14ac:dyDescent="0.25">
      <c r="B7" t="s">
        <v>83</v>
      </c>
      <c r="D7" s="10">
        <v>1017926.48291</v>
      </c>
      <c r="E7" s="10">
        <v>993664.53281</v>
      </c>
      <c r="F7" s="10">
        <v>944814.79697000002</v>
      </c>
      <c r="G7" s="10">
        <v>794537.99372999999</v>
      </c>
      <c r="H7" s="10">
        <v>484900.53986000002</v>
      </c>
      <c r="I7" s="10">
        <v>407689.58755</v>
      </c>
      <c r="J7" s="10">
        <v>338067.37796000001</v>
      </c>
      <c r="K7" s="10">
        <v>286652.40049000003</v>
      </c>
      <c r="L7" s="10">
        <v>312510.38050999999</v>
      </c>
      <c r="M7" s="10">
        <v>422156.00141000003</v>
      </c>
      <c r="N7" s="10">
        <v>820083.71649999998</v>
      </c>
      <c r="O7" s="10">
        <v>994747.79598000005</v>
      </c>
      <c r="P7" s="2">
        <f t="shared" si="1"/>
        <v>7817751.6066800002</v>
      </c>
      <c r="Q7" s="15">
        <f>IF(P6+P7-P5*Q5&gt;0,P7+P6-P5*Q5,0)</f>
        <v>0</v>
      </c>
      <c r="R7" s="250">
        <f>0.5233</f>
        <v>0.52329999999999999</v>
      </c>
      <c r="S7" s="3">
        <f t="shared" si="0"/>
        <v>532680.928506803</v>
      </c>
      <c r="T7" s="3">
        <f t="shared" si="0"/>
        <v>519984.65001947299</v>
      </c>
      <c r="U7" s="3">
        <f t="shared" si="0"/>
        <v>494421.58325440099</v>
      </c>
      <c r="V7" s="3">
        <f t="shared" si="0"/>
        <v>415781.73211890896</v>
      </c>
      <c r="W7" s="3">
        <f t="shared" si="0"/>
        <v>253748.452508738</v>
      </c>
      <c r="X7" s="3">
        <f t="shared" si="0"/>
        <v>213343.961164915</v>
      </c>
      <c r="Y7" s="3">
        <f t="shared" si="0"/>
        <v>176910.65888646801</v>
      </c>
      <c r="Z7" s="3">
        <f t="shared" si="0"/>
        <v>150005.201176417</v>
      </c>
      <c r="AA7" s="3">
        <f t="shared" si="0"/>
        <v>163536.68212088299</v>
      </c>
      <c r="AB7" s="3">
        <f t="shared" si="0"/>
        <v>220914.235537853</v>
      </c>
      <c r="AC7" s="20">
        <f t="shared" si="0"/>
        <v>429149.80884444999</v>
      </c>
      <c r="AD7" s="20">
        <f t="shared" si="0"/>
        <v>520551.52163633402</v>
      </c>
      <c r="AE7" s="3">
        <f t="shared" si="2"/>
        <v>4091029.4157756437</v>
      </c>
    </row>
    <row r="8" spans="1:31" x14ac:dyDescent="0.25">
      <c r="B8" t="s">
        <v>84</v>
      </c>
      <c r="D8" s="10">
        <v>1635977.1065799999</v>
      </c>
      <c r="E8" s="10">
        <v>1478088.3995699999</v>
      </c>
      <c r="F8" s="10">
        <v>1317368.0290000001</v>
      </c>
      <c r="G8" s="10">
        <v>965479.24101999996</v>
      </c>
      <c r="H8" s="10">
        <v>466020.75890000002</v>
      </c>
      <c r="I8" s="10">
        <v>422611.50351000001</v>
      </c>
      <c r="J8" s="10">
        <v>345649.25121999998</v>
      </c>
      <c r="K8" s="10">
        <v>281803.33270999999</v>
      </c>
      <c r="L8" s="10">
        <v>309170.07224000001</v>
      </c>
      <c r="M8" s="10">
        <v>392590.51393000002</v>
      </c>
      <c r="N8" s="10">
        <v>976264.14578999998</v>
      </c>
      <c r="O8" s="10">
        <v>1501773.2425800001</v>
      </c>
      <c r="P8" s="2">
        <f t="shared" si="1"/>
        <v>10092795.59705</v>
      </c>
      <c r="Q8" s="15">
        <f>IF(P6+P7+P8-P5*Q5&gt;0,P8+P7+P6-P5*Q5,P8)</f>
        <v>9427577.6159000024</v>
      </c>
      <c r="R8" s="250">
        <f>0.44045</f>
        <v>0.44045000000000001</v>
      </c>
      <c r="S8" s="3">
        <f t="shared" si="0"/>
        <v>720566.11659316102</v>
      </c>
      <c r="T8" s="3">
        <f t="shared" si="0"/>
        <v>651024.03559060651</v>
      </c>
      <c r="U8" s="3">
        <f t="shared" si="0"/>
        <v>580234.74837305001</v>
      </c>
      <c r="V8" s="3">
        <f t="shared" si="0"/>
        <v>425245.331707259</v>
      </c>
      <c r="W8" s="3">
        <f t="shared" si="0"/>
        <v>205258.84325750501</v>
      </c>
      <c r="X8" s="3">
        <f t="shared" si="0"/>
        <v>186139.2367209795</v>
      </c>
      <c r="Y8" s="3">
        <f t="shared" si="0"/>
        <v>152241.21269984898</v>
      </c>
      <c r="Z8" s="3">
        <f t="shared" si="0"/>
        <v>124120.2778921195</v>
      </c>
      <c r="AA8" s="3">
        <f t="shared" si="0"/>
        <v>136173.95831810799</v>
      </c>
      <c r="AB8" s="3">
        <f t="shared" si="0"/>
        <v>172916.49186046852</v>
      </c>
      <c r="AC8" s="20">
        <f t="shared" si="0"/>
        <v>429995.54301320552</v>
      </c>
      <c r="AD8" s="20">
        <f t="shared" si="0"/>
        <v>661456.02469436103</v>
      </c>
      <c r="AE8" s="3">
        <f t="shared" si="2"/>
        <v>4445371.8207206726</v>
      </c>
    </row>
    <row r="9" spans="1:31" x14ac:dyDescent="0.25">
      <c r="B9" t="s">
        <v>85</v>
      </c>
      <c r="D9" s="10">
        <v>356244.88367000001</v>
      </c>
      <c r="E9" s="10">
        <v>302813.19099999999</v>
      </c>
      <c r="F9" s="10">
        <v>255489.42767</v>
      </c>
      <c r="G9" s="10">
        <v>188539.26199999999</v>
      </c>
      <c r="H9" s="10">
        <v>129102.469</v>
      </c>
      <c r="I9" s="10">
        <v>433358.69900000002</v>
      </c>
      <c r="J9" s="10">
        <v>20380.891</v>
      </c>
      <c r="K9" s="10">
        <v>211312.87599999999</v>
      </c>
      <c r="L9" s="10">
        <v>285149.80200000003</v>
      </c>
      <c r="M9" s="10">
        <v>191946.595</v>
      </c>
      <c r="N9" s="10">
        <v>241112.23699999999</v>
      </c>
      <c r="O9" s="10">
        <v>353266.049</v>
      </c>
      <c r="P9" s="2">
        <f t="shared" si="1"/>
        <v>2968716.3823400005</v>
      </c>
      <c r="Q9" s="15">
        <f>P9</f>
        <v>2968716.3823400005</v>
      </c>
      <c r="R9" s="250">
        <f>0.38567</f>
        <v>0.38567000000000001</v>
      </c>
      <c r="S9" s="3">
        <f t="shared" si="0"/>
        <v>137392.9642850089</v>
      </c>
      <c r="T9" s="3">
        <f t="shared" si="0"/>
        <v>116785.96337297</v>
      </c>
      <c r="U9" s="3">
        <f t="shared" si="0"/>
        <v>98534.6075694889</v>
      </c>
      <c r="V9" s="3">
        <f t="shared" si="0"/>
        <v>72713.937175539992</v>
      </c>
      <c r="W9" s="3">
        <f t="shared" si="0"/>
        <v>49790.949219230002</v>
      </c>
      <c r="X9" s="3">
        <f t="shared" si="0"/>
        <v>167133.44944333003</v>
      </c>
      <c r="Y9" s="3">
        <f t="shared" si="0"/>
        <v>7860.2982319700004</v>
      </c>
      <c r="Z9" s="3">
        <f t="shared" si="0"/>
        <v>81497.036886920003</v>
      </c>
      <c r="AA9" s="3">
        <f t="shared" si="0"/>
        <v>109973.72413734002</v>
      </c>
      <c r="AB9" s="3">
        <f t="shared" si="0"/>
        <v>74028.04329365</v>
      </c>
      <c r="AC9" s="20">
        <f t="shared" si="0"/>
        <v>92989.75644379</v>
      </c>
      <c r="AD9" s="20">
        <f t="shared" si="0"/>
        <v>136244.11711783</v>
      </c>
      <c r="AE9" s="3">
        <f t="shared" si="2"/>
        <v>1144944.847177068</v>
      </c>
    </row>
    <row r="10" spans="1:31" x14ac:dyDescent="0.25">
      <c r="A10" t="s">
        <v>66</v>
      </c>
      <c r="B10" t="s">
        <v>14</v>
      </c>
      <c r="D10" s="10">
        <v>2</v>
      </c>
      <c r="E10" s="10">
        <v>2</v>
      </c>
      <c r="F10" s="10">
        <v>2</v>
      </c>
      <c r="G10" s="10">
        <v>2</v>
      </c>
      <c r="H10" s="10">
        <v>2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2">
        <f t="shared" si="1"/>
        <v>24</v>
      </c>
      <c r="Q10" s="15"/>
      <c r="R10" s="249">
        <v>106.18</v>
      </c>
      <c r="S10" s="3">
        <f t="shared" si="0"/>
        <v>212.36</v>
      </c>
      <c r="T10" s="3">
        <f t="shared" si="0"/>
        <v>212.36</v>
      </c>
      <c r="U10" s="3">
        <f t="shared" si="0"/>
        <v>212.36</v>
      </c>
      <c r="V10" s="3">
        <f t="shared" si="0"/>
        <v>212.36</v>
      </c>
      <c r="W10" s="3">
        <f t="shared" si="0"/>
        <v>212.36</v>
      </c>
      <c r="X10" s="3">
        <f t="shared" si="0"/>
        <v>212.36</v>
      </c>
      <c r="Y10" s="3">
        <f t="shared" si="0"/>
        <v>212.36</v>
      </c>
      <c r="Z10" s="3">
        <f t="shared" si="0"/>
        <v>212.36</v>
      </c>
      <c r="AA10" s="3">
        <f t="shared" si="0"/>
        <v>212.36</v>
      </c>
      <c r="AB10" s="3">
        <f t="shared" si="0"/>
        <v>212.36</v>
      </c>
      <c r="AC10" s="20">
        <f t="shared" si="0"/>
        <v>212.36</v>
      </c>
      <c r="AD10" s="20">
        <f t="shared" si="0"/>
        <v>212.36</v>
      </c>
      <c r="AE10" s="3">
        <f t="shared" si="2"/>
        <v>2548.3200000000011</v>
      </c>
    </row>
    <row r="11" spans="1:31" x14ac:dyDescent="0.25">
      <c r="B11" t="s">
        <v>82</v>
      </c>
      <c r="D11" s="10">
        <v>200</v>
      </c>
      <c r="E11" s="10">
        <v>200</v>
      </c>
      <c r="F11" s="10">
        <v>203.13200000000001</v>
      </c>
      <c r="G11" s="10">
        <v>400</v>
      </c>
      <c r="H11" s="10">
        <v>400</v>
      </c>
      <c r="I11" s="10">
        <v>331</v>
      </c>
      <c r="J11" s="10">
        <v>215.684</v>
      </c>
      <c r="K11" s="10">
        <v>205.26400000000001</v>
      </c>
      <c r="L11" s="10">
        <v>400</v>
      </c>
      <c r="M11" s="10">
        <v>400</v>
      </c>
      <c r="N11" s="10">
        <v>400</v>
      </c>
      <c r="O11" s="10">
        <v>400</v>
      </c>
      <c r="P11" s="2">
        <f t="shared" si="1"/>
        <v>3755.08</v>
      </c>
      <c r="Q11" s="15"/>
      <c r="R11" s="250"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20">
        <f t="shared" si="0"/>
        <v>0</v>
      </c>
      <c r="AD11" s="20">
        <f t="shared" si="0"/>
        <v>0</v>
      </c>
      <c r="AE11" s="3">
        <f t="shared" si="2"/>
        <v>0</v>
      </c>
    </row>
    <row r="12" spans="1:31" x14ac:dyDescent="0.25">
      <c r="B12" t="s">
        <v>83</v>
      </c>
      <c r="D12" s="10">
        <v>780.18200000000002</v>
      </c>
      <c r="E12" s="10">
        <v>615.22299999999996</v>
      </c>
      <c r="F12" s="10">
        <v>625.06799999999998</v>
      </c>
      <c r="G12" s="10">
        <v>1192.68</v>
      </c>
      <c r="H12" s="10">
        <v>926.43899999999996</v>
      </c>
      <c r="I12" s="10">
        <v>800</v>
      </c>
      <c r="J12" s="10">
        <v>800</v>
      </c>
      <c r="K12" s="10">
        <v>800</v>
      </c>
      <c r="L12" s="10">
        <v>826.524</v>
      </c>
      <c r="M12" s="10">
        <v>832.4</v>
      </c>
      <c r="N12" s="10">
        <v>1385.88</v>
      </c>
      <c r="O12" s="10">
        <v>1394.864</v>
      </c>
      <c r="P12" s="2">
        <f t="shared" si="1"/>
        <v>10979.26</v>
      </c>
      <c r="Q12" s="15"/>
      <c r="R12" s="250">
        <f>0.56084</f>
        <v>0.56084000000000001</v>
      </c>
      <c r="S12" s="3">
        <f t="shared" si="0"/>
        <v>437.55727288000003</v>
      </c>
      <c r="T12" s="3">
        <f t="shared" si="0"/>
        <v>345.04166731999999</v>
      </c>
      <c r="U12" s="3">
        <f t="shared" si="0"/>
        <v>350.56313712000002</v>
      </c>
      <c r="V12" s="3">
        <f t="shared" si="0"/>
        <v>668.90265120000004</v>
      </c>
      <c r="W12" s="3">
        <f t="shared" si="0"/>
        <v>519.58404875999997</v>
      </c>
      <c r="X12" s="3">
        <f t="shared" si="0"/>
        <v>448.67200000000003</v>
      </c>
      <c r="Y12" s="3">
        <f t="shared" si="0"/>
        <v>448.67200000000003</v>
      </c>
      <c r="Z12" s="3">
        <f t="shared" si="0"/>
        <v>448.67200000000003</v>
      </c>
      <c r="AA12" s="3">
        <f t="shared" si="0"/>
        <v>463.54772015999998</v>
      </c>
      <c r="AB12" s="3">
        <f t="shared" si="0"/>
        <v>466.84321599999998</v>
      </c>
      <c r="AC12" s="20">
        <f t="shared" si="0"/>
        <v>777.25693920000003</v>
      </c>
      <c r="AD12" s="20">
        <f t="shared" si="0"/>
        <v>782.29552576000003</v>
      </c>
      <c r="AE12" s="3">
        <f t="shared" si="2"/>
        <v>6157.6081784000007</v>
      </c>
    </row>
    <row r="13" spans="1:31" x14ac:dyDescent="0.25">
      <c r="B13" t="s">
        <v>84</v>
      </c>
      <c r="D13" s="10"/>
      <c r="E13" s="10"/>
      <c r="F13" s="10"/>
      <c r="G13" s="10">
        <v>9000</v>
      </c>
      <c r="H13" s="10">
        <v>9000</v>
      </c>
      <c r="I13" s="10">
        <v>9000</v>
      </c>
      <c r="J13" s="10">
        <v>9000</v>
      </c>
      <c r="K13" s="10">
        <v>9000</v>
      </c>
      <c r="L13" s="10">
        <v>9000</v>
      </c>
      <c r="M13" s="10">
        <v>9000</v>
      </c>
      <c r="N13" s="10">
        <v>9000</v>
      </c>
      <c r="O13" s="10">
        <v>9000</v>
      </c>
      <c r="P13" s="2">
        <f t="shared" si="1"/>
        <v>81000</v>
      </c>
      <c r="Q13" s="15"/>
      <c r="R13" s="250">
        <f>0.47799</f>
        <v>0.47799000000000003</v>
      </c>
      <c r="S13" s="3">
        <f t="shared" si="0"/>
        <v>0</v>
      </c>
      <c r="T13" s="3">
        <f t="shared" si="0"/>
        <v>0</v>
      </c>
      <c r="U13" s="3">
        <f t="shared" si="0"/>
        <v>0</v>
      </c>
      <c r="V13" s="3">
        <f t="shared" si="0"/>
        <v>4301.91</v>
      </c>
      <c r="W13" s="3">
        <f t="shared" si="0"/>
        <v>4301.91</v>
      </c>
      <c r="X13" s="3">
        <f t="shared" si="0"/>
        <v>4301.91</v>
      </c>
      <c r="Y13" s="3">
        <f t="shared" si="0"/>
        <v>4301.91</v>
      </c>
      <c r="Z13" s="3">
        <f t="shared" si="0"/>
        <v>4301.91</v>
      </c>
      <c r="AA13" s="3">
        <f t="shared" si="0"/>
        <v>4301.91</v>
      </c>
      <c r="AB13" s="3">
        <f t="shared" si="0"/>
        <v>4301.91</v>
      </c>
      <c r="AC13" s="20">
        <f t="shared" si="0"/>
        <v>4301.91</v>
      </c>
      <c r="AD13" s="20">
        <f t="shared" si="0"/>
        <v>4301.91</v>
      </c>
      <c r="AE13" s="3">
        <f t="shared" si="2"/>
        <v>38717.19</v>
      </c>
    </row>
    <row r="14" spans="1:31" x14ac:dyDescent="0.25">
      <c r="B14" t="s">
        <v>85</v>
      </c>
      <c r="D14" s="10"/>
      <c r="E14" s="10"/>
      <c r="F14" s="10"/>
      <c r="G14" s="10">
        <v>1078.5440000000001</v>
      </c>
      <c r="H14" s="10">
        <v>57045.161</v>
      </c>
      <c r="I14" s="10">
        <v>49549.279999999999</v>
      </c>
      <c r="J14" s="10">
        <v>53452.745000000003</v>
      </c>
      <c r="K14" s="10">
        <v>21525.644</v>
      </c>
      <c r="L14" s="10">
        <v>43646.328000000001</v>
      </c>
      <c r="M14" s="10">
        <v>58682.978000000003</v>
      </c>
      <c r="N14" s="10">
        <v>37493.459000000003</v>
      </c>
      <c r="O14" s="10">
        <v>632.08699999999999</v>
      </c>
      <c r="P14" s="2">
        <f t="shared" si="1"/>
        <v>323106.22600000008</v>
      </c>
      <c r="Q14" s="15"/>
      <c r="R14" s="250">
        <f>0.42321</f>
        <v>0.42320999999999998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456.45060624000001</v>
      </c>
      <c r="W14" s="3">
        <f t="shared" si="0"/>
        <v>24142.08258681</v>
      </c>
      <c r="X14" s="3">
        <f t="shared" si="0"/>
        <v>20969.7507888</v>
      </c>
      <c r="Y14" s="3">
        <f t="shared" si="0"/>
        <v>22621.736211449999</v>
      </c>
      <c r="Z14" s="3">
        <f t="shared" si="0"/>
        <v>9109.8677972400001</v>
      </c>
      <c r="AA14" s="3">
        <f t="shared" si="0"/>
        <v>18471.562472879999</v>
      </c>
      <c r="AB14" s="3">
        <f t="shared" si="0"/>
        <v>24835.22311938</v>
      </c>
      <c r="AC14" s="20">
        <f t="shared" si="0"/>
        <v>15867.60678339</v>
      </c>
      <c r="AD14" s="20">
        <f t="shared" si="0"/>
        <v>267.50553926999999</v>
      </c>
      <c r="AE14" s="3">
        <f t="shared" si="2"/>
        <v>136741.78590546001</v>
      </c>
    </row>
    <row r="15" spans="1:31" x14ac:dyDescent="0.25">
      <c r="A15" t="s">
        <v>69</v>
      </c>
      <c r="B15" t="s">
        <v>14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/>
      <c r="O15" s="10"/>
      <c r="P15" s="2">
        <f t="shared" si="1"/>
        <v>0</v>
      </c>
      <c r="Q15" s="15"/>
      <c r="R15" s="249">
        <v>0</v>
      </c>
      <c r="S15" s="3">
        <f t="shared" ref="S15:AD17" si="3">$R15*D15</f>
        <v>0</v>
      </c>
      <c r="T15" s="3">
        <f t="shared" si="3"/>
        <v>0</v>
      </c>
      <c r="U15" s="3">
        <f t="shared" si="3"/>
        <v>0</v>
      </c>
      <c r="V15" s="3">
        <f t="shared" si="3"/>
        <v>0</v>
      </c>
      <c r="W15" s="3">
        <f t="shared" si="3"/>
        <v>0</v>
      </c>
      <c r="X15" s="3">
        <f t="shared" si="3"/>
        <v>0</v>
      </c>
      <c r="Y15" s="3">
        <f t="shared" si="3"/>
        <v>0</v>
      </c>
      <c r="Z15" s="3">
        <f t="shared" si="3"/>
        <v>0</v>
      </c>
      <c r="AA15" s="3">
        <f t="shared" si="3"/>
        <v>0</v>
      </c>
      <c r="AB15" s="3">
        <f t="shared" si="3"/>
        <v>0</v>
      </c>
      <c r="AC15" s="20">
        <f t="shared" si="3"/>
        <v>0</v>
      </c>
      <c r="AD15" s="20">
        <f t="shared" si="3"/>
        <v>0</v>
      </c>
      <c r="AE15" s="3">
        <f t="shared" si="2"/>
        <v>0</v>
      </c>
    </row>
    <row r="16" spans="1:31" x14ac:dyDescent="0.25">
      <c r="B16" t="s">
        <v>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  <c r="O16" s="10"/>
      <c r="P16" s="2">
        <f t="shared" si="1"/>
        <v>0</v>
      </c>
      <c r="Q16" s="15"/>
      <c r="R16" s="250">
        <f>0.37973</f>
        <v>0.37973000000000001</v>
      </c>
      <c r="S16" s="3">
        <f t="shared" si="3"/>
        <v>0</v>
      </c>
      <c r="T16" s="3">
        <f t="shared" si="3"/>
        <v>0</v>
      </c>
      <c r="U16" s="3">
        <f t="shared" si="3"/>
        <v>0</v>
      </c>
      <c r="V16" s="3">
        <f t="shared" si="3"/>
        <v>0</v>
      </c>
      <c r="W16" s="3">
        <f t="shared" si="3"/>
        <v>0</v>
      </c>
      <c r="X16" s="3">
        <f t="shared" si="3"/>
        <v>0</v>
      </c>
      <c r="Y16" s="3">
        <f t="shared" si="3"/>
        <v>0</v>
      </c>
      <c r="Z16" s="3">
        <f t="shared" si="3"/>
        <v>0</v>
      </c>
      <c r="AA16" s="3">
        <f t="shared" si="3"/>
        <v>0</v>
      </c>
      <c r="AB16" s="3">
        <f t="shared" si="3"/>
        <v>0</v>
      </c>
      <c r="AC16" s="20">
        <f t="shared" si="3"/>
        <v>0</v>
      </c>
      <c r="AD16" s="20">
        <f t="shared" si="3"/>
        <v>0</v>
      </c>
      <c r="AE16" s="3">
        <f t="shared" si="2"/>
        <v>0</v>
      </c>
    </row>
    <row r="17" spans="1:32" x14ac:dyDescent="0.25">
      <c r="A17" t="s">
        <v>70</v>
      </c>
      <c r="B17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10"/>
      <c r="O17" s="10"/>
      <c r="P17" s="2">
        <f t="shared" si="1"/>
        <v>0</v>
      </c>
      <c r="Q17" s="15"/>
      <c r="R17" s="249">
        <v>0</v>
      </c>
      <c r="S17" s="3">
        <f t="shared" si="3"/>
        <v>0</v>
      </c>
      <c r="T17" s="3">
        <f t="shared" si="3"/>
        <v>0</v>
      </c>
      <c r="U17" s="3">
        <f t="shared" si="3"/>
        <v>0</v>
      </c>
      <c r="V17" s="3">
        <f t="shared" si="3"/>
        <v>0</v>
      </c>
      <c r="W17" s="3">
        <f t="shared" si="3"/>
        <v>0</v>
      </c>
      <c r="X17" s="3">
        <f t="shared" si="3"/>
        <v>0</v>
      </c>
      <c r="Y17" s="3">
        <f t="shared" si="3"/>
        <v>0</v>
      </c>
      <c r="Z17" s="3">
        <f t="shared" si="3"/>
        <v>0</v>
      </c>
      <c r="AA17" s="3">
        <f t="shared" si="3"/>
        <v>0</v>
      </c>
      <c r="AB17" s="3">
        <f t="shared" si="3"/>
        <v>0</v>
      </c>
      <c r="AC17" s="20">
        <f t="shared" si="3"/>
        <v>0</v>
      </c>
      <c r="AD17" s="20">
        <f t="shared" si="3"/>
        <v>0</v>
      </c>
      <c r="AE17" s="3">
        <f t="shared" si="2"/>
        <v>0</v>
      </c>
    </row>
    <row r="18" spans="1:32" x14ac:dyDescent="0.25">
      <c r="B18" t="s">
        <v>82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10"/>
      <c r="O18" s="10"/>
      <c r="P18" s="2">
        <f t="shared" si="1"/>
        <v>0</v>
      </c>
      <c r="Q18" s="15"/>
      <c r="R18" s="250">
        <f>0.37973</f>
        <v>0.37973000000000001</v>
      </c>
      <c r="S18" s="3">
        <f t="shared" ref="S18:AD23" si="4">$R18*D18</f>
        <v>0</v>
      </c>
      <c r="T18" s="3">
        <f t="shared" si="4"/>
        <v>0</v>
      </c>
      <c r="U18" s="3">
        <f t="shared" si="4"/>
        <v>0</v>
      </c>
      <c r="V18" s="3">
        <f t="shared" si="4"/>
        <v>0</v>
      </c>
      <c r="W18" s="3">
        <f t="shared" si="4"/>
        <v>0</v>
      </c>
      <c r="X18" s="3">
        <f t="shared" si="4"/>
        <v>0</v>
      </c>
      <c r="Y18" s="3">
        <f t="shared" si="4"/>
        <v>0</v>
      </c>
      <c r="Z18" s="3">
        <f t="shared" si="4"/>
        <v>0</v>
      </c>
      <c r="AA18" s="3">
        <f t="shared" si="4"/>
        <v>0</v>
      </c>
      <c r="AB18" s="3">
        <f t="shared" si="4"/>
        <v>0</v>
      </c>
      <c r="AC18" s="20">
        <f t="shared" si="4"/>
        <v>0</v>
      </c>
      <c r="AD18" s="20">
        <f t="shared" si="4"/>
        <v>0</v>
      </c>
      <c r="AE18" s="3">
        <f t="shared" si="2"/>
        <v>0</v>
      </c>
    </row>
    <row r="19" spans="1:32" x14ac:dyDescent="0.25">
      <c r="A19" t="s">
        <v>71</v>
      </c>
      <c r="B19" t="s">
        <v>14</v>
      </c>
      <c r="D19" s="10">
        <v>6</v>
      </c>
      <c r="E19" s="10">
        <v>6</v>
      </c>
      <c r="F19" s="10">
        <v>6</v>
      </c>
      <c r="G19" s="10">
        <v>6</v>
      </c>
      <c r="H19" s="10">
        <v>6</v>
      </c>
      <c r="I19" s="10">
        <v>6</v>
      </c>
      <c r="J19" s="10">
        <v>6</v>
      </c>
      <c r="K19" s="10">
        <v>6</v>
      </c>
      <c r="L19" s="10">
        <v>6</v>
      </c>
      <c r="M19" s="10">
        <v>6</v>
      </c>
      <c r="N19" s="10">
        <v>6</v>
      </c>
      <c r="O19" s="10">
        <v>6</v>
      </c>
      <c r="P19" s="2">
        <f t="shared" si="1"/>
        <v>72</v>
      </c>
      <c r="Q19" s="15"/>
      <c r="R19" s="249">
        <v>250</v>
      </c>
      <c r="S19" s="3">
        <f t="shared" si="4"/>
        <v>1500</v>
      </c>
      <c r="T19" s="3">
        <f t="shared" si="4"/>
        <v>1500</v>
      </c>
      <c r="U19" s="3">
        <f t="shared" si="4"/>
        <v>1500</v>
      </c>
      <c r="V19" s="3">
        <f t="shared" si="4"/>
        <v>1500</v>
      </c>
      <c r="W19" s="3">
        <f t="shared" si="4"/>
        <v>1500</v>
      </c>
      <c r="X19" s="3">
        <f t="shared" si="4"/>
        <v>1500</v>
      </c>
      <c r="Y19" s="3">
        <f t="shared" si="4"/>
        <v>1500</v>
      </c>
      <c r="Z19" s="3">
        <f t="shared" si="4"/>
        <v>1500</v>
      </c>
      <c r="AA19" s="3">
        <f t="shared" si="4"/>
        <v>1500</v>
      </c>
      <c r="AB19" s="3">
        <f t="shared" si="4"/>
        <v>1500</v>
      </c>
      <c r="AC19" s="20">
        <f t="shared" si="4"/>
        <v>1500</v>
      </c>
      <c r="AD19" s="20">
        <f t="shared" si="4"/>
        <v>1500</v>
      </c>
      <c r="AE19" s="3">
        <f t="shared" si="2"/>
        <v>18000</v>
      </c>
    </row>
    <row r="20" spans="1:32" x14ac:dyDescent="0.25">
      <c r="B20" t="s">
        <v>82</v>
      </c>
      <c r="D20" s="10">
        <v>292953</v>
      </c>
      <c r="E20" s="10">
        <v>356428</v>
      </c>
      <c r="F20" s="10">
        <v>282272</v>
      </c>
      <c r="G20" s="10">
        <v>289245</v>
      </c>
      <c r="H20" s="10">
        <v>251052</v>
      </c>
      <c r="I20" s="10">
        <v>231818</v>
      </c>
      <c r="J20" s="10">
        <v>295136</v>
      </c>
      <c r="K20" s="10">
        <v>283212</v>
      </c>
      <c r="L20" s="10">
        <v>233087</v>
      </c>
      <c r="M20" s="10">
        <v>411049</v>
      </c>
      <c r="N20" s="10">
        <v>351649</v>
      </c>
      <c r="O20" s="10">
        <v>299130</v>
      </c>
      <c r="P20" s="2">
        <f t="shared" si="1"/>
        <v>3577031</v>
      </c>
      <c r="Q20" s="15"/>
      <c r="R20" s="250">
        <f>0.12544</f>
        <v>0.12544</v>
      </c>
      <c r="S20" s="3">
        <f t="shared" si="4"/>
        <v>36748.024319999997</v>
      </c>
      <c r="T20" s="3">
        <f t="shared" si="4"/>
        <v>44710.328320000001</v>
      </c>
      <c r="U20" s="3">
        <f t="shared" si="4"/>
        <v>35408.199679999998</v>
      </c>
      <c r="V20" s="3">
        <f t="shared" si="4"/>
        <v>36282.892800000001</v>
      </c>
      <c r="W20" s="3">
        <f t="shared" si="4"/>
        <v>31491.962879999999</v>
      </c>
      <c r="X20" s="3">
        <f t="shared" si="4"/>
        <v>29079.249919999998</v>
      </c>
      <c r="Y20" s="3">
        <f t="shared" si="4"/>
        <v>37021.859839999997</v>
      </c>
      <c r="Z20" s="3">
        <f t="shared" si="4"/>
        <v>35526.113279999998</v>
      </c>
      <c r="AA20" s="3">
        <f t="shared" si="4"/>
        <v>29238.433279999997</v>
      </c>
      <c r="AB20" s="3">
        <f t="shared" si="4"/>
        <v>51561.986559999998</v>
      </c>
      <c r="AC20" s="20">
        <f t="shared" si="4"/>
        <v>44110.850559999999</v>
      </c>
      <c r="AD20" s="20">
        <f t="shared" si="4"/>
        <v>37522.867200000001</v>
      </c>
      <c r="AE20" s="3">
        <f t="shared" si="2"/>
        <v>448702.76863999997</v>
      </c>
    </row>
    <row r="21" spans="1:32" ht="14.45" customHeight="1" x14ac:dyDescent="0.25">
      <c r="A21" s="12" t="s">
        <v>72</v>
      </c>
      <c r="B21" t="s">
        <v>14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2">
        <f t="shared" si="1"/>
        <v>12</v>
      </c>
      <c r="Q21" s="15"/>
      <c r="R21" s="249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0">
        <f t="shared" si="4"/>
        <v>0</v>
      </c>
      <c r="AD21" s="20">
        <f t="shared" si="4"/>
        <v>0</v>
      </c>
      <c r="AE21" s="3">
        <f t="shared" si="2"/>
        <v>0</v>
      </c>
    </row>
    <row r="22" spans="1:32" x14ac:dyDescent="0.25">
      <c r="A22" s="12"/>
      <c r="B22" t="s">
        <v>87</v>
      </c>
      <c r="D22" s="10">
        <v>161788</v>
      </c>
      <c r="E22" s="10">
        <v>164311</v>
      </c>
      <c r="F22" s="10">
        <v>143196</v>
      </c>
      <c r="G22" s="10">
        <v>153464</v>
      </c>
      <c r="H22" s="10">
        <v>127030</v>
      </c>
      <c r="I22" s="10">
        <v>105929</v>
      </c>
      <c r="J22" s="10">
        <v>58681</v>
      </c>
      <c r="K22" s="10">
        <v>94421</v>
      </c>
      <c r="L22" s="10">
        <v>95598</v>
      </c>
      <c r="M22" s="10">
        <v>97439</v>
      </c>
      <c r="N22" s="10">
        <v>102918</v>
      </c>
      <c r="O22" s="10">
        <v>98466</v>
      </c>
      <c r="P22" s="2">
        <f t="shared" si="1"/>
        <v>1403241</v>
      </c>
      <c r="Q22" s="15"/>
      <c r="R22" s="251">
        <v>0.02</v>
      </c>
      <c r="S22" s="3">
        <f t="shared" ref="S22" si="5">$R22*D22</f>
        <v>3235.76</v>
      </c>
      <c r="T22" s="3">
        <f t="shared" ref="T22" si="6">$R22*E22</f>
        <v>3286.2200000000003</v>
      </c>
      <c r="U22" s="3">
        <f t="shared" ref="U22" si="7">$R22*F22</f>
        <v>2863.92</v>
      </c>
      <c r="V22" s="3">
        <f t="shared" ref="V22" si="8">$R22*G22</f>
        <v>3069.28</v>
      </c>
      <c r="W22" s="3">
        <f t="shared" ref="W22" si="9">$R22*H22</f>
        <v>2540.6</v>
      </c>
      <c r="X22" s="3">
        <f t="shared" ref="X22" si="10">$R22*I22</f>
        <v>2118.58</v>
      </c>
      <c r="Y22" s="3">
        <f t="shared" ref="Y22" si="11">$R22*J22</f>
        <v>1173.6200000000001</v>
      </c>
      <c r="Z22" s="3">
        <f t="shared" ref="Z22" si="12">$R22*K22</f>
        <v>1888.42</v>
      </c>
      <c r="AA22" s="3">
        <f t="shared" ref="AA22" si="13">$R22*L22</f>
        <v>1911.96</v>
      </c>
      <c r="AB22" s="3">
        <f t="shared" ref="AB22" si="14">$R22*M22</f>
        <v>1948.78</v>
      </c>
      <c r="AC22" s="20">
        <f t="shared" ref="AC22" si="15">$R22*N22</f>
        <v>2058.36</v>
      </c>
      <c r="AD22" s="20">
        <f t="shared" ref="AD22" si="16">$R22*O22</f>
        <v>1969.32</v>
      </c>
      <c r="AE22" s="3">
        <f t="shared" si="2"/>
        <v>28064.82</v>
      </c>
    </row>
    <row r="23" spans="1:32" x14ac:dyDescent="0.25">
      <c r="A23" s="12" t="s">
        <v>91</v>
      </c>
      <c r="B23" t="s">
        <v>14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2">
        <f t="shared" si="1"/>
        <v>12</v>
      </c>
      <c r="Q23" s="15"/>
      <c r="R23" s="249">
        <v>6166.67</v>
      </c>
      <c r="S23" s="3">
        <f t="shared" si="4"/>
        <v>6166.67</v>
      </c>
      <c r="T23" s="3">
        <f t="shared" si="4"/>
        <v>6166.67</v>
      </c>
      <c r="U23" s="3">
        <f t="shared" si="4"/>
        <v>6166.67</v>
      </c>
      <c r="V23" s="3">
        <f t="shared" si="4"/>
        <v>6166.67</v>
      </c>
      <c r="W23" s="3">
        <f t="shared" si="4"/>
        <v>6166.67</v>
      </c>
      <c r="X23" s="3">
        <f t="shared" si="4"/>
        <v>6166.67</v>
      </c>
      <c r="Y23" s="3">
        <f t="shared" si="4"/>
        <v>6166.67</v>
      </c>
      <c r="Z23" s="3">
        <f t="shared" si="4"/>
        <v>6166.67</v>
      </c>
      <c r="AA23" s="3">
        <f t="shared" si="4"/>
        <v>6166.67</v>
      </c>
      <c r="AB23" s="3">
        <f t="shared" si="4"/>
        <v>6166.67</v>
      </c>
      <c r="AC23" s="20">
        <f t="shared" si="4"/>
        <v>6166.67</v>
      </c>
      <c r="AD23" s="20">
        <f t="shared" si="4"/>
        <v>6166.67</v>
      </c>
      <c r="AE23" s="3">
        <f t="shared" si="2"/>
        <v>74000.039999999994</v>
      </c>
    </row>
    <row r="24" spans="1:32" x14ac:dyDescent="0.25">
      <c r="A24" s="12"/>
      <c r="B24" t="s">
        <v>87</v>
      </c>
      <c r="D24" s="10">
        <v>5125210</v>
      </c>
      <c r="E24" s="10">
        <v>6127480</v>
      </c>
      <c r="F24" s="10">
        <v>6127480</v>
      </c>
      <c r="G24" s="10">
        <v>7571151</v>
      </c>
      <c r="H24" s="10">
        <v>4560750</v>
      </c>
      <c r="I24" s="10">
        <v>3690800</v>
      </c>
      <c r="J24" s="10">
        <v>5064582</v>
      </c>
      <c r="K24" s="10">
        <v>5797345</v>
      </c>
      <c r="L24" s="10">
        <v>4192443</v>
      </c>
      <c r="M24" s="10">
        <v>5470597</v>
      </c>
      <c r="N24" s="10">
        <v>5593372</v>
      </c>
      <c r="O24" s="10">
        <v>5962947</v>
      </c>
      <c r="P24" s="2">
        <f t="shared" si="1"/>
        <v>65284157</v>
      </c>
      <c r="Q24" s="15"/>
      <c r="R24" s="251">
        <v>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11"/>
      <c r="AD24" s="11"/>
      <c r="AE24" s="3">
        <f t="shared" si="2"/>
        <v>0</v>
      </c>
    </row>
    <row r="26" spans="1:32" x14ac:dyDescent="0.25">
      <c r="A26" t="s">
        <v>63</v>
      </c>
      <c r="B26" t="s">
        <v>26</v>
      </c>
      <c r="D26" s="10">
        <v>4716535</v>
      </c>
      <c r="E26" s="10">
        <v>4346870</v>
      </c>
      <c r="F26" s="10">
        <v>3877931</v>
      </c>
      <c r="G26" s="10">
        <v>2122118</v>
      </c>
      <c r="H26" s="10">
        <v>1439812</v>
      </c>
      <c r="I26" s="10">
        <v>870093</v>
      </c>
      <c r="J26" s="10">
        <v>720840</v>
      </c>
      <c r="K26" s="10">
        <v>688482</v>
      </c>
      <c r="L26" s="10">
        <v>876555</v>
      </c>
      <c r="M26" s="10">
        <v>3657771</v>
      </c>
      <c r="N26" s="10">
        <v>5539986</v>
      </c>
      <c r="O26" s="10">
        <v>5872446</v>
      </c>
      <c r="P26" s="2">
        <f t="shared" si="1"/>
        <v>34729439</v>
      </c>
      <c r="Q26" s="15"/>
      <c r="S26" s="3">
        <f t="shared" ref="S26:AD26" si="17">SUM(S4:S4)/SUM(D4:D4)*D26</f>
        <v>3255635.4490999999</v>
      </c>
      <c r="T26" s="3">
        <f t="shared" si="17"/>
        <v>3000470.4862000002</v>
      </c>
      <c r="U26" s="3">
        <f t="shared" si="17"/>
        <v>2676780.6520599998</v>
      </c>
      <c r="V26" s="3">
        <f t="shared" si="17"/>
        <v>1464813.17068</v>
      </c>
      <c r="W26" s="3">
        <f t="shared" si="17"/>
        <v>993844.63112000003</v>
      </c>
      <c r="X26" s="3">
        <f t="shared" si="17"/>
        <v>600590.39417999994</v>
      </c>
      <c r="Y26" s="3">
        <f t="shared" si="17"/>
        <v>497567.01839999988</v>
      </c>
      <c r="Z26" s="3">
        <f t="shared" si="17"/>
        <v>475231.58532000001</v>
      </c>
      <c r="AA26" s="3">
        <f t="shared" si="17"/>
        <v>605050.85430000001</v>
      </c>
      <c r="AB26" s="3">
        <f t="shared" si="17"/>
        <v>2524813.01046</v>
      </c>
      <c r="AC26" s="20">
        <f t="shared" si="17"/>
        <v>3824030.7363600004</v>
      </c>
      <c r="AD26" s="20">
        <f t="shared" si="17"/>
        <v>4053514.57596</v>
      </c>
      <c r="AE26" s="3">
        <f t="shared" ref="AE26:AE40" si="18">SUM(S26:AD26)</f>
        <v>23972342.564139999</v>
      </c>
      <c r="AF26" t="s">
        <v>30</v>
      </c>
    </row>
    <row r="27" spans="1:32" x14ac:dyDescent="0.25">
      <c r="B27" t="s">
        <v>27</v>
      </c>
      <c r="D27" s="10">
        <v>-5000990</v>
      </c>
      <c r="E27" s="10">
        <v>-4716535</v>
      </c>
      <c r="F27" s="10">
        <v>-4346870</v>
      </c>
      <c r="G27" s="10">
        <v>-3877931</v>
      </c>
      <c r="H27" s="10">
        <v>-2122118</v>
      </c>
      <c r="I27" s="10">
        <v>-1439812</v>
      </c>
      <c r="J27" s="10">
        <v>-870093</v>
      </c>
      <c r="K27" s="10">
        <v>-720840</v>
      </c>
      <c r="L27" s="10">
        <v>-688482</v>
      </c>
      <c r="M27" s="10">
        <v>-876555</v>
      </c>
      <c r="N27" s="10">
        <v>-3657771</v>
      </c>
      <c r="O27" s="10">
        <v>-5539986</v>
      </c>
      <c r="P27" s="2">
        <f t="shared" si="1"/>
        <v>-33857983</v>
      </c>
      <c r="Q27" s="15"/>
      <c r="S27" s="3">
        <f>SUM(S4:S4)/SUM(D4:D4)*D27</f>
        <v>-3451983.3574000001</v>
      </c>
      <c r="T27" s="3">
        <f>-S26</f>
        <v>-3255635.4490999999</v>
      </c>
      <c r="U27" s="3">
        <f t="shared" ref="U27:AD27" si="19">-T26</f>
        <v>-3000470.4862000002</v>
      </c>
      <c r="V27" s="3">
        <f t="shared" si="19"/>
        <v>-2676780.6520599998</v>
      </c>
      <c r="W27" s="3">
        <f t="shared" si="19"/>
        <v>-1464813.17068</v>
      </c>
      <c r="X27" s="3">
        <f t="shared" si="19"/>
        <v>-993844.63112000003</v>
      </c>
      <c r="Y27" s="3">
        <f t="shared" si="19"/>
        <v>-600590.39417999994</v>
      </c>
      <c r="Z27" s="3">
        <f t="shared" si="19"/>
        <v>-497567.01839999988</v>
      </c>
      <c r="AA27" s="3">
        <f t="shared" si="19"/>
        <v>-475231.58532000001</v>
      </c>
      <c r="AB27" s="3">
        <f t="shared" si="19"/>
        <v>-605050.85430000001</v>
      </c>
      <c r="AC27" s="20">
        <f t="shared" si="19"/>
        <v>-2524813.01046</v>
      </c>
      <c r="AD27" s="20">
        <f t="shared" si="19"/>
        <v>-3824030.7363600004</v>
      </c>
      <c r="AE27" s="3">
        <f t="shared" si="18"/>
        <v>-23370811.345580004</v>
      </c>
      <c r="AF27" t="s">
        <v>31</v>
      </c>
    </row>
    <row r="28" spans="1:32" x14ac:dyDescent="0.25">
      <c r="B28" t="s">
        <v>25</v>
      </c>
      <c r="D28" s="16">
        <f>D26+D27</f>
        <v>-284455</v>
      </c>
      <c r="E28" s="16">
        <f t="shared" ref="E28:O28" si="20">E26+E27</f>
        <v>-369665</v>
      </c>
      <c r="F28" s="16">
        <f t="shared" si="20"/>
        <v>-468939</v>
      </c>
      <c r="G28" s="16">
        <f t="shared" si="20"/>
        <v>-1755813</v>
      </c>
      <c r="H28" s="16">
        <f t="shared" si="20"/>
        <v>-682306</v>
      </c>
      <c r="I28" s="16">
        <f t="shared" si="20"/>
        <v>-569719</v>
      </c>
      <c r="J28" s="16">
        <f t="shared" si="20"/>
        <v>-149253</v>
      </c>
      <c r="K28" s="16">
        <f t="shared" si="20"/>
        <v>-32358</v>
      </c>
      <c r="L28" s="16">
        <f t="shared" si="20"/>
        <v>188073</v>
      </c>
      <c r="M28" s="16">
        <f t="shared" si="20"/>
        <v>2781216</v>
      </c>
      <c r="N28" s="16">
        <f t="shared" si="20"/>
        <v>1882215</v>
      </c>
      <c r="O28" s="16">
        <f t="shared" si="20"/>
        <v>332460</v>
      </c>
      <c r="P28" s="2">
        <f t="shared" si="1"/>
        <v>871456</v>
      </c>
      <c r="Q28" s="15"/>
      <c r="R28" s="237">
        <f>ROUND(SUM(AE4:AE4)/SUM(P4:P4),5)</f>
        <v>0.69025999999999998</v>
      </c>
      <c r="S28" s="3">
        <f t="shared" ref="S28:AD28" si="21">$R28*D28</f>
        <v>-196347.90830000001</v>
      </c>
      <c r="T28" s="3">
        <f t="shared" si="21"/>
        <v>-255164.96289999998</v>
      </c>
      <c r="U28" s="3">
        <f t="shared" si="21"/>
        <v>-323689.83413999999</v>
      </c>
      <c r="V28" s="3">
        <f t="shared" si="21"/>
        <v>-1211967.48138</v>
      </c>
      <c r="W28" s="3">
        <f t="shared" si="21"/>
        <v>-470968.53956</v>
      </c>
      <c r="X28" s="3">
        <f t="shared" si="21"/>
        <v>-393254.23693999997</v>
      </c>
      <c r="Y28" s="3">
        <f t="shared" si="21"/>
        <v>-103023.37578</v>
      </c>
      <c r="Z28" s="3">
        <f t="shared" si="21"/>
        <v>-22335.433079999999</v>
      </c>
      <c r="AA28" s="3">
        <f t="shared" si="21"/>
        <v>129819.26897999999</v>
      </c>
      <c r="AB28" s="3">
        <f t="shared" si="21"/>
        <v>1919762.15616</v>
      </c>
      <c r="AC28" s="20">
        <f t="shared" si="21"/>
        <v>1299217.7259</v>
      </c>
      <c r="AD28" s="20">
        <f t="shared" si="21"/>
        <v>229483.83960000001</v>
      </c>
      <c r="AE28" s="3">
        <f t="shared" si="18"/>
        <v>601531.21856000018</v>
      </c>
      <c r="AF28" t="s">
        <v>33</v>
      </c>
    </row>
    <row r="29" spans="1:32" x14ac:dyDescent="0.25">
      <c r="A29" t="s">
        <v>65</v>
      </c>
      <c r="B29" t="s">
        <v>26</v>
      </c>
      <c r="D29" s="10">
        <v>1417261</v>
      </c>
      <c r="E29" s="10">
        <v>1312440</v>
      </c>
      <c r="F29" s="10">
        <v>1224637</v>
      </c>
      <c r="G29" s="10">
        <v>646951</v>
      </c>
      <c r="H29" s="10">
        <v>519414</v>
      </c>
      <c r="I29" s="10">
        <v>526955</v>
      </c>
      <c r="J29" s="10">
        <v>393481</v>
      </c>
      <c r="K29" s="10">
        <v>547689</v>
      </c>
      <c r="L29" s="10">
        <v>732545</v>
      </c>
      <c r="M29" s="10">
        <v>1854250</v>
      </c>
      <c r="N29" s="10">
        <v>1740666</v>
      </c>
      <c r="O29" s="10">
        <v>1737990</v>
      </c>
      <c r="P29" s="2">
        <f t="shared" si="1"/>
        <v>12654279</v>
      </c>
      <c r="Q29" s="15"/>
      <c r="S29" s="3">
        <f t="shared" ref="S29:AD29" si="22">SUM(S6:S7)/SUM(D6:D7)*D29</f>
        <v>571344.34188416076</v>
      </c>
      <c r="T29" s="3">
        <f t="shared" si="22"/>
        <v>526653.99735631421</v>
      </c>
      <c r="U29" s="3">
        <f t="shared" si="22"/>
        <v>484758.81444853748</v>
      </c>
      <c r="V29" s="3">
        <f t="shared" si="22"/>
        <v>246140.78954294292</v>
      </c>
      <c r="W29" s="3">
        <f t="shared" si="22"/>
        <v>173967.53520459286</v>
      </c>
      <c r="X29" s="3">
        <f t="shared" si="22"/>
        <v>169811.21053191836</v>
      </c>
      <c r="Y29" s="3">
        <f t="shared" si="22"/>
        <v>125519.12465936644</v>
      </c>
      <c r="Z29" s="3">
        <f t="shared" si="22"/>
        <v>173040.188742181</v>
      </c>
      <c r="AA29" s="3">
        <f t="shared" si="22"/>
        <v>233589.09569058067</v>
      </c>
      <c r="AB29" s="3">
        <f t="shared" si="22"/>
        <v>603057.34311052971</v>
      </c>
      <c r="AC29" s="20">
        <f t="shared" si="22"/>
        <v>666560.94896687905</v>
      </c>
      <c r="AD29" s="20">
        <f t="shared" si="22"/>
        <v>695367.38806414476</v>
      </c>
      <c r="AE29" s="3">
        <f t="shared" si="18"/>
        <v>4669810.7782021482</v>
      </c>
      <c r="AF29" t="s">
        <v>30</v>
      </c>
    </row>
    <row r="30" spans="1:32" x14ac:dyDescent="0.25">
      <c r="B30" t="s">
        <v>27</v>
      </c>
      <c r="D30" s="10">
        <v>-1482887</v>
      </c>
      <c r="E30" s="10">
        <v>-1417261</v>
      </c>
      <c r="F30" s="10">
        <v>-1312440</v>
      </c>
      <c r="G30" s="10">
        <v>-1224637</v>
      </c>
      <c r="H30" s="10">
        <v>-646951</v>
      </c>
      <c r="I30" s="10">
        <v>-519414</v>
      </c>
      <c r="J30" s="10">
        <v>-526955</v>
      </c>
      <c r="K30" s="10">
        <v>-393481</v>
      </c>
      <c r="L30" s="10">
        <v>-547689</v>
      </c>
      <c r="M30" s="10">
        <v>-732545</v>
      </c>
      <c r="N30" s="10">
        <v>-1854250</v>
      </c>
      <c r="O30" s="10">
        <v>-1740666</v>
      </c>
      <c r="P30" s="2">
        <f t="shared" si="1"/>
        <v>-12399176</v>
      </c>
      <c r="Q30" s="15"/>
      <c r="S30" s="3">
        <f>SUM(S6:S7)/SUM(D6:D7)*D30</f>
        <v>-597800.33254536567</v>
      </c>
      <c r="T30" s="3">
        <f>-S29</f>
        <v>-571344.34188416076</v>
      </c>
      <c r="U30" s="3">
        <f t="shared" ref="U30:AD30" si="23">-T29</f>
        <v>-526653.99735631421</v>
      </c>
      <c r="V30" s="3">
        <f t="shared" si="23"/>
        <v>-484758.81444853748</v>
      </c>
      <c r="W30" s="3">
        <f t="shared" si="23"/>
        <v>-246140.78954294292</v>
      </c>
      <c r="X30" s="3">
        <f t="shared" si="23"/>
        <v>-173967.53520459286</v>
      </c>
      <c r="Y30" s="3">
        <f t="shared" si="23"/>
        <v>-169811.21053191836</v>
      </c>
      <c r="Z30" s="3">
        <f t="shared" si="23"/>
        <v>-125519.12465936644</v>
      </c>
      <c r="AA30" s="3">
        <f t="shared" si="23"/>
        <v>-173040.188742181</v>
      </c>
      <c r="AB30" s="3">
        <f t="shared" si="23"/>
        <v>-233589.09569058067</v>
      </c>
      <c r="AC30" s="20">
        <f t="shared" si="23"/>
        <v>-603057.34311052971</v>
      </c>
      <c r="AD30" s="20">
        <f t="shared" si="23"/>
        <v>-666560.94896687905</v>
      </c>
      <c r="AE30" s="3">
        <f t="shared" si="18"/>
        <v>-4572243.7226833683</v>
      </c>
      <c r="AF30" t="s">
        <v>31</v>
      </c>
    </row>
    <row r="31" spans="1:32" x14ac:dyDescent="0.25">
      <c r="B31" t="s">
        <v>25</v>
      </c>
      <c r="D31" s="16">
        <f>D29+D30</f>
        <v>-65626</v>
      </c>
      <c r="E31" s="16">
        <f t="shared" ref="E31:O31" si="24">E29+E30</f>
        <v>-104821</v>
      </c>
      <c r="F31" s="16">
        <f t="shared" si="24"/>
        <v>-87803</v>
      </c>
      <c r="G31" s="16">
        <f t="shared" si="24"/>
        <v>-577686</v>
      </c>
      <c r="H31" s="16">
        <f t="shared" si="24"/>
        <v>-127537</v>
      </c>
      <c r="I31" s="16">
        <f t="shared" si="24"/>
        <v>7541</v>
      </c>
      <c r="J31" s="16">
        <f t="shared" si="24"/>
        <v>-133474</v>
      </c>
      <c r="K31" s="16">
        <f t="shared" si="24"/>
        <v>154208</v>
      </c>
      <c r="L31" s="16">
        <f t="shared" si="24"/>
        <v>184856</v>
      </c>
      <c r="M31" s="16">
        <f t="shared" si="24"/>
        <v>1121705</v>
      </c>
      <c r="N31" s="16">
        <f t="shared" si="24"/>
        <v>-113584</v>
      </c>
      <c r="O31" s="16">
        <f t="shared" si="24"/>
        <v>-2676</v>
      </c>
      <c r="P31" s="2">
        <f t="shared" si="1"/>
        <v>255103</v>
      </c>
      <c r="Q31" s="15"/>
      <c r="R31" s="237">
        <f>ROUND(SUM(AE6:AE9)/SUM(P6:P9),5)</f>
        <v>0.40199000000000001</v>
      </c>
      <c r="S31" s="3">
        <f t="shared" ref="S31:AD31" si="25">$R31*D31</f>
        <v>-26380.995740000002</v>
      </c>
      <c r="T31" s="3">
        <f t="shared" si="25"/>
        <v>-42136.99379</v>
      </c>
      <c r="U31" s="3">
        <f t="shared" si="25"/>
        <v>-35295.927970000004</v>
      </c>
      <c r="V31" s="3">
        <f t="shared" si="25"/>
        <v>-232223.99514000001</v>
      </c>
      <c r="W31" s="3">
        <f t="shared" si="25"/>
        <v>-51268.59863</v>
      </c>
      <c r="X31" s="3">
        <f t="shared" si="25"/>
        <v>3031.4065900000001</v>
      </c>
      <c r="Y31" s="3">
        <f t="shared" si="25"/>
        <v>-53655.213260000004</v>
      </c>
      <c r="Z31" s="3">
        <f t="shared" si="25"/>
        <v>61990.073920000003</v>
      </c>
      <c r="AA31" s="3">
        <f t="shared" si="25"/>
        <v>74310.26344000001</v>
      </c>
      <c r="AB31" s="3">
        <f t="shared" si="25"/>
        <v>450914.19295</v>
      </c>
      <c r="AC31" s="20">
        <f t="shared" si="25"/>
        <v>-45659.632160000001</v>
      </c>
      <c r="AD31" s="20">
        <f t="shared" si="25"/>
        <v>-1075.72524</v>
      </c>
      <c r="AE31" s="3">
        <f t="shared" si="18"/>
        <v>102548.85497000001</v>
      </c>
      <c r="AF31" t="s">
        <v>33</v>
      </c>
    </row>
    <row r="32" spans="1:32" x14ac:dyDescent="0.25">
      <c r="A32" t="s">
        <v>71</v>
      </c>
      <c r="B32" t="s">
        <v>26</v>
      </c>
      <c r="D32" s="10">
        <v>356428</v>
      </c>
      <c r="E32" s="10">
        <v>282272</v>
      </c>
      <c r="F32" s="10">
        <v>289235</v>
      </c>
      <c r="G32" s="10">
        <v>251035</v>
      </c>
      <c r="H32" s="10">
        <v>231799</v>
      </c>
      <c r="I32" s="10">
        <v>295136</v>
      </c>
      <c r="J32" s="10">
        <v>283212</v>
      </c>
      <c r="K32" s="10">
        <v>233542</v>
      </c>
      <c r="L32" s="10">
        <v>411059</v>
      </c>
      <c r="M32" s="10">
        <v>351629</v>
      </c>
      <c r="N32" s="10">
        <v>299130</v>
      </c>
      <c r="O32" s="10">
        <v>303640</v>
      </c>
      <c r="P32" s="2">
        <f t="shared" ref="P32:P40" si="26">SUM(D32:O32)</f>
        <v>3588117</v>
      </c>
      <c r="Q32" s="15"/>
      <c r="S32" s="3">
        <f>SUM(S20)/SUM(D20)*D32</f>
        <v>44710.328320000001</v>
      </c>
      <c r="T32" s="3">
        <f t="shared" ref="T32:AD32" si="27">SUM(T20)/SUM(E20)*E32</f>
        <v>35408.199679999998</v>
      </c>
      <c r="U32" s="3">
        <f t="shared" si="27"/>
        <v>36281.638399999996</v>
      </c>
      <c r="V32" s="3">
        <f t="shared" si="27"/>
        <v>31489.830399999999</v>
      </c>
      <c r="W32" s="3">
        <f t="shared" si="27"/>
        <v>29076.866559999999</v>
      </c>
      <c r="X32" s="3">
        <f t="shared" si="27"/>
        <v>37021.859839999997</v>
      </c>
      <c r="Y32" s="3">
        <f t="shared" si="27"/>
        <v>35526.113279999998</v>
      </c>
      <c r="Z32" s="3">
        <f t="shared" si="27"/>
        <v>29295.50848</v>
      </c>
      <c r="AA32" s="3">
        <f t="shared" si="27"/>
        <v>51563.240959999996</v>
      </c>
      <c r="AB32" s="3">
        <f t="shared" si="27"/>
        <v>44108.341759999996</v>
      </c>
      <c r="AC32" s="20">
        <f t="shared" si="27"/>
        <v>37522.867200000001</v>
      </c>
      <c r="AD32" s="20">
        <f t="shared" si="27"/>
        <v>38088.601600000002</v>
      </c>
      <c r="AE32" s="3">
        <f t="shared" si="18"/>
        <v>450093.39647999994</v>
      </c>
      <c r="AF32" t="s">
        <v>30</v>
      </c>
    </row>
    <row r="33" spans="1:34" x14ac:dyDescent="0.25">
      <c r="B33" t="s">
        <v>27</v>
      </c>
      <c r="D33" s="10">
        <v>-292953</v>
      </c>
      <c r="E33" s="10">
        <v>-356428</v>
      </c>
      <c r="F33" s="10">
        <v>-282272</v>
      </c>
      <c r="G33" s="10">
        <v>-289235</v>
      </c>
      <c r="H33" s="10">
        <v>-251035</v>
      </c>
      <c r="I33" s="10">
        <v>-231799</v>
      </c>
      <c r="J33" s="10">
        <v>-295136</v>
      </c>
      <c r="K33" s="10">
        <v>-283212</v>
      </c>
      <c r="L33" s="10">
        <v>-233542</v>
      </c>
      <c r="M33" s="10">
        <v>-411059</v>
      </c>
      <c r="N33" s="10">
        <v>-351629</v>
      </c>
      <c r="O33" s="10">
        <v>-299130</v>
      </c>
      <c r="P33" s="2">
        <f t="shared" si="26"/>
        <v>-3577430</v>
      </c>
      <c r="Q33" s="15"/>
      <c r="S33" s="3">
        <f>SUM(S20)/SUM(D20)*D33</f>
        <v>-36748.024319999997</v>
      </c>
      <c r="T33" s="3">
        <f>-S32</f>
        <v>-44710.328320000001</v>
      </c>
      <c r="U33" s="3">
        <f t="shared" ref="U33:AD33" si="28">-T32</f>
        <v>-35408.199679999998</v>
      </c>
      <c r="V33" s="3">
        <f t="shared" si="28"/>
        <v>-36281.638399999996</v>
      </c>
      <c r="W33" s="3">
        <f t="shared" si="28"/>
        <v>-31489.830399999999</v>
      </c>
      <c r="X33" s="3">
        <f t="shared" si="28"/>
        <v>-29076.866559999999</v>
      </c>
      <c r="Y33" s="3">
        <f t="shared" si="28"/>
        <v>-37021.859839999997</v>
      </c>
      <c r="Z33" s="3">
        <f t="shared" si="28"/>
        <v>-35526.113279999998</v>
      </c>
      <c r="AA33" s="3">
        <f t="shared" si="28"/>
        <v>-29295.50848</v>
      </c>
      <c r="AB33" s="3">
        <f t="shared" si="28"/>
        <v>-51563.240959999996</v>
      </c>
      <c r="AC33" s="20">
        <f t="shared" si="28"/>
        <v>-44108.341759999996</v>
      </c>
      <c r="AD33" s="20">
        <f t="shared" si="28"/>
        <v>-37522.867200000001</v>
      </c>
      <c r="AE33" s="3">
        <f t="shared" si="18"/>
        <v>-448752.81919999991</v>
      </c>
      <c r="AF33" t="s">
        <v>31</v>
      </c>
    </row>
    <row r="34" spans="1:34" x14ac:dyDescent="0.25">
      <c r="B34" t="s">
        <v>25</v>
      </c>
      <c r="D34" s="16">
        <f>D32+D33</f>
        <v>63475</v>
      </c>
      <c r="E34" s="16">
        <f t="shared" ref="E34:O34" si="29">E32+E33</f>
        <v>-74156</v>
      </c>
      <c r="F34" s="16">
        <f t="shared" si="29"/>
        <v>6963</v>
      </c>
      <c r="G34" s="16">
        <f t="shared" si="29"/>
        <v>-38200</v>
      </c>
      <c r="H34" s="16">
        <f t="shared" si="29"/>
        <v>-19236</v>
      </c>
      <c r="I34" s="16">
        <f t="shared" si="29"/>
        <v>63337</v>
      </c>
      <c r="J34" s="16">
        <f t="shared" si="29"/>
        <v>-11924</v>
      </c>
      <c r="K34" s="16">
        <f t="shared" si="29"/>
        <v>-49670</v>
      </c>
      <c r="L34" s="16">
        <f t="shared" si="29"/>
        <v>177517</v>
      </c>
      <c r="M34" s="16">
        <f t="shared" si="29"/>
        <v>-59430</v>
      </c>
      <c r="N34" s="16">
        <f t="shared" si="29"/>
        <v>-52499</v>
      </c>
      <c r="O34" s="16">
        <f t="shared" si="29"/>
        <v>4510</v>
      </c>
      <c r="P34" s="2">
        <f t="shared" si="26"/>
        <v>10687</v>
      </c>
      <c r="Q34" s="15"/>
      <c r="R34" s="237">
        <f>ROUND(SUM(AE20:AE20)/SUM(P20:P20),5)</f>
        <v>0.12544</v>
      </c>
      <c r="S34" s="3">
        <f t="shared" ref="S34:AD34" si="30">$R34*D34</f>
        <v>7962.3040000000001</v>
      </c>
      <c r="T34" s="3">
        <f t="shared" si="30"/>
        <v>-9302.128639999999</v>
      </c>
      <c r="U34" s="3">
        <f t="shared" si="30"/>
        <v>873.43871999999999</v>
      </c>
      <c r="V34" s="3">
        <f t="shared" si="30"/>
        <v>-4791.808</v>
      </c>
      <c r="W34" s="3">
        <f t="shared" si="30"/>
        <v>-2412.9638399999999</v>
      </c>
      <c r="X34" s="3">
        <f t="shared" si="30"/>
        <v>7944.9932799999997</v>
      </c>
      <c r="Y34" s="3">
        <f t="shared" si="30"/>
        <v>-1495.74656</v>
      </c>
      <c r="Z34" s="3">
        <f t="shared" si="30"/>
        <v>-6230.6048000000001</v>
      </c>
      <c r="AA34" s="3">
        <f t="shared" si="30"/>
        <v>22267.732479999999</v>
      </c>
      <c r="AB34" s="3">
        <f t="shared" si="30"/>
        <v>-7454.8991999999998</v>
      </c>
      <c r="AC34" s="20">
        <f t="shared" si="30"/>
        <v>-6585.4745599999997</v>
      </c>
      <c r="AD34" s="20">
        <f t="shared" si="30"/>
        <v>565.73439999999994</v>
      </c>
      <c r="AE34" s="3">
        <f t="shared" si="18"/>
        <v>1340.5772800000009</v>
      </c>
      <c r="AF34" t="s">
        <v>33</v>
      </c>
    </row>
    <row r="35" spans="1:34" x14ac:dyDescent="0.25">
      <c r="A35" t="s">
        <v>72</v>
      </c>
      <c r="B35" t="s">
        <v>26</v>
      </c>
      <c r="D35" s="10">
        <v>164311</v>
      </c>
      <c r="E35" s="10">
        <v>143196</v>
      </c>
      <c r="F35" s="10">
        <v>153460</v>
      </c>
      <c r="G35" s="10">
        <v>127019</v>
      </c>
      <c r="H35" s="10">
        <v>105929</v>
      </c>
      <c r="I35" s="10">
        <v>58681</v>
      </c>
      <c r="J35" s="10">
        <v>90341</v>
      </c>
      <c r="K35" s="10">
        <v>95610</v>
      </c>
      <c r="L35" s="10">
        <v>97439</v>
      </c>
      <c r="M35" s="10">
        <v>102918</v>
      </c>
      <c r="N35" s="10">
        <v>98466</v>
      </c>
      <c r="O35" s="10">
        <v>75635</v>
      </c>
      <c r="P35" s="2">
        <f t="shared" si="26"/>
        <v>1313005</v>
      </c>
      <c r="Q35" s="15"/>
      <c r="S35" s="3">
        <f>SUM(S22)/SUM(D22)*D35</f>
        <v>3286.2200000000003</v>
      </c>
      <c r="T35" s="3">
        <f>SUM(T22)/SUM(E22)*E35</f>
        <v>2863.92</v>
      </c>
      <c r="U35" s="3">
        <f t="shared" ref="U35:AD35" si="31">SUM(U22)/SUM(F22)*F35</f>
        <v>3069.2000000000003</v>
      </c>
      <c r="V35" s="3">
        <f t="shared" si="31"/>
        <v>2540.38</v>
      </c>
      <c r="W35" s="3">
        <f t="shared" si="31"/>
        <v>2118.58</v>
      </c>
      <c r="X35" s="3">
        <f t="shared" si="31"/>
        <v>1173.6200000000001</v>
      </c>
      <c r="Y35" s="3">
        <f t="shared" si="31"/>
        <v>1806.82</v>
      </c>
      <c r="Z35" s="3">
        <f t="shared" si="31"/>
        <v>1912.2</v>
      </c>
      <c r="AA35" s="3">
        <f t="shared" si="31"/>
        <v>1948.78</v>
      </c>
      <c r="AB35" s="3">
        <f t="shared" si="31"/>
        <v>2058.36</v>
      </c>
      <c r="AC35" s="3">
        <f t="shared" si="31"/>
        <v>1969.32</v>
      </c>
      <c r="AD35" s="3">
        <f t="shared" si="31"/>
        <v>1512.7</v>
      </c>
      <c r="AE35" s="3">
        <f t="shared" si="18"/>
        <v>26260.100000000002</v>
      </c>
      <c r="AF35" t="s">
        <v>30</v>
      </c>
    </row>
    <row r="36" spans="1:34" x14ac:dyDescent="0.25">
      <c r="B36" t="s">
        <v>27</v>
      </c>
      <c r="D36" s="10">
        <v>-161788</v>
      </c>
      <c r="E36" s="10">
        <v>-164311</v>
      </c>
      <c r="F36" s="10">
        <v>-143196</v>
      </c>
      <c r="G36" s="10">
        <v>-153460</v>
      </c>
      <c r="H36" s="10">
        <v>-127019</v>
      </c>
      <c r="I36" s="10">
        <v>-105929</v>
      </c>
      <c r="J36" s="10">
        <v>-58681</v>
      </c>
      <c r="K36" s="10">
        <v>-90341</v>
      </c>
      <c r="L36" s="10">
        <v>-95610</v>
      </c>
      <c r="M36" s="10">
        <v>-97439</v>
      </c>
      <c r="N36" s="10">
        <v>-102918</v>
      </c>
      <c r="O36" s="10">
        <v>-98466</v>
      </c>
      <c r="P36" s="2">
        <f t="shared" si="26"/>
        <v>-1399158</v>
      </c>
      <c r="Q36" s="15"/>
      <c r="S36" s="3">
        <f>SUM(S22)/SUM(D22)*D36</f>
        <v>-3235.76</v>
      </c>
      <c r="T36" s="3">
        <f>-S35</f>
        <v>-3286.2200000000003</v>
      </c>
      <c r="U36" s="3">
        <f t="shared" ref="U36:AD36" si="32">-T35</f>
        <v>-2863.92</v>
      </c>
      <c r="V36" s="3">
        <f t="shared" si="32"/>
        <v>-3069.2000000000003</v>
      </c>
      <c r="W36" s="3">
        <f t="shared" si="32"/>
        <v>-2540.38</v>
      </c>
      <c r="X36" s="3">
        <f t="shared" si="32"/>
        <v>-2118.58</v>
      </c>
      <c r="Y36" s="3">
        <f t="shared" si="32"/>
        <v>-1173.6200000000001</v>
      </c>
      <c r="Z36" s="3">
        <f t="shared" si="32"/>
        <v>-1806.82</v>
      </c>
      <c r="AA36" s="3">
        <f t="shared" si="32"/>
        <v>-1912.2</v>
      </c>
      <c r="AB36" s="3">
        <f t="shared" si="32"/>
        <v>-1948.78</v>
      </c>
      <c r="AC36" s="20">
        <f t="shared" si="32"/>
        <v>-2058.36</v>
      </c>
      <c r="AD36" s="20">
        <f t="shared" si="32"/>
        <v>-1969.32</v>
      </c>
      <c r="AE36" s="3">
        <f t="shared" si="18"/>
        <v>-27983.160000000003</v>
      </c>
      <c r="AF36" t="s">
        <v>31</v>
      </c>
    </row>
    <row r="37" spans="1:34" x14ac:dyDescent="0.25">
      <c r="B37" t="s">
        <v>25</v>
      </c>
      <c r="D37" s="6">
        <f t="shared" ref="D37:O37" si="33">D35+D36</f>
        <v>2523</v>
      </c>
      <c r="E37" s="6">
        <f t="shared" si="33"/>
        <v>-21115</v>
      </c>
      <c r="F37" s="6">
        <f t="shared" si="33"/>
        <v>10264</v>
      </c>
      <c r="G37" s="6">
        <f t="shared" si="33"/>
        <v>-26441</v>
      </c>
      <c r="H37" s="6">
        <f t="shared" si="33"/>
        <v>-21090</v>
      </c>
      <c r="I37" s="6">
        <f t="shared" si="33"/>
        <v>-47248</v>
      </c>
      <c r="J37" s="6">
        <f t="shared" si="33"/>
        <v>31660</v>
      </c>
      <c r="K37" s="6">
        <f t="shared" si="33"/>
        <v>5269</v>
      </c>
      <c r="L37" s="6">
        <f t="shared" si="33"/>
        <v>1829</v>
      </c>
      <c r="M37" s="6">
        <f t="shared" si="33"/>
        <v>5479</v>
      </c>
      <c r="N37" s="16">
        <f t="shared" si="33"/>
        <v>-4452</v>
      </c>
      <c r="O37" s="16">
        <f t="shared" si="33"/>
        <v>-22831</v>
      </c>
      <c r="P37" s="2">
        <f t="shared" si="26"/>
        <v>-86153</v>
      </c>
      <c r="Q37" s="15"/>
      <c r="R37" s="237">
        <f>ROUND(SUM(AE22)/SUM(P22),5)</f>
        <v>0.02</v>
      </c>
      <c r="S37" s="3">
        <f t="shared" ref="S37:AD37" si="34">$R37*D37</f>
        <v>50.46</v>
      </c>
      <c r="T37" s="3">
        <f t="shared" si="34"/>
        <v>-422.3</v>
      </c>
      <c r="U37" s="3">
        <f t="shared" si="34"/>
        <v>205.28</v>
      </c>
      <c r="V37" s="3">
        <f t="shared" si="34"/>
        <v>-528.82000000000005</v>
      </c>
      <c r="W37" s="3">
        <f t="shared" si="34"/>
        <v>-421.8</v>
      </c>
      <c r="X37" s="3">
        <f t="shared" si="34"/>
        <v>-944.96</v>
      </c>
      <c r="Y37" s="3">
        <f t="shared" si="34"/>
        <v>633.20000000000005</v>
      </c>
      <c r="Z37" s="3">
        <f t="shared" si="34"/>
        <v>105.38</v>
      </c>
      <c r="AA37" s="3">
        <f t="shared" si="34"/>
        <v>36.58</v>
      </c>
      <c r="AB37" s="3">
        <f t="shared" si="34"/>
        <v>109.58</v>
      </c>
      <c r="AC37" s="20">
        <f t="shared" si="34"/>
        <v>-89.04</v>
      </c>
      <c r="AD37" s="20">
        <f t="shared" si="34"/>
        <v>-456.62</v>
      </c>
      <c r="AE37" s="3">
        <f t="shared" si="18"/>
        <v>-1723.0600000000004</v>
      </c>
      <c r="AF37" t="s">
        <v>33</v>
      </c>
    </row>
    <row r="38" spans="1:34" x14ac:dyDescent="0.25">
      <c r="D38" s="6">
        <f>D28+D31+D34+D37</f>
        <v>-284083</v>
      </c>
      <c r="E38" s="6">
        <f t="shared" ref="E38:O38" si="35">E28+E31+E34+E37</f>
        <v>-569757</v>
      </c>
      <c r="F38" s="6">
        <f t="shared" si="35"/>
        <v>-539515</v>
      </c>
      <c r="G38" s="6">
        <f t="shared" si="35"/>
        <v>-2398140</v>
      </c>
      <c r="H38" s="6">
        <f t="shared" si="35"/>
        <v>-850169</v>
      </c>
      <c r="I38" s="6">
        <f t="shared" si="35"/>
        <v>-546089</v>
      </c>
      <c r="J38" s="6">
        <f t="shared" si="35"/>
        <v>-262991</v>
      </c>
      <c r="K38" s="6">
        <f t="shared" si="35"/>
        <v>77449</v>
      </c>
      <c r="L38" s="6">
        <f t="shared" si="35"/>
        <v>552275</v>
      </c>
      <c r="M38" s="6">
        <f t="shared" si="35"/>
        <v>3848970</v>
      </c>
      <c r="N38" s="6">
        <f t="shared" si="35"/>
        <v>1711680</v>
      </c>
      <c r="O38" s="6">
        <f t="shared" si="35"/>
        <v>311463</v>
      </c>
      <c r="P38" s="2">
        <f t="shared" si="26"/>
        <v>1051093</v>
      </c>
    </row>
    <row r="39" spans="1:34" x14ac:dyDescent="0.25">
      <c r="A39" t="s">
        <v>63</v>
      </c>
      <c r="B39" t="s">
        <v>28</v>
      </c>
      <c r="D39" s="10">
        <v>1346500</v>
      </c>
      <c r="E39" s="10">
        <v>445515</v>
      </c>
      <c r="F39" s="10">
        <v>-285679</v>
      </c>
      <c r="G39" s="10">
        <v>258649</v>
      </c>
      <c r="H39" s="10">
        <v>24952</v>
      </c>
      <c r="I39" s="10">
        <v>-16776</v>
      </c>
      <c r="J39" s="10">
        <v>42060</v>
      </c>
      <c r="K39" s="10">
        <v>143429</v>
      </c>
      <c r="L39" s="10">
        <v>609092</v>
      </c>
      <c r="M39" s="10">
        <v>126354</v>
      </c>
      <c r="N39" s="10">
        <v>337727</v>
      </c>
      <c r="O39" s="10">
        <v>983030</v>
      </c>
      <c r="P39" s="2">
        <f t="shared" si="26"/>
        <v>4014853</v>
      </c>
      <c r="Q39" s="15"/>
      <c r="R39" s="237">
        <f>ROUND((Q4*R4)/SUM(Q4:Q4),5)</f>
        <v>0.69025999999999998</v>
      </c>
      <c r="S39" s="3">
        <f t="shared" ref="S39:AD40" si="36">$R39*D39</f>
        <v>929435.09</v>
      </c>
      <c r="T39" s="3">
        <f t="shared" si="36"/>
        <v>307521.1839</v>
      </c>
      <c r="U39" s="3">
        <f t="shared" si="36"/>
        <v>-197192.78654</v>
      </c>
      <c r="V39" s="3">
        <f t="shared" si="36"/>
        <v>178535.05874000001</v>
      </c>
      <c r="W39" s="3">
        <f t="shared" si="36"/>
        <v>17223.36752</v>
      </c>
      <c r="X39" s="3">
        <f t="shared" si="36"/>
        <v>-11579.80176</v>
      </c>
      <c r="Y39" s="3">
        <f t="shared" si="36"/>
        <v>29032.335599999999</v>
      </c>
      <c r="Z39" s="3">
        <f t="shared" si="36"/>
        <v>99003.30154</v>
      </c>
      <c r="AA39" s="3">
        <f t="shared" si="36"/>
        <v>420431.84392000001</v>
      </c>
      <c r="AB39" s="3">
        <f t="shared" si="36"/>
        <v>87217.112039999993</v>
      </c>
      <c r="AC39" s="20">
        <f t="shared" si="36"/>
        <v>233119.43901999999</v>
      </c>
      <c r="AD39" s="20">
        <f t="shared" si="36"/>
        <v>678546.28779999993</v>
      </c>
      <c r="AE39" s="3">
        <f t="shared" si="18"/>
        <v>2771292.4317800002</v>
      </c>
    </row>
    <row r="40" spans="1:34" x14ac:dyDescent="0.25">
      <c r="A40" t="s">
        <v>65</v>
      </c>
      <c r="B40" t="s">
        <v>28</v>
      </c>
      <c r="D40" s="10">
        <v>340514</v>
      </c>
      <c r="E40" s="10">
        <v>111788</v>
      </c>
      <c r="F40" s="10">
        <v>-72491</v>
      </c>
      <c r="G40" s="10">
        <v>61225</v>
      </c>
      <c r="H40" s="10">
        <v>5863</v>
      </c>
      <c r="I40" s="10">
        <v>-3986</v>
      </c>
      <c r="J40" s="10">
        <v>11169</v>
      </c>
      <c r="K40" s="10">
        <v>37671</v>
      </c>
      <c r="L40" s="10">
        <v>161091</v>
      </c>
      <c r="M40" s="10">
        <v>29658</v>
      </c>
      <c r="N40" s="10">
        <v>78799</v>
      </c>
      <c r="O40" s="10">
        <v>245202</v>
      </c>
      <c r="P40" s="2">
        <f t="shared" si="26"/>
        <v>1006503</v>
      </c>
      <c r="Q40" s="15"/>
      <c r="R40" s="237">
        <f>ROUND((Q6*R6+Q7*R7+Q8*R8+Q9*R9)/SUM(Q6:Q9),5)</f>
        <v>0.42732999999999999</v>
      </c>
      <c r="S40" s="3">
        <f t="shared" si="36"/>
        <v>145511.84761999999</v>
      </c>
      <c r="T40" s="3">
        <f t="shared" si="36"/>
        <v>47770.366040000001</v>
      </c>
      <c r="U40" s="3">
        <f t="shared" si="36"/>
        <v>-30977.579030000001</v>
      </c>
      <c r="V40" s="3">
        <f t="shared" si="36"/>
        <v>26163.27925</v>
      </c>
      <c r="W40" s="3">
        <f t="shared" si="36"/>
        <v>2505.43579</v>
      </c>
      <c r="X40" s="3">
        <f t="shared" si="36"/>
        <v>-1703.3373799999999</v>
      </c>
      <c r="Y40" s="3">
        <f t="shared" si="36"/>
        <v>4772.8487699999996</v>
      </c>
      <c r="Z40" s="3">
        <f t="shared" si="36"/>
        <v>16097.94843</v>
      </c>
      <c r="AA40" s="3">
        <f t="shared" si="36"/>
        <v>68839.017030000003</v>
      </c>
      <c r="AB40" s="3">
        <f t="shared" si="36"/>
        <v>12673.753139999999</v>
      </c>
      <c r="AC40" s="20">
        <f t="shared" si="36"/>
        <v>33673.176670000001</v>
      </c>
      <c r="AD40" s="20">
        <f t="shared" si="36"/>
        <v>104782.17066</v>
      </c>
      <c r="AE40" s="3">
        <f t="shared" si="18"/>
        <v>430108.92698999995</v>
      </c>
    </row>
    <row r="42" spans="1:34" x14ac:dyDescent="0.25">
      <c r="A42" t="s">
        <v>45</v>
      </c>
      <c r="C42" t="s">
        <v>81</v>
      </c>
    </row>
    <row r="43" spans="1:34" x14ac:dyDescent="0.25">
      <c r="A43" t="s">
        <v>75</v>
      </c>
      <c r="D43" s="2">
        <f t="shared" ref="D43:O43" si="37">SUM(D4:D4)+D28+D39</f>
        <v>11218363.48404</v>
      </c>
      <c r="E43" s="2">
        <f t="shared" si="37"/>
        <v>9497484.2855500001</v>
      </c>
      <c r="F43" s="2">
        <f t="shared" si="37"/>
        <v>7487826.5673700003</v>
      </c>
      <c r="G43" s="2">
        <f t="shared" si="37"/>
        <v>5282810.6614100002</v>
      </c>
      <c r="H43" s="2">
        <f t="shared" si="37"/>
        <v>2782581.0484000002</v>
      </c>
      <c r="I43" s="2">
        <f t="shared" si="37"/>
        <v>1739588.1373800002</v>
      </c>
      <c r="J43" s="2">
        <f t="shared" si="37"/>
        <v>1436819.5733099999</v>
      </c>
      <c r="K43" s="2">
        <f t="shared" si="37"/>
        <v>1238182.1918800001</v>
      </c>
      <c r="L43" s="2">
        <f t="shared" si="37"/>
        <v>2034000.4676699999</v>
      </c>
      <c r="M43" s="2">
        <f t="shared" si="37"/>
        <v>5229977.2309099995</v>
      </c>
      <c r="N43" s="15">
        <f t="shared" si="37"/>
        <v>9071671.03706</v>
      </c>
      <c r="O43" s="15">
        <f t="shared" si="37"/>
        <v>11187355.749159999</v>
      </c>
      <c r="P43" s="6">
        <f>SUM(D43:O43)</f>
        <v>68206660.434139997</v>
      </c>
      <c r="S43" s="3">
        <f t="shared" ref="S43:AD43" si="38">SUM(S3:S4)+S28+S39</f>
        <v>8258381.5784934498</v>
      </c>
      <c r="T43" s="3">
        <f t="shared" si="38"/>
        <v>7070491.502943743</v>
      </c>
      <c r="U43" s="3">
        <f t="shared" si="38"/>
        <v>5684145.1663928162</v>
      </c>
      <c r="V43" s="3">
        <f t="shared" si="38"/>
        <v>4162620.8871448673</v>
      </c>
      <c r="W43" s="3">
        <f t="shared" si="38"/>
        <v>2435744.3944685841</v>
      </c>
      <c r="X43" s="3">
        <f t="shared" si="38"/>
        <v>1719240.1077079191</v>
      </c>
      <c r="Y43" s="3">
        <f t="shared" si="38"/>
        <v>1509573.0786729606</v>
      </c>
      <c r="Z43" s="3">
        <f t="shared" si="38"/>
        <v>1373955.6397670887</v>
      </c>
      <c r="AA43" s="3">
        <f t="shared" si="38"/>
        <v>1924867.162813894</v>
      </c>
      <c r="AB43" s="3">
        <f t="shared" si="38"/>
        <v>4131570.0834079366</v>
      </c>
      <c r="AC43" s="20">
        <f t="shared" si="38"/>
        <v>6784645.6500410363</v>
      </c>
      <c r="AD43" s="20">
        <f t="shared" si="38"/>
        <v>8248312.1794151803</v>
      </c>
      <c r="AE43" s="3">
        <f>SUM(S43:AD43)</f>
        <v>53303547.431269474</v>
      </c>
      <c r="AF43" s="3">
        <f>AE43</f>
        <v>53303547.431269474</v>
      </c>
      <c r="AH43" t="s">
        <v>109</v>
      </c>
    </row>
    <row r="44" spans="1:34" x14ac:dyDescent="0.25">
      <c r="A44" t="s">
        <v>76</v>
      </c>
      <c r="D44" s="2">
        <f t="shared" ref="D44:O44" si="39">SUM(D6:D9,D11:D14)+D31+D40</f>
        <v>3589443.7765000002</v>
      </c>
      <c r="E44" s="2">
        <f t="shared" si="39"/>
        <v>3084503.56904</v>
      </c>
      <c r="F44" s="2">
        <f t="shared" si="39"/>
        <v>2662439.5262600007</v>
      </c>
      <c r="G44" s="2">
        <f t="shared" si="39"/>
        <v>1742060.2234800006</v>
      </c>
      <c r="H44" s="2">
        <f t="shared" si="39"/>
        <v>1298436.3137800002</v>
      </c>
      <c r="I44" s="2">
        <f t="shared" si="39"/>
        <v>1581250.50712</v>
      </c>
      <c r="J44" s="2">
        <f t="shared" si="39"/>
        <v>861778.24632999988</v>
      </c>
      <c r="K44" s="2">
        <f t="shared" si="39"/>
        <v>1191307.1443099999</v>
      </c>
      <c r="L44" s="2">
        <f t="shared" si="39"/>
        <v>1506997.47951</v>
      </c>
      <c r="M44" s="2">
        <f t="shared" si="39"/>
        <v>2484071.32541</v>
      </c>
      <c r="N44" s="15">
        <f t="shared" si="39"/>
        <v>2351558.1582799996</v>
      </c>
      <c r="O44" s="15">
        <f t="shared" si="39"/>
        <v>3410050.2942200005</v>
      </c>
      <c r="P44" s="6">
        <f t="shared" ref="P44:P47" si="40">SUM(D44:O44)</f>
        <v>25763896.564240005</v>
      </c>
      <c r="S44" s="3">
        <f t="shared" ref="S44:AD44" si="41">SUM(S5:S14)+S31+S40</f>
        <v>1673937.9785378531</v>
      </c>
      <c r="T44" s="3">
        <f t="shared" si="41"/>
        <v>1456122.2829003697</v>
      </c>
      <c r="U44" s="3">
        <f t="shared" si="41"/>
        <v>1271846.9953340602</v>
      </c>
      <c r="V44" s="3">
        <f t="shared" si="41"/>
        <v>876306.20836914808</v>
      </c>
      <c r="W44" s="3">
        <f t="shared" si="41"/>
        <v>650816.97878104297</v>
      </c>
      <c r="X44" s="3">
        <f t="shared" si="41"/>
        <v>758350.22932802455</v>
      </c>
      <c r="Y44" s="3">
        <f t="shared" si="41"/>
        <v>478382.24353973701</v>
      </c>
      <c r="Z44" s="3">
        <f t="shared" si="41"/>
        <v>609176.94810269645</v>
      </c>
      <c r="AA44" s="3">
        <f t="shared" si="41"/>
        <v>739056.96523937094</v>
      </c>
      <c r="AB44" s="3">
        <f t="shared" si="41"/>
        <v>1124674.0731173514</v>
      </c>
      <c r="AC44" s="20">
        <f t="shared" si="41"/>
        <v>1124294.0865340354</v>
      </c>
      <c r="AD44" s="20">
        <f t="shared" si="41"/>
        <v>1592525.8999335549</v>
      </c>
      <c r="AE44" s="3">
        <f t="shared" ref="AE44:AE47" si="42">SUM(S44:AD44)</f>
        <v>12355490.889717244</v>
      </c>
    </row>
    <row r="45" spans="1:34" x14ac:dyDescent="0.25">
      <c r="A45" t="s">
        <v>78</v>
      </c>
      <c r="D45" s="2">
        <f t="shared" ref="D45:O45" si="43">SUM(D16:D16)+SUM(D18:D18)</f>
        <v>0</v>
      </c>
      <c r="E45" s="2">
        <f t="shared" si="43"/>
        <v>0</v>
      </c>
      <c r="F45" s="2">
        <f t="shared" si="43"/>
        <v>0</v>
      </c>
      <c r="G45" s="2">
        <f t="shared" si="43"/>
        <v>0</v>
      </c>
      <c r="H45" s="2">
        <f t="shared" si="43"/>
        <v>0</v>
      </c>
      <c r="I45" s="2">
        <f t="shared" si="43"/>
        <v>0</v>
      </c>
      <c r="J45" s="2">
        <f t="shared" si="43"/>
        <v>0</v>
      </c>
      <c r="K45" s="2">
        <f t="shared" si="43"/>
        <v>0</v>
      </c>
      <c r="L45" s="2">
        <f t="shared" si="43"/>
        <v>0</v>
      </c>
      <c r="M45" s="2">
        <f t="shared" si="43"/>
        <v>0</v>
      </c>
      <c r="N45" s="15">
        <f t="shared" si="43"/>
        <v>0</v>
      </c>
      <c r="O45" s="15">
        <f t="shared" si="43"/>
        <v>0</v>
      </c>
      <c r="P45" s="6">
        <f t="shared" si="40"/>
        <v>0</v>
      </c>
      <c r="S45" s="3">
        <f t="shared" ref="S45:AD45" si="44">SUM(S15:S18)</f>
        <v>0</v>
      </c>
      <c r="T45" s="3">
        <f t="shared" si="44"/>
        <v>0</v>
      </c>
      <c r="U45" s="3">
        <f t="shared" si="44"/>
        <v>0</v>
      </c>
      <c r="V45" s="3">
        <f t="shared" si="44"/>
        <v>0</v>
      </c>
      <c r="W45" s="3">
        <f t="shared" si="44"/>
        <v>0</v>
      </c>
      <c r="X45" s="3">
        <f t="shared" si="44"/>
        <v>0</v>
      </c>
      <c r="Y45" s="3">
        <f t="shared" si="44"/>
        <v>0</v>
      </c>
      <c r="Z45" s="3">
        <f t="shared" si="44"/>
        <v>0</v>
      </c>
      <c r="AA45" s="3">
        <f t="shared" si="44"/>
        <v>0</v>
      </c>
      <c r="AB45" s="3">
        <f t="shared" si="44"/>
        <v>0</v>
      </c>
      <c r="AC45" s="20">
        <f t="shared" si="44"/>
        <v>0</v>
      </c>
      <c r="AD45" s="20">
        <f t="shared" si="44"/>
        <v>0</v>
      </c>
      <c r="AE45" s="3">
        <f t="shared" si="42"/>
        <v>0</v>
      </c>
      <c r="AF45" s="3">
        <f>AE44+AE45</f>
        <v>12355490.889717244</v>
      </c>
      <c r="AH45" t="s">
        <v>110</v>
      </c>
    </row>
    <row r="46" spans="1:34" x14ac:dyDescent="0.25">
      <c r="A46" t="s">
        <v>79</v>
      </c>
      <c r="D46" s="2">
        <f t="shared" ref="D46:O46" si="45">SUM(D20:D20)+D34</f>
        <v>356428</v>
      </c>
      <c r="E46" s="2">
        <f t="shared" si="45"/>
        <v>282272</v>
      </c>
      <c r="F46" s="2">
        <f t="shared" si="45"/>
        <v>289235</v>
      </c>
      <c r="G46" s="2">
        <f t="shared" si="45"/>
        <v>251045</v>
      </c>
      <c r="H46" s="2">
        <f t="shared" si="45"/>
        <v>231816</v>
      </c>
      <c r="I46" s="2">
        <f t="shared" si="45"/>
        <v>295155</v>
      </c>
      <c r="J46" s="2">
        <f t="shared" si="45"/>
        <v>283212</v>
      </c>
      <c r="K46" s="2">
        <f t="shared" si="45"/>
        <v>233542</v>
      </c>
      <c r="L46" s="2">
        <f t="shared" si="45"/>
        <v>410604</v>
      </c>
      <c r="M46" s="2">
        <f t="shared" si="45"/>
        <v>351619</v>
      </c>
      <c r="N46" s="15">
        <f t="shared" si="45"/>
        <v>299150</v>
      </c>
      <c r="O46" s="15">
        <f t="shared" si="45"/>
        <v>303640</v>
      </c>
      <c r="P46" s="6">
        <f t="shared" si="40"/>
        <v>3587718</v>
      </c>
      <c r="S46" s="3">
        <f t="shared" ref="S46:AD46" si="46">SUM(S19:S20)+S34</f>
        <v>46210.328320000001</v>
      </c>
      <c r="T46" s="3">
        <f t="shared" si="46"/>
        <v>36908.199680000005</v>
      </c>
      <c r="U46" s="3">
        <f t="shared" si="46"/>
        <v>37781.638399999996</v>
      </c>
      <c r="V46" s="3">
        <f t="shared" si="46"/>
        <v>32991.084800000004</v>
      </c>
      <c r="W46" s="3">
        <f t="shared" si="46"/>
        <v>30578.999039999999</v>
      </c>
      <c r="X46" s="3">
        <f t="shared" si="46"/>
        <v>38524.243199999997</v>
      </c>
      <c r="Y46" s="3">
        <f t="shared" si="46"/>
        <v>37026.113279999998</v>
      </c>
      <c r="Z46" s="3">
        <f t="shared" si="46"/>
        <v>30795.508479999997</v>
      </c>
      <c r="AA46" s="3">
        <f t="shared" si="46"/>
        <v>53006.165759999996</v>
      </c>
      <c r="AB46" s="3">
        <f t="shared" si="46"/>
        <v>45607.087359999998</v>
      </c>
      <c r="AC46" s="20">
        <f t="shared" si="46"/>
        <v>39025.375999999997</v>
      </c>
      <c r="AD46" s="20">
        <f t="shared" si="46"/>
        <v>39588.601600000002</v>
      </c>
      <c r="AE46" s="3">
        <f t="shared" si="42"/>
        <v>468043.34591999999</v>
      </c>
    </row>
    <row r="47" spans="1:34" x14ac:dyDescent="0.25">
      <c r="A47" t="s">
        <v>80</v>
      </c>
      <c r="D47" s="2">
        <f t="shared" ref="D47:O47" si="47">D22+D24+D37</f>
        <v>5289521</v>
      </c>
      <c r="E47" s="2">
        <f t="shared" si="47"/>
        <v>6270676</v>
      </c>
      <c r="F47" s="2">
        <f t="shared" si="47"/>
        <v>6280940</v>
      </c>
      <c r="G47" s="2">
        <f t="shared" si="47"/>
        <v>7698174</v>
      </c>
      <c r="H47" s="2">
        <f t="shared" si="47"/>
        <v>4666690</v>
      </c>
      <c r="I47" s="2">
        <f t="shared" si="47"/>
        <v>3749481</v>
      </c>
      <c r="J47" s="2">
        <f t="shared" si="47"/>
        <v>5154923</v>
      </c>
      <c r="K47" s="2">
        <f t="shared" si="47"/>
        <v>5897035</v>
      </c>
      <c r="L47" s="2">
        <f t="shared" si="47"/>
        <v>4289870</v>
      </c>
      <c r="M47" s="2">
        <f t="shared" si="47"/>
        <v>5573515</v>
      </c>
      <c r="N47" s="15">
        <f t="shared" si="47"/>
        <v>5691838</v>
      </c>
      <c r="O47" s="15">
        <f t="shared" si="47"/>
        <v>6038582</v>
      </c>
      <c r="P47" s="6">
        <f t="shared" si="40"/>
        <v>66601245</v>
      </c>
      <c r="S47" s="3">
        <f t="shared" ref="S47:AD47" si="48">SUM(S21:S24)+S37</f>
        <v>9452.89</v>
      </c>
      <c r="T47" s="3">
        <f t="shared" si="48"/>
        <v>9030.59</v>
      </c>
      <c r="U47" s="3">
        <f t="shared" si="48"/>
        <v>9235.8700000000008</v>
      </c>
      <c r="V47" s="3">
        <f t="shared" si="48"/>
        <v>8707.130000000001</v>
      </c>
      <c r="W47" s="3">
        <f t="shared" si="48"/>
        <v>8285.4700000000012</v>
      </c>
      <c r="X47" s="3">
        <f t="shared" si="48"/>
        <v>7340.29</v>
      </c>
      <c r="Y47" s="3">
        <f t="shared" si="48"/>
        <v>7973.49</v>
      </c>
      <c r="Z47" s="3">
        <f t="shared" si="48"/>
        <v>8160.47</v>
      </c>
      <c r="AA47" s="3">
        <f t="shared" si="48"/>
        <v>8115.21</v>
      </c>
      <c r="AB47" s="3">
        <f t="shared" si="48"/>
        <v>8225.0300000000007</v>
      </c>
      <c r="AC47" s="20">
        <f t="shared" si="48"/>
        <v>8135.9900000000007</v>
      </c>
      <c r="AD47" s="20">
        <f t="shared" si="48"/>
        <v>7679.37</v>
      </c>
      <c r="AE47" s="3">
        <f t="shared" si="42"/>
        <v>100341.8</v>
      </c>
      <c r="AF47" s="3">
        <f>AE46+AE47</f>
        <v>568385.14592000004</v>
      </c>
      <c r="AH47" t="s">
        <v>111</v>
      </c>
    </row>
    <row r="48" spans="1:34" x14ac:dyDescent="0.25">
      <c r="A48" t="s">
        <v>52</v>
      </c>
      <c r="D48" s="8">
        <f t="shared" ref="D48:P48" si="49">SUM(D43:D47)</f>
        <v>20453756.260540001</v>
      </c>
      <c r="E48" s="8">
        <f t="shared" si="49"/>
        <v>19134935.854589999</v>
      </c>
      <c r="F48" s="8">
        <f t="shared" si="49"/>
        <v>16720441.093630001</v>
      </c>
      <c r="G48" s="8">
        <f t="shared" si="49"/>
        <v>14974089.884890001</v>
      </c>
      <c r="H48" s="8">
        <f t="shared" si="49"/>
        <v>8979523.3621800002</v>
      </c>
      <c r="I48" s="8">
        <f t="shared" si="49"/>
        <v>7365474.6445000004</v>
      </c>
      <c r="J48" s="8">
        <f t="shared" si="49"/>
        <v>7736732.8196399994</v>
      </c>
      <c r="K48" s="8">
        <f t="shared" si="49"/>
        <v>8560066.3361900002</v>
      </c>
      <c r="L48" s="8">
        <f t="shared" si="49"/>
        <v>8241471.9471800001</v>
      </c>
      <c r="M48" s="8">
        <f t="shared" si="49"/>
        <v>13639182.55632</v>
      </c>
      <c r="N48" s="18">
        <f t="shared" si="49"/>
        <v>17414217.19534</v>
      </c>
      <c r="O48" s="18">
        <f t="shared" si="49"/>
        <v>20939628.04338</v>
      </c>
      <c r="P48" s="8">
        <f t="shared" si="49"/>
        <v>164159519.99838001</v>
      </c>
      <c r="S48" s="7">
        <f>SUM(S43:S47)</f>
        <v>9987982.7753513046</v>
      </c>
      <c r="T48" s="7">
        <f t="shared" ref="T48:AD48" si="50">SUM(T43:T47)</f>
        <v>8572552.5755241141</v>
      </c>
      <c r="U48" s="7">
        <f t="shared" si="50"/>
        <v>7003009.6701268759</v>
      </c>
      <c r="V48" s="7">
        <f t="shared" si="50"/>
        <v>5080625.3103140155</v>
      </c>
      <c r="W48" s="7">
        <f t="shared" si="50"/>
        <v>3125425.8422896275</v>
      </c>
      <c r="X48" s="7">
        <f t="shared" si="50"/>
        <v>2523454.8702359437</v>
      </c>
      <c r="Y48" s="7">
        <f t="shared" si="50"/>
        <v>2032954.9254926976</v>
      </c>
      <c r="Z48" s="7">
        <f t="shared" si="50"/>
        <v>2022088.5663497853</v>
      </c>
      <c r="AA48" s="7">
        <f t="shared" si="50"/>
        <v>2725045.5038132644</v>
      </c>
      <c r="AB48" s="7">
        <f t="shared" si="50"/>
        <v>5310076.2738852883</v>
      </c>
      <c r="AC48" s="21">
        <f t="shared" si="50"/>
        <v>7956101.1025750721</v>
      </c>
      <c r="AD48" s="21">
        <f t="shared" si="50"/>
        <v>9888106.0509487353</v>
      </c>
      <c r="AE48" s="7">
        <f>SUM(AE43:AE47)</f>
        <v>66227423.466906711</v>
      </c>
    </row>
    <row r="49" spans="1:32" x14ac:dyDescent="0.25">
      <c r="AF49" s="3">
        <f>SUM(AF43:AF48)</f>
        <v>66227423.466906719</v>
      </c>
    </row>
    <row r="50" spans="1:32" x14ac:dyDescent="0.25">
      <c r="A50" t="s">
        <v>54</v>
      </c>
      <c r="C50" t="s">
        <v>55</v>
      </c>
      <c r="R50" s="236" t="s">
        <v>56</v>
      </c>
    </row>
    <row r="51" spans="1:32" x14ac:dyDescent="0.25">
      <c r="A51" t="s">
        <v>75</v>
      </c>
      <c r="D51" s="2">
        <f t="shared" ref="D51:P51" si="51">D43/(D3)</f>
        <v>130.75168106901012</v>
      </c>
      <c r="E51" s="2">
        <f t="shared" si="51"/>
        <v>110.70232169932279</v>
      </c>
      <c r="F51" s="2">
        <f t="shared" si="51"/>
        <v>87.135635522674647</v>
      </c>
      <c r="G51" s="2">
        <f t="shared" si="51"/>
        <v>61.415176607338005</v>
      </c>
      <c r="H51" s="2">
        <f t="shared" si="51"/>
        <v>32.415902241379314</v>
      </c>
      <c r="I51" s="2">
        <f t="shared" si="51"/>
        <v>20.131325942924597</v>
      </c>
      <c r="J51" s="2">
        <f t="shared" si="51"/>
        <v>16.64931891806394</v>
      </c>
      <c r="K51" s="2">
        <f t="shared" si="51"/>
        <v>14.306306233304063</v>
      </c>
      <c r="L51" s="2">
        <f t="shared" si="51"/>
        <v>23.42967605853962</v>
      </c>
      <c r="M51" s="2">
        <f t="shared" si="51"/>
        <v>60.169317321590867</v>
      </c>
      <c r="N51" s="15">
        <f t="shared" si="51"/>
        <v>104.10575100770033</v>
      </c>
      <c r="O51" s="15">
        <f t="shared" si="51"/>
        <v>127.58137657558616</v>
      </c>
      <c r="P51" s="2">
        <f t="shared" si="51"/>
        <v>65.760184297712215</v>
      </c>
      <c r="S51" s="3">
        <f>S43/(D3)</f>
        <v>96.252655374694925</v>
      </c>
      <c r="T51" s="3">
        <f t="shared" ref="T51:AE51" si="52">T43/(E3)</f>
        <v>82.41338457617455</v>
      </c>
      <c r="U51" s="3">
        <f t="shared" si="52"/>
        <v>66.146243775881402</v>
      </c>
      <c r="V51" s="3">
        <f t="shared" si="52"/>
        <v>48.392439804981137</v>
      </c>
      <c r="W51" s="3">
        <f t="shared" si="52"/>
        <v>28.375400681134483</v>
      </c>
      <c r="X51" s="3">
        <f t="shared" si="52"/>
        <v>19.895849045363132</v>
      </c>
      <c r="Y51" s="3">
        <f t="shared" si="52"/>
        <v>17.492358876382816</v>
      </c>
      <c r="Z51" s="3">
        <f t="shared" si="52"/>
        <v>15.875070940600461</v>
      </c>
      <c r="AA51" s="3">
        <f t="shared" si="52"/>
        <v>22.172568196167557</v>
      </c>
      <c r="AB51" s="3">
        <f t="shared" si="52"/>
        <v>47.532472974401315</v>
      </c>
      <c r="AC51" s="20">
        <f t="shared" si="52"/>
        <v>77.860035690575245</v>
      </c>
      <c r="AD51" s="20">
        <f t="shared" si="52"/>
        <v>94.064320995064094</v>
      </c>
      <c r="AE51" s="3">
        <f t="shared" si="52"/>
        <v>51.391624813338829</v>
      </c>
    </row>
    <row r="52" spans="1:32" x14ac:dyDescent="0.25">
      <c r="A52" t="s">
        <v>76</v>
      </c>
      <c r="D52" s="2">
        <f t="shared" ref="D52:P52" si="53">D44/(D5+D10)</f>
        <v>2327.7845502594037</v>
      </c>
      <c r="E52" s="2">
        <f t="shared" si="53"/>
        <v>2017.3339235055591</v>
      </c>
      <c r="F52" s="2">
        <f t="shared" si="53"/>
        <v>1717.7029201677424</v>
      </c>
      <c r="G52" s="2">
        <f t="shared" si="53"/>
        <v>1133.4158903578405</v>
      </c>
      <c r="H52" s="2">
        <f t="shared" si="53"/>
        <v>851.99233187664061</v>
      </c>
      <c r="I52" s="2">
        <f t="shared" si="53"/>
        <v>1019.5038730625403</v>
      </c>
      <c r="J52" s="2">
        <f t="shared" si="53"/>
        <v>561.78503672099077</v>
      </c>
      <c r="K52" s="2">
        <f t="shared" si="53"/>
        <v>782.72479915243093</v>
      </c>
      <c r="L52" s="2">
        <f t="shared" si="53"/>
        <v>981.75731564169382</v>
      </c>
      <c r="M52" s="2">
        <f t="shared" si="53"/>
        <v>1611.9865836534718</v>
      </c>
      <c r="N52" s="15">
        <f t="shared" si="53"/>
        <v>1529.9662708392971</v>
      </c>
      <c r="O52" s="15">
        <f t="shared" si="53"/>
        <v>2191.5490322750647</v>
      </c>
      <c r="P52" s="2">
        <f t="shared" si="53"/>
        <v>1395.8119278491713</v>
      </c>
      <c r="S52" s="3">
        <f t="shared" ref="S52:AE52" si="54">S44/(D5+D10)</f>
        <v>1085.562891399386</v>
      </c>
      <c r="T52" s="3">
        <f t="shared" si="54"/>
        <v>952.33635245282517</v>
      </c>
      <c r="U52" s="3">
        <f t="shared" si="54"/>
        <v>820.54644860261942</v>
      </c>
      <c r="V52" s="3">
        <f t="shared" si="54"/>
        <v>570.1406690755681</v>
      </c>
      <c r="W52" s="3">
        <f t="shared" si="54"/>
        <v>427.04526166735104</v>
      </c>
      <c r="X52" s="3">
        <f t="shared" si="54"/>
        <v>488.94276552419376</v>
      </c>
      <c r="Y52" s="3">
        <f t="shared" si="54"/>
        <v>311.85283151221449</v>
      </c>
      <c r="Z52" s="3">
        <f t="shared" si="54"/>
        <v>400.24766629612117</v>
      </c>
      <c r="AA52" s="3">
        <f t="shared" si="54"/>
        <v>481.47033566082797</v>
      </c>
      <c r="AB52" s="3">
        <f t="shared" si="54"/>
        <v>729.83392155571153</v>
      </c>
      <c r="AC52" s="20">
        <f t="shared" si="54"/>
        <v>731.48606801173412</v>
      </c>
      <c r="AD52" s="20">
        <f t="shared" si="54"/>
        <v>1023.4742287490712</v>
      </c>
      <c r="AE52" s="3">
        <f t="shared" si="54"/>
        <v>669.38405513691862</v>
      </c>
    </row>
    <row r="53" spans="1:32" x14ac:dyDescent="0.25">
      <c r="A53" t="s">
        <v>78</v>
      </c>
      <c r="D53" s="2" t="e">
        <f t="shared" ref="D53:P53" si="55">D45/(D15+D17)</f>
        <v>#DIV/0!</v>
      </c>
      <c r="E53" s="2" t="e">
        <f t="shared" si="55"/>
        <v>#DIV/0!</v>
      </c>
      <c r="F53" s="2" t="e">
        <f t="shared" si="55"/>
        <v>#DIV/0!</v>
      </c>
      <c r="G53" s="2" t="e">
        <f t="shared" si="55"/>
        <v>#DIV/0!</v>
      </c>
      <c r="H53" s="2" t="e">
        <f t="shared" si="55"/>
        <v>#DIV/0!</v>
      </c>
      <c r="I53" s="2" t="e">
        <f t="shared" si="55"/>
        <v>#DIV/0!</v>
      </c>
      <c r="J53" s="2" t="e">
        <f t="shared" si="55"/>
        <v>#DIV/0!</v>
      </c>
      <c r="K53" s="2" t="e">
        <f t="shared" si="55"/>
        <v>#DIV/0!</v>
      </c>
      <c r="L53" s="2" t="e">
        <f t="shared" si="55"/>
        <v>#DIV/0!</v>
      </c>
      <c r="M53" s="2" t="e">
        <f t="shared" si="55"/>
        <v>#DIV/0!</v>
      </c>
      <c r="N53" s="15" t="e">
        <f t="shared" si="55"/>
        <v>#DIV/0!</v>
      </c>
      <c r="O53" s="15" t="e">
        <f t="shared" si="55"/>
        <v>#DIV/0!</v>
      </c>
      <c r="P53" s="2" t="e">
        <f t="shared" si="55"/>
        <v>#DIV/0!</v>
      </c>
      <c r="S53" s="3" t="e">
        <f t="shared" ref="S53:AE53" si="56">S45/(D15+D17)</f>
        <v>#DIV/0!</v>
      </c>
      <c r="T53" s="3" t="e">
        <f t="shared" si="56"/>
        <v>#DIV/0!</v>
      </c>
      <c r="U53" s="3" t="e">
        <f t="shared" si="56"/>
        <v>#DIV/0!</v>
      </c>
      <c r="V53" s="3" t="e">
        <f t="shared" si="56"/>
        <v>#DIV/0!</v>
      </c>
      <c r="W53" s="3" t="e">
        <f t="shared" si="56"/>
        <v>#DIV/0!</v>
      </c>
      <c r="X53" s="3" t="e">
        <f t="shared" si="56"/>
        <v>#DIV/0!</v>
      </c>
      <c r="Y53" s="3" t="e">
        <f t="shared" si="56"/>
        <v>#DIV/0!</v>
      </c>
      <c r="Z53" s="3" t="e">
        <f t="shared" si="56"/>
        <v>#DIV/0!</v>
      </c>
      <c r="AA53" s="3" t="e">
        <f t="shared" si="56"/>
        <v>#DIV/0!</v>
      </c>
      <c r="AB53" s="3" t="e">
        <f t="shared" si="56"/>
        <v>#DIV/0!</v>
      </c>
      <c r="AC53" s="20" t="e">
        <f t="shared" si="56"/>
        <v>#DIV/0!</v>
      </c>
      <c r="AD53" s="20" t="e">
        <f t="shared" si="56"/>
        <v>#DIV/0!</v>
      </c>
      <c r="AE53" s="3" t="e">
        <f t="shared" si="56"/>
        <v>#DIV/0!</v>
      </c>
    </row>
    <row r="54" spans="1:32" x14ac:dyDescent="0.25">
      <c r="A54" t="s">
        <v>79</v>
      </c>
      <c r="D54" s="2">
        <f t="shared" ref="D54:P54" si="57">D46/(D19)</f>
        <v>59404.666666666664</v>
      </c>
      <c r="E54" s="2">
        <f t="shared" si="57"/>
        <v>47045.333333333336</v>
      </c>
      <c r="F54" s="2">
        <f t="shared" si="57"/>
        <v>48205.833333333336</v>
      </c>
      <c r="G54" s="2">
        <f t="shared" si="57"/>
        <v>41840.833333333336</v>
      </c>
      <c r="H54" s="2">
        <f t="shared" si="57"/>
        <v>38636</v>
      </c>
      <c r="I54" s="2">
        <f t="shared" si="57"/>
        <v>49192.5</v>
      </c>
      <c r="J54" s="2">
        <f t="shared" si="57"/>
        <v>47202</v>
      </c>
      <c r="K54" s="2">
        <f t="shared" si="57"/>
        <v>38923.666666666664</v>
      </c>
      <c r="L54" s="2">
        <f t="shared" si="57"/>
        <v>68434</v>
      </c>
      <c r="M54" s="2">
        <f t="shared" si="57"/>
        <v>58603.166666666664</v>
      </c>
      <c r="N54" s="15">
        <f t="shared" si="57"/>
        <v>49858.333333333336</v>
      </c>
      <c r="O54" s="15">
        <f t="shared" si="57"/>
        <v>50606.666666666664</v>
      </c>
      <c r="P54" s="2">
        <f t="shared" si="57"/>
        <v>49829.416666666664</v>
      </c>
      <c r="S54" s="3">
        <f t="shared" ref="S54:AE54" si="58">S46/(D19)</f>
        <v>7701.7213866666671</v>
      </c>
      <c r="T54" s="3">
        <f t="shared" si="58"/>
        <v>6151.3666133333345</v>
      </c>
      <c r="U54" s="3">
        <f t="shared" si="58"/>
        <v>6296.9397333333327</v>
      </c>
      <c r="V54" s="3">
        <f t="shared" si="58"/>
        <v>5498.514133333334</v>
      </c>
      <c r="W54" s="3">
        <f t="shared" si="58"/>
        <v>5096.4998399999995</v>
      </c>
      <c r="X54" s="3">
        <f t="shared" si="58"/>
        <v>6420.7071999999998</v>
      </c>
      <c r="Y54" s="3">
        <f t="shared" si="58"/>
        <v>6171.0188799999996</v>
      </c>
      <c r="Z54" s="3">
        <f t="shared" si="58"/>
        <v>5132.5847466666664</v>
      </c>
      <c r="AA54" s="3">
        <f t="shared" si="58"/>
        <v>8834.36096</v>
      </c>
      <c r="AB54" s="3">
        <f t="shared" si="58"/>
        <v>7601.1812266666666</v>
      </c>
      <c r="AC54" s="20">
        <f t="shared" si="58"/>
        <v>6504.2293333333328</v>
      </c>
      <c r="AD54" s="20">
        <f t="shared" si="58"/>
        <v>6598.1002666666673</v>
      </c>
      <c r="AE54" s="3">
        <f t="shared" si="58"/>
        <v>6500.6020266666665</v>
      </c>
    </row>
    <row r="55" spans="1:32" x14ac:dyDescent="0.25">
      <c r="A55" t="s">
        <v>73</v>
      </c>
      <c r="D55" s="13">
        <f t="shared" ref="D55:P55" si="59">D47/(D21+D23)</f>
        <v>2644760.5</v>
      </c>
      <c r="E55" s="13">
        <f t="shared" si="59"/>
        <v>3135338</v>
      </c>
      <c r="F55" s="13">
        <f t="shared" si="59"/>
        <v>3140470</v>
      </c>
      <c r="G55" s="13">
        <f t="shared" si="59"/>
        <v>3849087</v>
      </c>
      <c r="H55" s="13">
        <f t="shared" si="59"/>
        <v>2333345</v>
      </c>
      <c r="I55" s="13">
        <f t="shared" si="59"/>
        <v>1874740.5</v>
      </c>
      <c r="J55" s="13">
        <f t="shared" si="59"/>
        <v>2577461.5</v>
      </c>
      <c r="K55" s="13">
        <f t="shared" si="59"/>
        <v>2948517.5</v>
      </c>
      <c r="L55" s="13">
        <f t="shared" si="59"/>
        <v>2144935</v>
      </c>
      <c r="M55" s="13">
        <f t="shared" si="59"/>
        <v>2786757.5</v>
      </c>
      <c r="N55" s="23">
        <f t="shared" si="59"/>
        <v>2845919</v>
      </c>
      <c r="O55" s="23">
        <f t="shared" si="59"/>
        <v>3019291</v>
      </c>
      <c r="P55" s="13">
        <f t="shared" si="59"/>
        <v>2775051.875</v>
      </c>
      <c r="S55" s="3">
        <f t="shared" ref="S55:AE55" si="60">S47/(D21+D23)</f>
        <v>4726.4449999999997</v>
      </c>
      <c r="T55" s="3">
        <f t="shared" si="60"/>
        <v>4515.2950000000001</v>
      </c>
      <c r="U55" s="3">
        <f t="shared" si="60"/>
        <v>4617.9350000000004</v>
      </c>
      <c r="V55" s="3">
        <f t="shared" si="60"/>
        <v>4353.5650000000005</v>
      </c>
      <c r="W55" s="3">
        <f t="shared" si="60"/>
        <v>4142.7350000000006</v>
      </c>
      <c r="X55" s="3">
        <f t="shared" si="60"/>
        <v>3670.145</v>
      </c>
      <c r="Y55" s="3">
        <f t="shared" si="60"/>
        <v>3986.7449999999999</v>
      </c>
      <c r="Z55" s="3">
        <f t="shared" si="60"/>
        <v>4080.2350000000001</v>
      </c>
      <c r="AA55" s="3">
        <f t="shared" si="60"/>
        <v>4057.605</v>
      </c>
      <c r="AB55" s="3">
        <f t="shared" si="60"/>
        <v>4112.5150000000003</v>
      </c>
      <c r="AC55" s="20">
        <f t="shared" si="60"/>
        <v>4067.9950000000003</v>
      </c>
      <c r="AD55" s="20">
        <f t="shared" si="60"/>
        <v>3839.6849999999999</v>
      </c>
      <c r="AE55" s="3">
        <f t="shared" si="60"/>
        <v>4180.9083333333338</v>
      </c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66"/>
  <sheetViews>
    <sheetView zoomScale="83" zoomScaleNormal="83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2.140625" customWidth="1"/>
    <col min="18" max="18" width="10.8554687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" customWidth="1"/>
    <col min="29" max="29" width="11.85546875" style="14" customWidth="1"/>
    <col min="30" max="30" width="11.7109375" style="14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92</v>
      </c>
      <c r="R1" s="236" t="s">
        <v>292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"/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93</v>
      </c>
      <c r="B3" t="s">
        <v>14</v>
      </c>
      <c r="D3" s="10">
        <v>92437</v>
      </c>
      <c r="E3" s="10">
        <v>92306</v>
      </c>
      <c r="F3" s="10">
        <v>92491</v>
      </c>
      <c r="G3" s="10">
        <v>92448</v>
      </c>
      <c r="H3" s="10">
        <v>92279</v>
      </c>
      <c r="I3" s="10">
        <v>92730</v>
      </c>
      <c r="J3" s="10">
        <v>92591</v>
      </c>
      <c r="K3" s="10">
        <v>92640</v>
      </c>
      <c r="L3" s="10">
        <v>90984</v>
      </c>
      <c r="M3" s="10">
        <v>91917</v>
      </c>
      <c r="N3" s="10">
        <v>92046</v>
      </c>
      <c r="O3" s="10">
        <v>92780</v>
      </c>
      <c r="P3" s="2">
        <f>SUM(D3:O3)</f>
        <v>1107649</v>
      </c>
      <c r="Q3" s="2"/>
      <c r="R3" s="249">
        <v>10.5</v>
      </c>
      <c r="S3" s="3">
        <f t="shared" ref="S3:AD8" si="0">$R3*D3</f>
        <v>970588.5</v>
      </c>
      <c r="T3" s="3">
        <f t="shared" si="0"/>
        <v>969213</v>
      </c>
      <c r="U3" s="3">
        <f t="shared" si="0"/>
        <v>971155.5</v>
      </c>
      <c r="V3" s="3">
        <f t="shared" si="0"/>
        <v>970704</v>
      </c>
      <c r="W3" s="3">
        <f t="shared" si="0"/>
        <v>968929.5</v>
      </c>
      <c r="X3" s="3">
        <f t="shared" si="0"/>
        <v>973665</v>
      </c>
      <c r="Y3" s="3">
        <f t="shared" si="0"/>
        <v>972205.5</v>
      </c>
      <c r="Z3" s="3">
        <f t="shared" si="0"/>
        <v>972720</v>
      </c>
      <c r="AA3" s="3">
        <f t="shared" si="0"/>
        <v>955332</v>
      </c>
      <c r="AB3" s="3">
        <f t="shared" si="0"/>
        <v>965128.5</v>
      </c>
      <c r="AC3" s="20">
        <f t="shared" si="0"/>
        <v>966483</v>
      </c>
      <c r="AD3" s="20">
        <f t="shared" si="0"/>
        <v>974190</v>
      </c>
      <c r="AE3" s="3">
        <f>SUM(S3:AD3)</f>
        <v>11630314.5</v>
      </c>
    </row>
    <row r="4" spans="1:31" x14ac:dyDescent="0.25">
      <c r="B4" t="s">
        <v>82</v>
      </c>
      <c r="D4" s="10">
        <v>8495761.5860099997</v>
      </c>
      <c r="E4" s="10">
        <v>7514884.3162900005</v>
      </c>
      <c r="F4" s="10">
        <v>6562934.1418000003</v>
      </c>
      <c r="G4" s="10">
        <v>5312173.5804199995</v>
      </c>
      <c r="H4" s="10">
        <v>2675229.3106300002</v>
      </c>
      <c r="I4" s="10">
        <v>2078643.5750899999</v>
      </c>
      <c r="J4" s="10">
        <v>1381665.0207799999</v>
      </c>
      <c r="K4" s="10">
        <v>1062983.76786</v>
      </c>
      <c r="L4" s="10">
        <v>1131001.71682</v>
      </c>
      <c r="M4" s="10">
        <v>1573181.6129999999</v>
      </c>
      <c r="N4" s="10">
        <v>4174314.6231300002</v>
      </c>
      <c r="O4" s="10">
        <v>8251175.1203899998</v>
      </c>
      <c r="P4" s="2">
        <f t="shared" ref="P4:P32" si="1">SUM(D4:O4)</f>
        <v>50213948.372220002</v>
      </c>
      <c r="Q4" s="2"/>
      <c r="R4" s="250">
        <v>1.06833</v>
      </c>
      <c r="S4" s="3">
        <f t="shared" si="0"/>
        <v>9076276.9751820639</v>
      </c>
      <c r="T4" s="3">
        <f t="shared" si="0"/>
        <v>8028376.361622096</v>
      </c>
      <c r="U4" s="3">
        <f t="shared" si="0"/>
        <v>7011379.4317091946</v>
      </c>
      <c r="V4" s="3">
        <f t="shared" si="0"/>
        <v>5675154.4011700982</v>
      </c>
      <c r="W4" s="3">
        <f t="shared" si="0"/>
        <v>2858027.7294253483</v>
      </c>
      <c r="X4" s="3">
        <f t="shared" si="0"/>
        <v>2220677.2905758996</v>
      </c>
      <c r="Y4" s="3">
        <f t="shared" si="0"/>
        <v>1476074.1916498973</v>
      </c>
      <c r="Z4" s="3">
        <f t="shared" si="0"/>
        <v>1135617.4487178738</v>
      </c>
      <c r="AA4" s="3">
        <f t="shared" si="0"/>
        <v>1208283.0641303107</v>
      </c>
      <c r="AB4" s="3">
        <f t="shared" si="0"/>
        <v>1680677.1126162899</v>
      </c>
      <c r="AC4" s="20">
        <f t="shared" si="0"/>
        <v>4459545.541328473</v>
      </c>
      <c r="AD4" s="20">
        <f t="shared" si="0"/>
        <v>8814977.9163662493</v>
      </c>
      <c r="AE4" s="3">
        <f t="shared" ref="AE4:AE24" si="2">SUM(S4:AD4)</f>
        <v>53645067.464493804</v>
      </c>
    </row>
    <row r="5" spans="1:31" x14ac:dyDescent="0.25">
      <c r="A5" t="s">
        <v>94</v>
      </c>
      <c r="B5" t="s">
        <v>14</v>
      </c>
      <c r="D5" s="10">
        <v>11938</v>
      </c>
      <c r="E5" s="10">
        <v>11927</v>
      </c>
      <c r="F5" s="10">
        <v>11935</v>
      </c>
      <c r="G5" s="10">
        <v>11915</v>
      </c>
      <c r="H5" s="10">
        <v>11774</v>
      </c>
      <c r="I5" s="10">
        <v>12020</v>
      </c>
      <c r="J5" s="10">
        <v>11923</v>
      </c>
      <c r="K5" s="10">
        <v>11869</v>
      </c>
      <c r="L5" s="10">
        <v>11679</v>
      </c>
      <c r="M5" s="10">
        <v>11784</v>
      </c>
      <c r="N5" s="10">
        <v>11749</v>
      </c>
      <c r="O5" s="10">
        <v>11941</v>
      </c>
      <c r="P5" s="2">
        <f t="shared" si="1"/>
        <v>142454</v>
      </c>
      <c r="Q5" s="2"/>
      <c r="R5" s="249">
        <v>17</v>
      </c>
      <c r="S5" s="3">
        <f t="shared" si="0"/>
        <v>202946</v>
      </c>
      <c r="T5" s="3">
        <f t="shared" si="0"/>
        <v>202759</v>
      </c>
      <c r="U5" s="3">
        <f t="shared" si="0"/>
        <v>202895</v>
      </c>
      <c r="V5" s="3">
        <f t="shared" si="0"/>
        <v>202555</v>
      </c>
      <c r="W5" s="3">
        <f t="shared" si="0"/>
        <v>200158</v>
      </c>
      <c r="X5" s="3">
        <f t="shared" si="0"/>
        <v>204340</v>
      </c>
      <c r="Y5" s="3">
        <f t="shared" si="0"/>
        <v>202691</v>
      </c>
      <c r="Z5" s="3">
        <f t="shared" si="0"/>
        <v>201773</v>
      </c>
      <c r="AA5" s="3">
        <f t="shared" si="0"/>
        <v>198543</v>
      </c>
      <c r="AB5" s="3">
        <f t="shared" si="0"/>
        <v>200328</v>
      </c>
      <c r="AC5" s="20">
        <f t="shared" si="0"/>
        <v>199733</v>
      </c>
      <c r="AD5" s="20">
        <f t="shared" si="0"/>
        <v>202997</v>
      </c>
      <c r="AE5" s="3">
        <f t="shared" si="2"/>
        <v>2421718</v>
      </c>
    </row>
    <row r="6" spans="1:31" x14ac:dyDescent="0.25">
      <c r="B6" t="s">
        <v>82</v>
      </c>
      <c r="D6" s="10">
        <v>4533134.3696900001</v>
      </c>
      <c r="E6" s="10">
        <v>4062712.6302299998</v>
      </c>
      <c r="F6" s="10">
        <v>3537064.76614</v>
      </c>
      <c r="G6" s="10">
        <v>2596005.51461</v>
      </c>
      <c r="H6" s="10">
        <v>1298497.8514099999</v>
      </c>
      <c r="I6" s="10">
        <v>1056336.88365</v>
      </c>
      <c r="J6" s="10">
        <v>824581.74543999997</v>
      </c>
      <c r="K6" s="10">
        <v>736239.73742000002</v>
      </c>
      <c r="L6" s="10">
        <v>752193.32131999999</v>
      </c>
      <c r="M6" s="10">
        <v>936908.77327999996</v>
      </c>
      <c r="N6" s="10">
        <v>2110582.7185</v>
      </c>
      <c r="O6" s="10">
        <v>4129803.2163</v>
      </c>
      <c r="P6" s="2">
        <f t="shared" si="1"/>
        <v>26574061.527989995</v>
      </c>
      <c r="Q6" s="2"/>
      <c r="R6" s="250">
        <v>0.98162000000000005</v>
      </c>
      <c r="S6" s="3">
        <f t="shared" si="0"/>
        <v>4449815.3599750977</v>
      </c>
      <c r="T6" s="3">
        <f t="shared" si="0"/>
        <v>3988039.9720863728</v>
      </c>
      <c r="U6" s="3">
        <f t="shared" si="0"/>
        <v>3472053.5157383471</v>
      </c>
      <c r="V6" s="3">
        <f t="shared" si="0"/>
        <v>2548290.9332514685</v>
      </c>
      <c r="W6" s="3">
        <f t="shared" si="0"/>
        <v>1274631.4609010841</v>
      </c>
      <c r="X6" s="3">
        <f t="shared" si="0"/>
        <v>1036921.4117285131</v>
      </c>
      <c r="Y6" s="3">
        <f t="shared" si="0"/>
        <v>809425.9329588128</v>
      </c>
      <c r="Z6" s="3">
        <f t="shared" si="0"/>
        <v>722707.65104622045</v>
      </c>
      <c r="AA6" s="3">
        <f t="shared" si="0"/>
        <v>738368.00807413843</v>
      </c>
      <c r="AB6" s="3">
        <f t="shared" si="0"/>
        <v>919688.39002711361</v>
      </c>
      <c r="AC6" s="20">
        <f t="shared" si="0"/>
        <v>2071790.2081339702</v>
      </c>
      <c r="AD6" s="20">
        <f t="shared" si="0"/>
        <v>4053897.4331844063</v>
      </c>
      <c r="AE6" s="3">
        <f t="shared" si="2"/>
        <v>26085630.277105544</v>
      </c>
    </row>
    <row r="7" spans="1:31" x14ac:dyDescent="0.25">
      <c r="A7" t="s">
        <v>95</v>
      </c>
      <c r="B7" t="s">
        <v>14</v>
      </c>
      <c r="D7" s="10">
        <v>91</v>
      </c>
      <c r="E7" s="10">
        <v>92</v>
      </c>
      <c r="F7" s="10">
        <v>93</v>
      </c>
      <c r="G7" s="10">
        <v>93</v>
      </c>
      <c r="H7" s="10">
        <v>92</v>
      </c>
      <c r="I7" s="10">
        <v>94</v>
      </c>
      <c r="J7" s="10">
        <v>93</v>
      </c>
      <c r="K7" s="10">
        <v>93</v>
      </c>
      <c r="L7" s="10">
        <v>96</v>
      </c>
      <c r="M7" s="10">
        <v>96</v>
      </c>
      <c r="N7" s="10">
        <v>105</v>
      </c>
      <c r="O7" s="10">
        <v>96</v>
      </c>
      <c r="P7" s="2">
        <f t="shared" si="1"/>
        <v>1134</v>
      </c>
      <c r="Q7" s="2"/>
      <c r="R7" s="249">
        <v>55</v>
      </c>
      <c r="S7" s="3">
        <f t="shared" si="0"/>
        <v>5005</v>
      </c>
      <c r="T7" s="3">
        <f t="shared" si="0"/>
        <v>5060</v>
      </c>
      <c r="U7" s="3">
        <f t="shared" si="0"/>
        <v>5115</v>
      </c>
      <c r="V7" s="3">
        <f t="shared" si="0"/>
        <v>5115</v>
      </c>
      <c r="W7" s="3">
        <f t="shared" si="0"/>
        <v>5060</v>
      </c>
      <c r="X7" s="3">
        <f t="shared" si="0"/>
        <v>5170</v>
      </c>
      <c r="Y7" s="3">
        <f t="shared" si="0"/>
        <v>5115</v>
      </c>
      <c r="Z7" s="3">
        <f t="shared" si="0"/>
        <v>5115</v>
      </c>
      <c r="AA7" s="3">
        <f t="shared" si="0"/>
        <v>5280</v>
      </c>
      <c r="AB7" s="3">
        <f t="shared" si="0"/>
        <v>5280</v>
      </c>
      <c r="AC7" s="20">
        <f t="shared" si="0"/>
        <v>5775</v>
      </c>
      <c r="AD7" s="20">
        <f t="shared" si="0"/>
        <v>5280</v>
      </c>
      <c r="AE7" s="3">
        <f t="shared" si="2"/>
        <v>62370</v>
      </c>
    </row>
    <row r="8" spans="1:31" x14ac:dyDescent="0.25">
      <c r="B8" t="s">
        <v>82</v>
      </c>
      <c r="D8" s="10">
        <v>483820.71191000001</v>
      </c>
      <c r="E8" s="10">
        <v>447692.56657999998</v>
      </c>
      <c r="F8" s="10">
        <v>431941.23499999999</v>
      </c>
      <c r="G8" s="10">
        <v>361257.58600000001</v>
      </c>
      <c r="H8" s="10">
        <v>255223.66099999999</v>
      </c>
      <c r="I8" s="10">
        <v>245307.84099999999</v>
      </c>
      <c r="J8" s="10">
        <v>240347.05499999999</v>
      </c>
      <c r="K8" s="10">
        <v>239277.56132000001</v>
      </c>
      <c r="L8" s="10">
        <v>226264.75923</v>
      </c>
      <c r="M8" s="10">
        <v>253647.97912999999</v>
      </c>
      <c r="N8" s="10">
        <v>369474.41460999998</v>
      </c>
      <c r="O8" s="10">
        <v>443442.49919</v>
      </c>
      <c r="P8" s="2">
        <f t="shared" si="1"/>
        <v>3997697.8699699994</v>
      </c>
      <c r="Q8" s="2"/>
      <c r="R8" s="250">
        <v>0.49925999999999998</v>
      </c>
      <c r="S8" s="3">
        <f t="shared" si="0"/>
        <v>241552.3286281866</v>
      </c>
      <c r="T8" s="3">
        <f t="shared" si="0"/>
        <v>223514.99079073078</v>
      </c>
      <c r="U8" s="3">
        <f t="shared" si="0"/>
        <v>215650.98098609998</v>
      </c>
      <c r="V8" s="3">
        <f t="shared" si="0"/>
        <v>180361.46238635998</v>
      </c>
      <c r="W8" s="3">
        <f t="shared" si="0"/>
        <v>127422.96499086</v>
      </c>
      <c r="X8" s="3">
        <f t="shared" si="0"/>
        <v>122472.39269765999</v>
      </c>
      <c r="Y8" s="3">
        <f t="shared" si="0"/>
        <v>119995.67067929999</v>
      </c>
      <c r="Z8" s="3">
        <f t="shared" si="0"/>
        <v>119461.7152646232</v>
      </c>
      <c r="AA8" s="3">
        <f t="shared" si="0"/>
        <v>112964.9436931698</v>
      </c>
      <c r="AB8" s="3">
        <f t="shared" si="0"/>
        <v>126636.29006044379</v>
      </c>
      <c r="AC8" s="20">
        <f t="shared" si="0"/>
        <v>184463.79623818857</v>
      </c>
      <c r="AD8" s="20">
        <f t="shared" si="0"/>
        <v>221393.10214559941</v>
      </c>
      <c r="AE8" s="3">
        <f t="shared" si="2"/>
        <v>1995890.6385612222</v>
      </c>
    </row>
    <row r="9" spans="1:31" x14ac:dyDescent="0.25">
      <c r="A9" t="s">
        <v>96</v>
      </c>
      <c r="B9" t="s">
        <v>14</v>
      </c>
      <c r="D9" s="10">
        <v>37</v>
      </c>
      <c r="E9" s="10">
        <v>39</v>
      </c>
      <c r="F9" s="10">
        <v>37</v>
      </c>
      <c r="G9" s="10">
        <v>37</v>
      </c>
      <c r="H9" s="10">
        <v>35</v>
      </c>
      <c r="I9" s="10">
        <v>37</v>
      </c>
      <c r="J9" s="10">
        <v>36</v>
      </c>
      <c r="K9" s="10">
        <v>38</v>
      </c>
      <c r="L9" s="10">
        <v>39</v>
      </c>
      <c r="M9" s="10">
        <v>39</v>
      </c>
      <c r="N9" s="10">
        <v>36</v>
      </c>
      <c r="O9" s="10">
        <v>35</v>
      </c>
      <c r="P9" s="2">
        <f t="shared" si="1"/>
        <v>445</v>
      </c>
      <c r="Q9" s="2"/>
      <c r="R9" s="249">
        <v>75</v>
      </c>
      <c r="S9" s="3">
        <f t="shared" ref="S9:AD11" si="3">$R9*D9</f>
        <v>2775</v>
      </c>
      <c r="T9" s="3">
        <f t="shared" si="3"/>
        <v>2925</v>
      </c>
      <c r="U9" s="3">
        <f t="shared" si="3"/>
        <v>2775</v>
      </c>
      <c r="V9" s="3">
        <f t="shared" si="3"/>
        <v>2775</v>
      </c>
      <c r="W9" s="3">
        <f t="shared" si="3"/>
        <v>2625</v>
      </c>
      <c r="X9" s="3">
        <f t="shared" si="3"/>
        <v>2775</v>
      </c>
      <c r="Y9" s="3">
        <f t="shared" si="3"/>
        <v>2700</v>
      </c>
      <c r="Z9" s="3">
        <f t="shared" si="3"/>
        <v>2850</v>
      </c>
      <c r="AA9" s="3">
        <f t="shared" si="3"/>
        <v>2925</v>
      </c>
      <c r="AB9" s="3">
        <f t="shared" si="3"/>
        <v>2925</v>
      </c>
      <c r="AC9" s="20">
        <f t="shared" si="3"/>
        <v>2700</v>
      </c>
      <c r="AD9" s="20">
        <f t="shared" si="3"/>
        <v>2625</v>
      </c>
      <c r="AE9" s="3">
        <f t="shared" si="2"/>
        <v>33375</v>
      </c>
    </row>
    <row r="10" spans="1:31" x14ac:dyDescent="0.25">
      <c r="B10" t="s">
        <v>82</v>
      </c>
      <c r="D10" s="10">
        <v>978025.44799999997</v>
      </c>
      <c r="E10" s="10">
        <v>1298382.6410000001</v>
      </c>
      <c r="F10" s="10">
        <v>1256409.936</v>
      </c>
      <c r="G10" s="10">
        <v>1277613.925</v>
      </c>
      <c r="H10" s="10">
        <v>1037168.4449999999</v>
      </c>
      <c r="I10" s="10">
        <v>967072.75699999998</v>
      </c>
      <c r="J10" s="10">
        <v>1015424.191</v>
      </c>
      <c r="K10" s="10">
        <v>1011127.424</v>
      </c>
      <c r="L10" s="10">
        <v>1098947.852</v>
      </c>
      <c r="M10" s="10">
        <v>1056492.199</v>
      </c>
      <c r="N10" s="10">
        <v>1151147.763</v>
      </c>
      <c r="O10" s="10">
        <v>1305567.389</v>
      </c>
      <c r="P10" s="2">
        <f t="shared" si="1"/>
        <v>13453379.970000001</v>
      </c>
      <c r="Q10" s="2"/>
      <c r="R10" s="250">
        <v>0.26834000000000002</v>
      </c>
      <c r="S10" s="3">
        <f t="shared" si="3"/>
        <v>262443.34871632</v>
      </c>
      <c r="T10" s="3">
        <f t="shared" si="3"/>
        <v>348407.99788594007</v>
      </c>
      <c r="U10" s="3">
        <f t="shared" si="3"/>
        <v>337145.04222624004</v>
      </c>
      <c r="V10" s="3">
        <f t="shared" si="3"/>
        <v>342834.92063450004</v>
      </c>
      <c r="W10" s="3">
        <f t="shared" si="3"/>
        <v>278313.7805313</v>
      </c>
      <c r="X10" s="3">
        <f t="shared" si="3"/>
        <v>259504.30361338001</v>
      </c>
      <c r="Y10" s="3">
        <f t="shared" si="3"/>
        <v>272478.92741294001</v>
      </c>
      <c r="Z10" s="3">
        <f t="shared" si="3"/>
        <v>271325.93295616005</v>
      </c>
      <c r="AA10" s="3">
        <f t="shared" si="3"/>
        <v>294891.66660568002</v>
      </c>
      <c r="AB10" s="3">
        <f t="shared" si="3"/>
        <v>283499.11667966004</v>
      </c>
      <c r="AC10" s="20">
        <f t="shared" si="3"/>
        <v>308898.99072342005</v>
      </c>
      <c r="AD10" s="20">
        <f t="shared" si="3"/>
        <v>350335.95316426002</v>
      </c>
      <c r="AE10" s="3">
        <f t="shared" si="2"/>
        <v>3610079.9811498001</v>
      </c>
    </row>
    <row r="11" spans="1:31" x14ac:dyDescent="0.25">
      <c r="A11" t="s">
        <v>97</v>
      </c>
      <c r="B11" t="s">
        <v>14</v>
      </c>
      <c r="D11" s="10">
        <v>1</v>
      </c>
      <c r="E11" s="10">
        <v>1</v>
      </c>
      <c r="F11" s="10">
        <v>1</v>
      </c>
      <c r="G11" s="10">
        <v>1</v>
      </c>
      <c r="H11" s="10">
        <v>3</v>
      </c>
      <c r="I11" s="10">
        <v>2</v>
      </c>
      <c r="J11" s="10">
        <v>2</v>
      </c>
      <c r="K11" s="10">
        <v>2</v>
      </c>
      <c r="L11" s="10">
        <v>6</v>
      </c>
      <c r="M11" s="10">
        <v>2</v>
      </c>
      <c r="N11" s="10">
        <v>2</v>
      </c>
      <c r="O11" s="10">
        <v>2</v>
      </c>
      <c r="P11" s="2">
        <f t="shared" si="1"/>
        <v>25</v>
      </c>
      <c r="Q11" s="2"/>
      <c r="R11" s="249">
        <v>0</v>
      </c>
      <c r="S11" s="3">
        <f t="shared" si="3"/>
        <v>0</v>
      </c>
      <c r="T11" s="3">
        <f t="shared" si="3"/>
        <v>0</v>
      </c>
      <c r="U11" s="3">
        <f t="shared" si="3"/>
        <v>0</v>
      </c>
      <c r="V11" s="3">
        <f t="shared" si="3"/>
        <v>0</v>
      </c>
      <c r="W11" s="3">
        <f t="shared" si="3"/>
        <v>0</v>
      </c>
      <c r="X11" s="3">
        <f t="shared" si="3"/>
        <v>0</v>
      </c>
      <c r="Y11" s="3">
        <f t="shared" si="3"/>
        <v>0</v>
      </c>
      <c r="Z11" s="3">
        <f t="shared" si="3"/>
        <v>0</v>
      </c>
      <c r="AA11" s="3">
        <f t="shared" si="3"/>
        <v>0</v>
      </c>
      <c r="AB11" s="3">
        <f t="shared" si="3"/>
        <v>0</v>
      </c>
      <c r="AC11" s="20">
        <f t="shared" si="3"/>
        <v>0</v>
      </c>
      <c r="AD11" s="20">
        <f t="shared" si="3"/>
        <v>0</v>
      </c>
      <c r="AE11" s="3">
        <f t="shared" si="2"/>
        <v>0</v>
      </c>
    </row>
    <row r="12" spans="1:31" x14ac:dyDescent="0.25">
      <c r="B12" t="s">
        <v>82</v>
      </c>
      <c r="D12" s="10">
        <v>4.1559999999999997</v>
      </c>
      <c r="E12" s="10">
        <v>5.22</v>
      </c>
      <c r="F12" s="10">
        <v>3.1259999999999999</v>
      </c>
      <c r="G12" s="10">
        <v>75.239999999999995</v>
      </c>
      <c r="H12" s="10">
        <v>15219.464</v>
      </c>
      <c r="I12" s="10">
        <v>6538.4269999999997</v>
      </c>
      <c r="J12" s="10">
        <v>20172.150000000001</v>
      </c>
      <c r="K12" s="10">
        <v>28070.749</v>
      </c>
      <c r="L12" s="10">
        <v>94093.043000000005</v>
      </c>
      <c r="M12" s="10">
        <v>41916.576999999997</v>
      </c>
      <c r="N12" s="10">
        <v>13847.895</v>
      </c>
      <c r="O12" s="10">
        <v>2539.35</v>
      </c>
      <c r="P12" s="2">
        <f t="shared" si="1"/>
        <v>222485.397</v>
      </c>
      <c r="Q12" s="2"/>
      <c r="R12" s="250">
        <v>0.50417999999999996</v>
      </c>
      <c r="S12" s="3">
        <f t="shared" ref="S12:AD24" si="4">$R12*D12</f>
        <v>2.0953720799999997</v>
      </c>
      <c r="T12" s="3">
        <f t="shared" si="4"/>
        <v>2.6318195999999996</v>
      </c>
      <c r="U12" s="3">
        <f t="shared" si="4"/>
        <v>1.5760666799999998</v>
      </c>
      <c r="V12" s="3">
        <f t="shared" si="4"/>
        <v>37.934503199999995</v>
      </c>
      <c r="W12" s="3">
        <f t="shared" si="4"/>
        <v>7673.3493595199998</v>
      </c>
      <c r="X12" s="3">
        <f t="shared" si="4"/>
        <v>3296.5441248599996</v>
      </c>
      <c r="Y12" s="3">
        <f t="shared" si="4"/>
        <v>10170.394587000001</v>
      </c>
      <c r="Z12" s="3">
        <f t="shared" si="4"/>
        <v>14152.710230819999</v>
      </c>
      <c r="AA12" s="3">
        <f t="shared" si="4"/>
        <v>47439.830419739999</v>
      </c>
      <c r="AB12" s="3">
        <f t="shared" si="4"/>
        <v>21133.499791859998</v>
      </c>
      <c r="AC12" s="20">
        <f t="shared" si="4"/>
        <v>6981.8317010999999</v>
      </c>
      <c r="AD12" s="20">
        <f t="shared" si="4"/>
        <v>1280.2894829999998</v>
      </c>
      <c r="AE12" s="3">
        <f t="shared" si="2"/>
        <v>112172.68745946001</v>
      </c>
    </row>
    <row r="13" spans="1:31" x14ac:dyDescent="0.25">
      <c r="A13" t="s">
        <v>98</v>
      </c>
      <c r="B13" t="s">
        <v>14</v>
      </c>
      <c r="D13" s="10">
        <v>32</v>
      </c>
      <c r="E13" s="10">
        <v>32</v>
      </c>
      <c r="F13" s="10">
        <v>32</v>
      </c>
      <c r="G13" s="10">
        <v>32</v>
      </c>
      <c r="H13" s="10">
        <v>32</v>
      </c>
      <c r="I13" s="10">
        <v>32</v>
      </c>
      <c r="J13" s="10">
        <v>32</v>
      </c>
      <c r="K13" s="10">
        <v>31</v>
      </c>
      <c r="L13" s="10">
        <v>31</v>
      </c>
      <c r="M13" s="10">
        <v>31</v>
      </c>
      <c r="N13" s="10">
        <v>31</v>
      </c>
      <c r="O13" s="10">
        <v>31</v>
      </c>
      <c r="P13" s="2">
        <f t="shared" si="1"/>
        <v>379</v>
      </c>
      <c r="Q13" s="2"/>
      <c r="R13" s="249">
        <v>300</v>
      </c>
      <c r="S13" s="3">
        <f t="shared" si="4"/>
        <v>9600</v>
      </c>
      <c r="T13" s="3">
        <f t="shared" si="4"/>
        <v>9600</v>
      </c>
      <c r="U13" s="3">
        <f t="shared" si="4"/>
        <v>9600</v>
      </c>
      <c r="V13" s="3">
        <f t="shared" si="4"/>
        <v>9600</v>
      </c>
      <c r="W13" s="3">
        <f t="shared" si="4"/>
        <v>9600</v>
      </c>
      <c r="X13" s="3">
        <f t="shared" si="4"/>
        <v>9600</v>
      </c>
      <c r="Y13" s="3">
        <f t="shared" si="4"/>
        <v>9600</v>
      </c>
      <c r="Z13" s="3">
        <f t="shared" si="4"/>
        <v>9300</v>
      </c>
      <c r="AA13" s="3">
        <f t="shared" si="4"/>
        <v>9300</v>
      </c>
      <c r="AB13" s="3">
        <f t="shared" si="4"/>
        <v>9300</v>
      </c>
      <c r="AC13" s="20">
        <f t="shared" si="4"/>
        <v>9300</v>
      </c>
      <c r="AD13" s="20">
        <f t="shared" si="4"/>
        <v>9300</v>
      </c>
      <c r="AE13" s="3">
        <f t="shared" si="2"/>
        <v>113700</v>
      </c>
    </row>
    <row r="14" spans="1:31" x14ac:dyDescent="0.25">
      <c r="B14" t="s">
        <v>82</v>
      </c>
      <c r="D14" s="10">
        <v>330000</v>
      </c>
      <c r="E14" s="10">
        <v>308649</v>
      </c>
      <c r="F14" s="10">
        <v>304425</v>
      </c>
      <c r="G14" s="10">
        <v>310000</v>
      </c>
      <c r="H14" s="10">
        <v>306944</v>
      </c>
      <c r="I14" s="10">
        <v>297189</v>
      </c>
      <c r="J14" s="10">
        <v>307015</v>
      </c>
      <c r="K14" s="10">
        <v>296020</v>
      </c>
      <c r="L14" s="10">
        <v>295585</v>
      </c>
      <c r="M14" s="10">
        <v>296383</v>
      </c>
      <c r="N14" s="10">
        <v>310000</v>
      </c>
      <c r="O14" s="10">
        <v>310000</v>
      </c>
      <c r="P14" s="2">
        <f t="shared" si="1"/>
        <v>3672210</v>
      </c>
      <c r="Q14" s="2"/>
      <c r="R14" s="250">
        <v>0.16023999999999999</v>
      </c>
      <c r="S14" s="3">
        <f t="shared" si="4"/>
        <v>52879.199999999997</v>
      </c>
      <c r="T14" s="3">
        <f t="shared" si="4"/>
        <v>49457.915759999996</v>
      </c>
      <c r="U14" s="3">
        <f t="shared" si="4"/>
        <v>48781.061999999998</v>
      </c>
      <c r="V14" s="3">
        <f t="shared" si="4"/>
        <v>49674.400000000001</v>
      </c>
      <c r="W14" s="3">
        <f t="shared" si="4"/>
        <v>49184.706559999999</v>
      </c>
      <c r="X14" s="3">
        <f t="shared" si="4"/>
        <v>47621.565360000001</v>
      </c>
      <c r="Y14" s="3">
        <f t="shared" si="4"/>
        <v>49196.083599999998</v>
      </c>
      <c r="Z14" s="3">
        <f t="shared" si="4"/>
        <v>47434.2448</v>
      </c>
      <c r="AA14" s="3">
        <f t="shared" si="4"/>
        <v>47364.540399999998</v>
      </c>
      <c r="AB14" s="3">
        <f t="shared" si="4"/>
        <v>47492.411919999999</v>
      </c>
      <c r="AC14" s="20">
        <f t="shared" si="4"/>
        <v>49674.400000000001</v>
      </c>
      <c r="AD14" s="20">
        <f t="shared" si="4"/>
        <v>49674.400000000001</v>
      </c>
      <c r="AE14" s="3">
        <f t="shared" si="2"/>
        <v>588434.93039999995</v>
      </c>
    </row>
    <row r="15" spans="1:31" x14ac:dyDescent="0.25">
      <c r="B15" t="s">
        <v>83</v>
      </c>
      <c r="D15" s="10">
        <v>621191</v>
      </c>
      <c r="E15" s="10">
        <v>569672</v>
      </c>
      <c r="F15" s="10">
        <v>569816</v>
      </c>
      <c r="G15" s="10">
        <v>571435</v>
      </c>
      <c r="H15" s="10">
        <v>555954</v>
      </c>
      <c r="I15" s="10">
        <v>547109</v>
      </c>
      <c r="J15" s="10">
        <v>509839</v>
      </c>
      <c r="K15" s="10">
        <v>504734</v>
      </c>
      <c r="L15" s="10">
        <v>503866</v>
      </c>
      <c r="M15" s="10">
        <v>508794</v>
      </c>
      <c r="N15" s="10">
        <v>567517</v>
      </c>
      <c r="O15" s="10">
        <v>591015</v>
      </c>
      <c r="P15" s="2">
        <f t="shared" si="1"/>
        <v>6620942</v>
      </c>
      <c r="Q15" s="2"/>
      <c r="R15" s="250">
        <v>9.6970000000000001E-2</v>
      </c>
      <c r="S15" s="3">
        <f t="shared" si="4"/>
        <v>60236.89127</v>
      </c>
      <c r="T15" s="3">
        <f t="shared" si="4"/>
        <v>55241.093840000001</v>
      </c>
      <c r="U15" s="3">
        <f t="shared" si="4"/>
        <v>55255.057520000002</v>
      </c>
      <c r="V15" s="3">
        <f t="shared" si="4"/>
        <v>55412.051950000001</v>
      </c>
      <c r="W15" s="3">
        <f t="shared" si="4"/>
        <v>53910.859380000002</v>
      </c>
      <c r="X15" s="3">
        <f t="shared" si="4"/>
        <v>53053.159729999999</v>
      </c>
      <c r="Y15" s="3">
        <f t="shared" si="4"/>
        <v>49439.087829999997</v>
      </c>
      <c r="Z15" s="3">
        <f t="shared" si="4"/>
        <v>48944.055979999997</v>
      </c>
      <c r="AA15" s="3">
        <f t="shared" si="4"/>
        <v>48859.886019999998</v>
      </c>
      <c r="AB15" s="3">
        <f t="shared" si="4"/>
        <v>49337.754180000004</v>
      </c>
      <c r="AC15" s="20">
        <f t="shared" si="4"/>
        <v>55032.123489999998</v>
      </c>
      <c r="AD15" s="20">
        <f t="shared" si="4"/>
        <v>57310.724549999999</v>
      </c>
      <c r="AE15" s="3">
        <f t="shared" si="2"/>
        <v>642032.74574000004</v>
      </c>
    </row>
    <row r="16" spans="1:31" x14ac:dyDescent="0.25">
      <c r="B16" t="s">
        <v>84</v>
      </c>
      <c r="D16" s="10">
        <v>486392</v>
      </c>
      <c r="E16" s="10">
        <v>470248</v>
      </c>
      <c r="F16" s="10">
        <v>461359</v>
      </c>
      <c r="G16" s="10">
        <v>477192</v>
      </c>
      <c r="H16" s="10">
        <v>396894</v>
      </c>
      <c r="I16" s="10">
        <v>373570</v>
      </c>
      <c r="J16" s="10">
        <v>364723</v>
      </c>
      <c r="K16" s="10">
        <v>351534</v>
      </c>
      <c r="L16" s="10">
        <v>369128</v>
      </c>
      <c r="M16" s="10">
        <v>372514</v>
      </c>
      <c r="N16" s="10">
        <v>435507</v>
      </c>
      <c r="O16" s="10">
        <v>465115</v>
      </c>
      <c r="P16" s="2">
        <f t="shared" si="1"/>
        <v>5024176</v>
      </c>
      <c r="Q16" s="2"/>
      <c r="R16" s="250">
        <v>7.9939999999999997E-2</v>
      </c>
      <c r="S16" s="3">
        <f t="shared" si="4"/>
        <v>38882.176480000002</v>
      </c>
      <c r="T16" s="3">
        <f t="shared" si="4"/>
        <v>37591.625119999997</v>
      </c>
      <c r="U16" s="3">
        <f t="shared" si="4"/>
        <v>36881.038459999996</v>
      </c>
      <c r="V16" s="3">
        <f t="shared" si="4"/>
        <v>38146.728479999998</v>
      </c>
      <c r="W16" s="3">
        <f t="shared" si="4"/>
        <v>31727.70636</v>
      </c>
      <c r="X16" s="3">
        <f t="shared" si="4"/>
        <v>29863.185799999999</v>
      </c>
      <c r="Y16" s="3">
        <f t="shared" si="4"/>
        <v>29155.956619999997</v>
      </c>
      <c r="Z16" s="3">
        <f t="shared" si="4"/>
        <v>28101.627959999998</v>
      </c>
      <c r="AA16" s="3">
        <f t="shared" si="4"/>
        <v>29508.09232</v>
      </c>
      <c r="AB16" s="3">
        <f t="shared" si="4"/>
        <v>29778.76916</v>
      </c>
      <c r="AC16" s="20">
        <f t="shared" si="4"/>
        <v>34814.429579999996</v>
      </c>
      <c r="AD16" s="20">
        <f t="shared" si="4"/>
        <v>37181.293099999995</v>
      </c>
      <c r="AE16" s="3">
        <f t="shared" si="2"/>
        <v>401632.62944000005</v>
      </c>
    </row>
    <row r="17" spans="1:32" x14ac:dyDescent="0.25">
      <c r="B17" t="s">
        <v>85</v>
      </c>
      <c r="D17" s="10">
        <v>1408544</v>
      </c>
      <c r="E17" s="10">
        <v>1490671</v>
      </c>
      <c r="F17" s="10">
        <v>1451267</v>
      </c>
      <c r="G17" s="10">
        <v>1271973</v>
      </c>
      <c r="H17" s="10">
        <v>1006038</v>
      </c>
      <c r="I17" s="10">
        <v>904633</v>
      </c>
      <c r="J17" s="10">
        <v>941626</v>
      </c>
      <c r="K17" s="10">
        <v>786119</v>
      </c>
      <c r="L17" s="10">
        <v>929001</v>
      </c>
      <c r="M17" s="10">
        <v>882200</v>
      </c>
      <c r="N17" s="10">
        <v>1209577</v>
      </c>
      <c r="O17" s="10">
        <v>1331288</v>
      </c>
      <c r="P17" s="2">
        <f t="shared" si="1"/>
        <v>13612937</v>
      </c>
      <c r="Q17" s="2"/>
      <c r="R17" s="250">
        <v>6.2859999999999999E-2</v>
      </c>
      <c r="S17" s="3">
        <f t="shared" si="4"/>
        <v>88541.075840000005</v>
      </c>
      <c r="T17" s="3">
        <f t="shared" si="4"/>
        <v>93703.579060000004</v>
      </c>
      <c r="U17" s="3">
        <f t="shared" si="4"/>
        <v>91226.643620000003</v>
      </c>
      <c r="V17" s="3">
        <f t="shared" si="4"/>
        <v>79956.222779999996</v>
      </c>
      <c r="W17" s="3">
        <f t="shared" si="4"/>
        <v>63239.54868</v>
      </c>
      <c r="X17" s="3">
        <f t="shared" si="4"/>
        <v>56865.230380000001</v>
      </c>
      <c r="Y17" s="3">
        <f t="shared" si="4"/>
        <v>59190.610359999999</v>
      </c>
      <c r="Z17" s="3">
        <f t="shared" si="4"/>
        <v>49415.440340000001</v>
      </c>
      <c r="AA17" s="3">
        <f t="shared" si="4"/>
        <v>58397.002860000001</v>
      </c>
      <c r="AB17" s="3">
        <f t="shared" si="4"/>
        <v>55455.091999999997</v>
      </c>
      <c r="AC17" s="20">
        <f t="shared" si="4"/>
        <v>76034.010219999996</v>
      </c>
      <c r="AD17" s="20">
        <f t="shared" si="4"/>
        <v>83684.763680000004</v>
      </c>
      <c r="AE17" s="3">
        <f t="shared" ref="AE17" si="5">SUM(S17:AD17)</f>
        <v>855709.21981999988</v>
      </c>
    </row>
    <row r="18" spans="1:32" x14ac:dyDescent="0.25">
      <c r="B18" t="s">
        <v>86</v>
      </c>
      <c r="D18" s="10">
        <v>29001</v>
      </c>
      <c r="E18" s="10">
        <v>94765</v>
      </c>
      <c r="F18" s="10">
        <v>46108</v>
      </c>
      <c r="G18" s="10">
        <v>49127</v>
      </c>
      <c r="H18" s="10">
        <v>9754</v>
      </c>
      <c r="I18" s="10">
        <v>34902</v>
      </c>
      <c r="J18" s="10">
        <v>35706</v>
      </c>
      <c r="K18" s="10">
        <v>21691</v>
      </c>
      <c r="L18" s="10">
        <v>43069</v>
      </c>
      <c r="M18" s="10">
        <v>37386</v>
      </c>
      <c r="N18" s="10">
        <v>62495</v>
      </c>
      <c r="O18" s="10">
        <v>43872</v>
      </c>
      <c r="P18" s="2">
        <f t="shared" si="1"/>
        <v>507876</v>
      </c>
      <c r="Q18" s="2"/>
      <c r="R18" s="250">
        <v>3.2550000000000003E-2</v>
      </c>
      <c r="S18" s="3">
        <f t="shared" si="4"/>
        <v>943.98255000000006</v>
      </c>
      <c r="T18" s="3">
        <f t="shared" si="4"/>
        <v>3084.6007500000001</v>
      </c>
      <c r="U18" s="3">
        <f t="shared" si="4"/>
        <v>1500.8154000000002</v>
      </c>
      <c r="V18" s="3">
        <f t="shared" si="4"/>
        <v>1599.0838500000002</v>
      </c>
      <c r="W18" s="3">
        <f t="shared" si="4"/>
        <v>317.49270000000001</v>
      </c>
      <c r="X18" s="3">
        <f t="shared" si="4"/>
        <v>1136.0601000000001</v>
      </c>
      <c r="Y18" s="3">
        <f t="shared" si="4"/>
        <v>1162.2303000000002</v>
      </c>
      <c r="Z18" s="3">
        <f t="shared" si="4"/>
        <v>706.04205000000002</v>
      </c>
      <c r="AA18" s="3">
        <f t="shared" si="4"/>
        <v>1401.8959500000001</v>
      </c>
      <c r="AB18" s="3">
        <f t="shared" si="4"/>
        <v>1216.9143000000001</v>
      </c>
      <c r="AC18" s="20">
        <f t="shared" si="4"/>
        <v>2034.2122500000003</v>
      </c>
      <c r="AD18" s="20">
        <f t="shared" si="4"/>
        <v>1428.0336000000002</v>
      </c>
      <c r="AE18" s="3">
        <f t="shared" si="2"/>
        <v>16531.363800000003</v>
      </c>
    </row>
    <row r="19" spans="1:32" x14ac:dyDescent="0.25">
      <c r="A19" s="12" t="s">
        <v>100</v>
      </c>
      <c r="B19" t="s">
        <v>14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">
        <f t="shared" ref="P19:P20" si="6">SUM(D19:O19)</f>
        <v>0</v>
      </c>
      <c r="Q19" s="2"/>
      <c r="R19" s="249">
        <v>0</v>
      </c>
      <c r="S19" s="3">
        <f t="shared" ref="S19:S20" si="7">$R19*D19</f>
        <v>0</v>
      </c>
      <c r="T19" s="3">
        <f t="shared" ref="T19:T20" si="8">$R19*E19</f>
        <v>0</v>
      </c>
      <c r="U19" s="3">
        <f t="shared" ref="U19:U20" si="9">$R19*F19</f>
        <v>0</v>
      </c>
      <c r="V19" s="3">
        <f t="shared" ref="V19:V20" si="10">$R19*G19</f>
        <v>0</v>
      </c>
      <c r="W19" s="3">
        <f t="shared" ref="W19:W20" si="11">$R19*H19</f>
        <v>0</v>
      </c>
      <c r="X19" s="3">
        <f t="shared" ref="X19:X20" si="12">$R19*I19</f>
        <v>0</v>
      </c>
      <c r="Y19" s="3">
        <f t="shared" ref="Y19:Y20" si="13">$R19*J19</f>
        <v>0</v>
      </c>
      <c r="Z19" s="3">
        <f t="shared" ref="Z19:Z20" si="14">$R19*K19</f>
        <v>0</v>
      </c>
      <c r="AA19" s="3">
        <f t="shared" ref="AA19:AA20" si="15">$R19*L19</f>
        <v>0</v>
      </c>
      <c r="AB19" s="3">
        <f t="shared" ref="AB19:AB20" si="16">$R19*M19</f>
        <v>0</v>
      </c>
      <c r="AC19" s="20">
        <f t="shared" ref="AC19:AC20" si="17">$R19*N19</f>
        <v>0</v>
      </c>
      <c r="AD19" s="20">
        <f t="shared" ref="AD19:AD20" si="18">$R19*O19</f>
        <v>0</v>
      </c>
      <c r="AE19" s="3">
        <f t="shared" ref="AE19:AE20" si="19">SUM(S19:AD19)</f>
        <v>0</v>
      </c>
    </row>
    <row r="20" spans="1:32" x14ac:dyDescent="0.25">
      <c r="A20" s="12"/>
      <c r="B20" t="s">
        <v>87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2">
        <f t="shared" si="6"/>
        <v>0</v>
      </c>
      <c r="Q20" s="2"/>
      <c r="R20" s="250">
        <v>2.75E-2</v>
      </c>
      <c r="S20" s="3">
        <f t="shared" si="7"/>
        <v>0</v>
      </c>
      <c r="T20" s="3">
        <f t="shared" si="8"/>
        <v>0</v>
      </c>
      <c r="U20" s="3">
        <f t="shared" si="9"/>
        <v>0</v>
      </c>
      <c r="V20" s="3">
        <f t="shared" si="10"/>
        <v>0</v>
      </c>
      <c r="W20" s="3">
        <f t="shared" si="11"/>
        <v>0</v>
      </c>
      <c r="X20" s="3">
        <f t="shared" si="12"/>
        <v>0</v>
      </c>
      <c r="Y20" s="3">
        <f t="shared" si="13"/>
        <v>0</v>
      </c>
      <c r="Z20" s="3">
        <f t="shared" si="14"/>
        <v>0</v>
      </c>
      <c r="AA20" s="3">
        <f t="shared" si="15"/>
        <v>0</v>
      </c>
      <c r="AB20" s="3">
        <f t="shared" si="16"/>
        <v>0</v>
      </c>
      <c r="AC20" s="20">
        <f t="shared" si="17"/>
        <v>0</v>
      </c>
      <c r="AD20" s="20">
        <f t="shared" si="18"/>
        <v>0</v>
      </c>
      <c r="AE20" s="3">
        <f t="shared" si="19"/>
        <v>0</v>
      </c>
    </row>
    <row r="21" spans="1:32" ht="14.45" customHeight="1" x14ac:dyDescent="0.25">
      <c r="A21" s="12" t="s">
        <v>101</v>
      </c>
      <c r="B21" t="s">
        <v>14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2">
        <f t="shared" si="1"/>
        <v>12</v>
      </c>
      <c r="Q21" s="2"/>
      <c r="R21" s="249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0">
        <f t="shared" si="4"/>
        <v>0</v>
      </c>
      <c r="AD21" s="20">
        <f t="shared" si="4"/>
        <v>0</v>
      </c>
      <c r="AE21" s="3">
        <f t="shared" si="2"/>
        <v>0</v>
      </c>
    </row>
    <row r="22" spans="1:32" x14ac:dyDescent="0.25">
      <c r="A22" s="12"/>
      <c r="B22" t="s">
        <v>87</v>
      </c>
      <c r="D22" s="10">
        <v>280011</v>
      </c>
      <c r="E22" s="10">
        <v>284538</v>
      </c>
      <c r="F22" s="10">
        <v>294127</v>
      </c>
      <c r="G22" s="10">
        <v>320893</v>
      </c>
      <c r="H22" s="10">
        <v>303570</v>
      </c>
      <c r="I22" s="10">
        <v>306160</v>
      </c>
      <c r="J22" s="10">
        <v>291512</v>
      </c>
      <c r="K22" s="10">
        <v>297140</v>
      </c>
      <c r="L22" s="10">
        <v>308611</v>
      </c>
      <c r="M22" s="10">
        <v>291517</v>
      </c>
      <c r="N22" s="10">
        <v>312412</v>
      </c>
      <c r="O22" s="10">
        <v>295353</v>
      </c>
      <c r="P22" s="2">
        <f t="shared" si="1"/>
        <v>3585844</v>
      </c>
      <c r="Q22" s="2"/>
      <c r="R22" s="250">
        <v>2.5000000000000001E-2</v>
      </c>
      <c r="S22" s="3">
        <f t="shared" si="4"/>
        <v>7000.2750000000005</v>
      </c>
      <c r="T22" s="3">
        <f t="shared" si="4"/>
        <v>7113.4500000000007</v>
      </c>
      <c r="U22" s="3">
        <f t="shared" si="4"/>
        <v>7353.1750000000002</v>
      </c>
      <c r="V22" s="3">
        <f t="shared" si="4"/>
        <v>8022.3250000000007</v>
      </c>
      <c r="W22" s="3">
        <f t="shared" si="4"/>
        <v>7589.25</v>
      </c>
      <c r="X22" s="3">
        <f t="shared" si="4"/>
        <v>7654</v>
      </c>
      <c r="Y22" s="3">
        <f t="shared" si="4"/>
        <v>7287.8</v>
      </c>
      <c r="Z22" s="3">
        <f t="shared" si="4"/>
        <v>7428.5</v>
      </c>
      <c r="AA22" s="3">
        <f t="shared" si="4"/>
        <v>7715.2750000000005</v>
      </c>
      <c r="AB22" s="3">
        <f t="shared" si="4"/>
        <v>7287.9250000000002</v>
      </c>
      <c r="AC22" s="20">
        <f t="shared" si="4"/>
        <v>7810.3</v>
      </c>
      <c r="AD22" s="20">
        <f t="shared" si="4"/>
        <v>7383.8250000000007</v>
      </c>
      <c r="AE22" s="3">
        <f t="shared" si="2"/>
        <v>89646.1</v>
      </c>
    </row>
    <row r="23" spans="1:32" x14ac:dyDescent="0.25">
      <c r="A23" s="12" t="s">
        <v>249</v>
      </c>
      <c r="B23" t="s">
        <v>14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2">
        <f t="shared" si="1"/>
        <v>12</v>
      </c>
      <c r="Q23" s="2"/>
      <c r="R23" s="249"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20">
        <f t="shared" si="4"/>
        <v>0</v>
      </c>
      <c r="AD23" s="20">
        <f t="shared" si="4"/>
        <v>0</v>
      </c>
      <c r="AE23" s="3">
        <f t="shared" si="2"/>
        <v>0</v>
      </c>
    </row>
    <row r="24" spans="1:32" x14ac:dyDescent="0.25">
      <c r="A24" s="12"/>
      <c r="B24" t="s">
        <v>87</v>
      </c>
      <c r="D24" s="10">
        <v>188062</v>
      </c>
      <c r="E24" s="10">
        <v>205023</v>
      </c>
      <c r="F24" s="10">
        <v>238459</v>
      </c>
      <c r="G24" s="10">
        <v>249007</v>
      </c>
      <c r="H24" s="10">
        <v>197621</v>
      </c>
      <c r="I24" s="10">
        <v>171201</v>
      </c>
      <c r="J24" s="10">
        <v>204228</v>
      </c>
      <c r="K24" s="10">
        <v>207924</v>
      </c>
      <c r="L24" s="10">
        <v>204454</v>
      </c>
      <c r="M24" s="10">
        <v>207990</v>
      </c>
      <c r="N24" s="10">
        <v>224420</v>
      </c>
      <c r="O24" s="10">
        <v>225766</v>
      </c>
      <c r="P24" s="2">
        <f t="shared" si="1"/>
        <v>2524155</v>
      </c>
      <c r="Q24" s="2"/>
      <c r="R24" s="251">
        <v>2.75E-2</v>
      </c>
      <c r="S24" s="3">
        <f t="shared" si="4"/>
        <v>5171.7049999999999</v>
      </c>
      <c r="T24" s="3">
        <f t="shared" ref="T24" si="20">$R24*E24</f>
        <v>5638.1324999999997</v>
      </c>
      <c r="U24" s="3">
        <f t="shared" ref="U24" si="21">$R24*F24</f>
        <v>6557.6225000000004</v>
      </c>
      <c r="V24" s="3">
        <f t="shared" ref="V24" si="22">$R24*G24</f>
        <v>6847.6925000000001</v>
      </c>
      <c r="W24" s="3">
        <f t="shared" ref="W24" si="23">$R24*H24</f>
        <v>5434.5775000000003</v>
      </c>
      <c r="X24" s="3">
        <f t="shared" ref="X24" si="24">$R24*I24</f>
        <v>4708.0275000000001</v>
      </c>
      <c r="Y24" s="3">
        <f t="shared" ref="Y24" si="25">$R24*J24</f>
        <v>5616.27</v>
      </c>
      <c r="Z24" s="3">
        <f t="shared" ref="Z24" si="26">$R24*K24</f>
        <v>5717.91</v>
      </c>
      <c r="AA24" s="3">
        <f t="shared" ref="AA24" si="27">$R24*L24</f>
        <v>5622.4849999999997</v>
      </c>
      <c r="AB24" s="3">
        <f t="shared" ref="AB24" si="28">$R24*M24</f>
        <v>5719.7250000000004</v>
      </c>
      <c r="AC24" s="20">
        <f t="shared" ref="AC24" si="29">$R24*N24</f>
        <v>6171.55</v>
      </c>
      <c r="AD24" s="20">
        <f t="shared" ref="AD24" si="30">$R24*O24</f>
        <v>6208.5649999999996</v>
      </c>
      <c r="AE24" s="3">
        <f t="shared" si="2"/>
        <v>69414.262499999997</v>
      </c>
    </row>
    <row r="26" spans="1:32" x14ac:dyDescent="0.25">
      <c r="A26" t="s">
        <v>93</v>
      </c>
      <c r="B26" t="s">
        <v>26</v>
      </c>
      <c r="D26" s="10">
        <v>4224284</v>
      </c>
      <c r="E26" s="10">
        <v>3781709</v>
      </c>
      <c r="F26" s="10">
        <v>3233172</v>
      </c>
      <c r="G26" s="10">
        <v>1518226</v>
      </c>
      <c r="H26" s="10">
        <v>1161712</v>
      </c>
      <c r="I26" s="10">
        <v>769497</v>
      </c>
      <c r="J26" s="10">
        <v>571348</v>
      </c>
      <c r="K26" s="10">
        <v>588380</v>
      </c>
      <c r="L26" s="10">
        <v>656062</v>
      </c>
      <c r="M26" s="10">
        <v>1714307</v>
      </c>
      <c r="N26" s="10">
        <v>4355644</v>
      </c>
      <c r="O26" s="10">
        <v>4991736</v>
      </c>
      <c r="P26" s="2">
        <f t="shared" si="1"/>
        <v>27566077</v>
      </c>
      <c r="Q26" s="2"/>
      <c r="S26" s="3">
        <f t="shared" ref="S26:AD26" si="31">SUM(S4:S4)/SUM(D4:D4)*D26</f>
        <v>4512929.3257200001</v>
      </c>
      <c r="T26" s="3">
        <f t="shared" si="31"/>
        <v>4040113.1759700002</v>
      </c>
      <c r="U26" s="3">
        <f t="shared" si="31"/>
        <v>3454094.6427600002</v>
      </c>
      <c r="V26" s="3">
        <f t="shared" si="31"/>
        <v>1621966.38258</v>
      </c>
      <c r="W26" s="3">
        <f t="shared" si="31"/>
        <v>1241091.7809599999</v>
      </c>
      <c r="X26" s="3">
        <f t="shared" si="31"/>
        <v>822076.73001000006</v>
      </c>
      <c r="Y26" s="3">
        <f t="shared" si="31"/>
        <v>610388.20883999998</v>
      </c>
      <c r="Z26" s="3">
        <f t="shared" si="31"/>
        <v>628584.00540000002</v>
      </c>
      <c r="AA26" s="3">
        <f t="shared" si="31"/>
        <v>700890.71646000003</v>
      </c>
      <c r="AB26" s="3">
        <f t="shared" si="31"/>
        <v>1831445.5973100001</v>
      </c>
      <c r="AC26" s="20">
        <f t="shared" si="31"/>
        <v>4653265.1545200003</v>
      </c>
      <c r="AD26" s="20">
        <f t="shared" si="31"/>
        <v>5332821.3208799995</v>
      </c>
      <c r="AE26" s="3">
        <f>SUM(S26:AD26)</f>
        <v>29449667.041410003</v>
      </c>
      <c r="AF26" t="s">
        <v>30</v>
      </c>
    </row>
    <row r="27" spans="1:32" x14ac:dyDescent="0.25">
      <c r="B27" t="s">
        <v>27</v>
      </c>
      <c r="D27" s="10">
        <v>-4619254</v>
      </c>
      <c r="E27" s="10">
        <v>-4224284</v>
      </c>
      <c r="F27" s="10">
        <v>-3781709</v>
      </c>
      <c r="G27" s="10">
        <v>-3233172</v>
      </c>
      <c r="H27" s="10">
        <v>-1518226</v>
      </c>
      <c r="I27" s="10">
        <v>-1161712</v>
      </c>
      <c r="J27" s="10">
        <v>-769497</v>
      </c>
      <c r="K27" s="10">
        <v>-571348</v>
      </c>
      <c r="L27" s="10">
        <v>-588380</v>
      </c>
      <c r="M27" s="10">
        <v>-656062</v>
      </c>
      <c r="N27" s="10">
        <v>-1714307</v>
      </c>
      <c r="O27" s="10">
        <v>-4355644</v>
      </c>
      <c r="P27" s="2">
        <f t="shared" si="1"/>
        <v>-27193595</v>
      </c>
      <c r="Q27" s="2"/>
      <c r="S27" s="3">
        <f>SUM(S4:S4)/SUM(D4:D4)*D27</f>
        <v>-4934887.6258199997</v>
      </c>
      <c r="T27" s="3">
        <f>-S26</f>
        <v>-4512929.3257200001</v>
      </c>
      <c r="U27" s="3">
        <f t="shared" ref="U27:AD27" si="32">-T26</f>
        <v>-4040113.1759700002</v>
      </c>
      <c r="V27" s="3">
        <f t="shared" si="32"/>
        <v>-3454094.6427600002</v>
      </c>
      <c r="W27" s="3">
        <f t="shared" si="32"/>
        <v>-1621966.38258</v>
      </c>
      <c r="X27" s="3">
        <f t="shared" si="32"/>
        <v>-1241091.7809599999</v>
      </c>
      <c r="Y27" s="3">
        <f t="shared" si="32"/>
        <v>-822076.73001000006</v>
      </c>
      <c r="Z27" s="3">
        <f t="shared" si="32"/>
        <v>-610388.20883999998</v>
      </c>
      <c r="AA27" s="3">
        <f t="shared" si="32"/>
        <v>-628584.00540000002</v>
      </c>
      <c r="AB27" s="3">
        <f t="shared" si="32"/>
        <v>-700890.71646000003</v>
      </c>
      <c r="AC27" s="20">
        <f t="shared" si="32"/>
        <v>-1831445.5973100001</v>
      </c>
      <c r="AD27" s="20">
        <f t="shared" si="32"/>
        <v>-4653265.1545200003</v>
      </c>
      <c r="AE27" s="3">
        <f>SUM(S27:AD27)</f>
        <v>-29051733.346350003</v>
      </c>
      <c r="AF27" t="s">
        <v>31</v>
      </c>
    </row>
    <row r="28" spans="1:32" x14ac:dyDescent="0.25">
      <c r="B28" t="s">
        <v>25</v>
      </c>
      <c r="D28" s="16">
        <f>D26+D27</f>
        <v>-394970</v>
      </c>
      <c r="E28" s="16">
        <f t="shared" ref="E28:O28" si="33">E26+E27</f>
        <v>-442575</v>
      </c>
      <c r="F28" s="16">
        <f t="shared" si="33"/>
        <v>-548537</v>
      </c>
      <c r="G28" s="16">
        <f t="shared" si="33"/>
        <v>-1714946</v>
      </c>
      <c r="H28" s="16">
        <f t="shared" si="33"/>
        <v>-356514</v>
      </c>
      <c r="I28" s="16">
        <f t="shared" si="33"/>
        <v>-392215</v>
      </c>
      <c r="J28" s="16">
        <f t="shared" si="33"/>
        <v>-198149</v>
      </c>
      <c r="K28" s="16">
        <f t="shared" si="33"/>
        <v>17032</v>
      </c>
      <c r="L28" s="16">
        <f t="shared" si="33"/>
        <v>67682</v>
      </c>
      <c r="M28" s="16">
        <f t="shared" si="33"/>
        <v>1058245</v>
      </c>
      <c r="N28" s="16">
        <f t="shared" si="33"/>
        <v>2641337</v>
      </c>
      <c r="O28" s="16">
        <f t="shared" si="33"/>
        <v>636092</v>
      </c>
      <c r="P28" s="2">
        <f t="shared" si="1"/>
        <v>372482</v>
      </c>
      <c r="Q28" s="2"/>
      <c r="R28" s="237">
        <f>ROUND(SUM(AE4:AE4)/SUM(P4:P4),5)</f>
        <v>1.06833</v>
      </c>
      <c r="S28" s="3">
        <f t="shared" ref="S28:AD28" si="34">$R28*D28</f>
        <v>-421958.30009999999</v>
      </c>
      <c r="T28" s="3">
        <f t="shared" si="34"/>
        <v>-472816.14974999998</v>
      </c>
      <c r="U28" s="3">
        <f t="shared" si="34"/>
        <v>-586018.53321000002</v>
      </c>
      <c r="V28" s="3">
        <f t="shared" si="34"/>
        <v>-1832128.26018</v>
      </c>
      <c r="W28" s="3">
        <f t="shared" si="34"/>
        <v>-380874.60161999997</v>
      </c>
      <c r="X28" s="3">
        <f t="shared" si="34"/>
        <v>-419015.05095</v>
      </c>
      <c r="Y28" s="3">
        <f t="shared" si="34"/>
        <v>-211688.52116999999</v>
      </c>
      <c r="Z28" s="3">
        <f t="shared" si="34"/>
        <v>18195.796559999999</v>
      </c>
      <c r="AA28" s="3">
        <f t="shared" si="34"/>
        <v>72306.711060000001</v>
      </c>
      <c r="AB28" s="3">
        <f t="shared" si="34"/>
        <v>1130554.8808500001</v>
      </c>
      <c r="AC28" s="20">
        <f t="shared" si="34"/>
        <v>2821819.5572100002</v>
      </c>
      <c r="AD28" s="20">
        <f t="shared" si="34"/>
        <v>679556.16636000003</v>
      </c>
      <c r="AE28" s="3">
        <f t="shared" ref="AE28:AE47" si="35">SUM(S28:AD28)</f>
        <v>397933.69506000064</v>
      </c>
      <c r="AF28" t="s">
        <v>33</v>
      </c>
    </row>
    <row r="29" spans="1:32" x14ac:dyDescent="0.25">
      <c r="A29" t="s">
        <v>94</v>
      </c>
      <c r="B29" t="s">
        <v>26</v>
      </c>
      <c r="D29" s="10">
        <v>2245416</v>
      </c>
      <c r="E29" s="10">
        <v>2036294</v>
      </c>
      <c r="F29" s="10">
        <v>1735409</v>
      </c>
      <c r="G29" s="10">
        <v>739406</v>
      </c>
      <c r="H29" s="10">
        <v>561513</v>
      </c>
      <c r="I29" s="10">
        <v>389358</v>
      </c>
      <c r="J29" s="10">
        <v>339242</v>
      </c>
      <c r="K29" s="10">
        <v>405473</v>
      </c>
      <c r="L29" s="10">
        <v>433740</v>
      </c>
      <c r="M29" s="10">
        <v>1015186</v>
      </c>
      <c r="N29" s="10">
        <v>2193570</v>
      </c>
      <c r="O29" s="10">
        <v>2490557</v>
      </c>
      <c r="P29" s="2">
        <f t="shared" si="1"/>
        <v>14585164</v>
      </c>
      <c r="Q29" s="2"/>
      <c r="S29" s="3">
        <f t="shared" ref="S29:AD29" si="36">SUM(S6:S6)/SUM(D6:D6)*D29</f>
        <v>2204145.25392</v>
      </c>
      <c r="T29" s="3">
        <f t="shared" si="36"/>
        <v>1998866.91628</v>
      </c>
      <c r="U29" s="3">
        <f t="shared" si="36"/>
        <v>1703512.18258</v>
      </c>
      <c r="V29" s="3">
        <f t="shared" si="36"/>
        <v>725815.71772000007</v>
      </c>
      <c r="W29" s="3">
        <f t="shared" si="36"/>
        <v>551192.39106000005</v>
      </c>
      <c r="X29" s="3">
        <f t="shared" si="36"/>
        <v>382201.59996000002</v>
      </c>
      <c r="Y29" s="3">
        <f t="shared" si="36"/>
        <v>333006.73204000003</v>
      </c>
      <c r="Z29" s="3">
        <f t="shared" si="36"/>
        <v>398020.40626000002</v>
      </c>
      <c r="AA29" s="3">
        <f t="shared" si="36"/>
        <v>425767.85880000005</v>
      </c>
      <c r="AB29" s="3">
        <f t="shared" si="36"/>
        <v>996526.88132000004</v>
      </c>
      <c r="AC29" s="20">
        <f t="shared" si="36"/>
        <v>2153252.1834</v>
      </c>
      <c r="AD29" s="20">
        <f t="shared" si="36"/>
        <v>2444780.5623400002</v>
      </c>
      <c r="AE29" s="3">
        <f t="shared" si="35"/>
        <v>14317088.68568</v>
      </c>
      <c r="AF29" t="s">
        <v>30</v>
      </c>
    </row>
    <row r="30" spans="1:32" x14ac:dyDescent="0.25">
      <c r="B30" t="s">
        <v>27</v>
      </c>
      <c r="D30" s="10">
        <v>-2411935</v>
      </c>
      <c r="E30" s="10">
        <v>-2245416</v>
      </c>
      <c r="F30" s="10">
        <v>-2036294</v>
      </c>
      <c r="G30" s="10">
        <v>-1735409</v>
      </c>
      <c r="H30" s="10">
        <v>-739406</v>
      </c>
      <c r="I30" s="10">
        <v>-561513</v>
      </c>
      <c r="J30" s="10">
        <v>-389358</v>
      </c>
      <c r="K30" s="10">
        <v>-339242</v>
      </c>
      <c r="L30" s="10">
        <v>-405473</v>
      </c>
      <c r="M30" s="10">
        <v>-433740</v>
      </c>
      <c r="N30" s="10">
        <v>-1015186</v>
      </c>
      <c r="O30" s="10">
        <v>-2193570</v>
      </c>
      <c r="P30" s="2">
        <f t="shared" si="1"/>
        <v>-14506542</v>
      </c>
      <c r="Q30" s="2"/>
      <c r="S30" s="3">
        <f>SUM(S6:S6)/SUM(D6:D6)*D30</f>
        <v>-2367603.6346999998</v>
      </c>
      <c r="T30" s="3">
        <f>-S29</f>
        <v>-2204145.25392</v>
      </c>
      <c r="U30" s="3">
        <f t="shared" ref="U30:AD30" si="37">-T29</f>
        <v>-1998866.91628</v>
      </c>
      <c r="V30" s="3">
        <f t="shared" si="37"/>
        <v>-1703512.18258</v>
      </c>
      <c r="W30" s="3">
        <f t="shared" si="37"/>
        <v>-725815.71772000007</v>
      </c>
      <c r="X30" s="3">
        <f t="shared" si="37"/>
        <v>-551192.39106000005</v>
      </c>
      <c r="Y30" s="3">
        <f t="shared" si="37"/>
        <v>-382201.59996000002</v>
      </c>
      <c r="Z30" s="3">
        <f t="shared" si="37"/>
        <v>-333006.73204000003</v>
      </c>
      <c r="AA30" s="3">
        <f t="shared" si="37"/>
        <v>-398020.40626000002</v>
      </c>
      <c r="AB30" s="3">
        <f t="shared" si="37"/>
        <v>-425767.85880000005</v>
      </c>
      <c r="AC30" s="20">
        <f t="shared" si="37"/>
        <v>-996526.88132000004</v>
      </c>
      <c r="AD30" s="20">
        <f t="shared" si="37"/>
        <v>-2153252.1834</v>
      </c>
      <c r="AE30" s="3">
        <f t="shared" si="35"/>
        <v>-14239911.758039998</v>
      </c>
      <c r="AF30" t="s">
        <v>31</v>
      </c>
    </row>
    <row r="31" spans="1:32" x14ac:dyDescent="0.25">
      <c r="B31" t="s">
        <v>25</v>
      </c>
      <c r="D31" s="16">
        <f>D29+D30</f>
        <v>-166519</v>
      </c>
      <c r="E31" s="16">
        <f t="shared" ref="E31:O31" si="38">E29+E30</f>
        <v>-209122</v>
      </c>
      <c r="F31" s="16">
        <f t="shared" si="38"/>
        <v>-300885</v>
      </c>
      <c r="G31" s="16">
        <f t="shared" si="38"/>
        <v>-996003</v>
      </c>
      <c r="H31" s="16">
        <f t="shared" si="38"/>
        <v>-177893</v>
      </c>
      <c r="I31" s="16">
        <f t="shared" si="38"/>
        <v>-172155</v>
      </c>
      <c r="J31" s="16">
        <f t="shared" si="38"/>
        <v>-50116</v>
      </c>
      <c r="K31" s="16">
        <f t="shared" si="38"/>
        <v>66231</v>
      </c>
      <c r="L31" s="16">
        <f t="shared" si="38"/>
        <v>28267</v>
      </c>
      <c r="M31" s="16">
        <f t="shared" si="38"/>
        <v>581446</v>
      </c>
      <c r="N31" s="16">
        <f t="shared" si="38"/>
        <v>1178384</v>
      </c>
      <c r="O31" s="16">
        <f t="shared" si="38"/>
        <v>296987</v>
      </c>
      <c r="P31" s="2">
        <f t="shared" si="1"/>
        <v>78622</v>
      </c>
      <c r="Q31" s="2"/>
      <c r="R31" s="237">
        <f>ROUND(SUM(AE6:AE6)/SUM(P6:P6),5)</f>
        <v>0.98162000000000005</v>
      </c>
      <c r="S31" s="3">
        <f t="shared" ref="S31:AD31" si="39">$R31*D31</f>
        <v>-163458.38078000001</v>
      </c>
      <c r="T31" s="3">
        <f t="shared" si="39"/>
        <v>-205278.33764000001</v>
      </c>
      <c r="U31" s="3">
        <f t="shared" si="39"/>
        <v>-295354.73370000004</v>
      </c>
      <c r="V31" s="3">
        <f t="shared" si="39"/>
        <v>-977696.46486000007</v>
      </c>
      <c r="W31" s="3">
        <f t="shared" si="39"/>
        <v>-174623.32666000002</v>
      </c>
      <c r="X31" s="3">
        <f t="shared" si="39"/>
        <v>-168990.7911</v>
      </c>
      <c r="Y31" s="3">
        <f t="shared" si="39"/>
        <v>-49194.867920000004</v>
      </c>
      <c r="Z31" s="3">
        <f t="shared" si="39"/>
        <v>65013.674220000001</v>
      </c>
      <c r="AA31" s="3">
        <f t="shared" si="39"/>
        <v>27747.452540000002</v>
      </c>
      <c r="AB31" s="3">
        <f t="shared" si="39"/>
        <v>570759.02252</v>
      </c>
      <c r="AC31" s="20">
        <f t="shared" si="39"/>
        <v>1156725.3020800001</v>
      </c>
      <c r="AD31" s="20">
        <f t="shared" si="39"/>
        <v>291528.37894000002</v>
      </c>
      <c r="AE31" s="3">
        <f t="shared" si="35"/>
        <v>77176.927639999485</v>
      </c>
      <c r="AF31" t="s">
        <v>33</v>
      </c>
    </row>
    <row r="32" spans="1:32" x14ac:dyDescent="0.25">
      <c r="A32" t="s">
        <v>95</v>
      </c>
      <c r="B32" t="s">
        <v>26</v>
      </c>
      <c r="D32" s="10">
        <v>230513</v>
      </c>
      <c r="E32" s="10">
        <v>214946</v>
      </c>
      <c r="F32" s="10">
        <v>203423</v>
      </c>
      <c r="G32" s="10">
        <v>97209</v>
      </c>
      <c r="H32" s="10">
        <v>102960</v>
      </c>
      <c r="I32" s="10">
        <v>83219</v>
      </c>
      <c r="J32" s="10">
        <v>91700</v>
      </c>
      <c r="K32" s="10">
        <v>120791</v>
      </c>
      <c r="L32" s="10">
        <v>119563</v>
      </c>
      <c r="M32" s="10">
        <v>251628</v>
      </c>
      <c r="N32" s="10">
        <v>353419</v>
      </c>
      <c r="O32" s="10">
        <v>242902</v>
      </c>
      <c r="P32" s="2">
        <f t="shared" si="1"/>
        <v>2112273</v>
      </c>
      <c r="Q32" s="2"/>
      <c r="S32" s="3">
        <f t="shared" ref="S32:AD32" si="40">SUM(S8:S8)/SUM(D8:D8)*D32</f>
        <v>115085.92038</v>
      </c>
      <c r="T32" s="3">
        <f t="shared" si="40"/>
        <v>107313.93995999999</v>
      </c>
      <c r="U32" s="3">
        <f t="shared" si="40"/>
        <v>101560.96698</v>
      </c>
      <c r="V32" s="3">
        <f t="shared" si="40"/>
        <v>48532.565339999994</v>
      </c>
      <c r="W32" s="3">
        <f t="shared" si="40"/>
        <v>51403.809600000001</v>
      </c>
      <c r="X32" s="3">
        <f t="shared" si="40"/>
        <v>41547.917939999999</v>
      </c>
      <c r="Y32" s="3">
        <f t="shared" si="40"/>
        <v>45782.142</v>
      </c>
      <c r="Z32" s="3">
        <f t="shared" si="40"/>
        <v>60306.114659999999</v>
      </c>
      <c r="AA32" s="3">
        <f t="shared" si="40"/>
        <v>59693.023379999999</v>
      </c>
      <c r="AB32" s="3">
        <f t="shared" si="40"/>
        <v>125627.79527999999</v>
      </c>
      <c r="AC32" s="20">
        <f t="shared" si="40"/>
        <v>176447.96993999998</v>
      </c>
      <c r="AD32" s="20">
        <f t="shared" si="40"/>
        <v>121271.25251999999</v>
      </c>
      <c r="AE32" s="3">
        <f t="shared" si="35"/>
        <v>1054573.4179799999</v>
      </c>
      <c r="AF32" t="s">
        <v>30</v>
      </c>
    </row>
    <row r="33" spans="1:32" x14ac:dyDescent="0.25">
      <c r="B33" t="s">
        <v>27</v>
      </c>
      <c r="D33" s="10">
        <v>-271979</v>
      </c>
      <c r="E33" s="10">
        <v>-230513</v>
      </c>
      <c r="F33" s="10">
        <v>-214946</v>
      </c>
      <c r="G33" s="10">
        <v>-203423</v>
      </c>
      <c r="H33" s="10">
        <v>-97209</v>
      </c>
      <c r="I33" s="10">
        <v>-102960</v>
      </c>
      <c r="J33" s="10">
        <v>-83219</v>
      </c>
      <c r="K33" s="10">
        <v>-91700</v>
      </c>
      <c r="L33" s="10">
        <v>-120791</v>
      </c>
      <c r="M33" s="10">
        <v>-119563</v>
      </c>
      <c r="N33" s="10">
        <v>-251628</v>
      </c>
      <c r="O33" s="10">
        <v>-353419</v>
      </c>
      <c r="P33" s="2">
        <f t="shared" ref="P33:P40" si="41">SUM(D33:O33)</f>
        <v>-2141350</v>
      </c>
      <c r="Q33" s="2"/>
      <c r="S33" s="3">
        <f>SUM(S8:S8)/SUM(D8:D8)*D33</f>
        <v>-135788.23553999999</v>
      </c>
      <c r="T33" s="3">
        <f>-S32</f>
        <v>-115085.92038</v>
      </c>
      <c r="U33" s="3">
        <f t="shared" ref="U33:AD33" si="42">-T32</f>
        <v>-107313.93995999999</v>
      </c>
      <c r="V33" s="3">
        <f t="shared" si="42"/>
        <v>-101560.96698</v>
      </c>
      <c r="W33" s="3">
        <f t="shared" si="42"/>
        <v>-48532.565339999994</v>
      </c>
      <c r="X33" s="3">
        <f t="shared" si="42"/>
        <v>-51403.809600000001</v>
      </c>
      <c r="Y33" s="3">
        <f t="shared" si="42"/>
        <v>-41547.917939999999</v>
      </c>
      <c r="Z33" s="3">
        <f t="shared" si="42"/>
        <v>-45782.142</v>
      </c>
      <c r="AA33" s="3">
        <f t="shared" si="42"/>
        <v>-60306.114659999999</v>
      </c>
      <c r="AB33" s="3">
        <f t="shared" si="42"/>
        <v>-59693.023379999999</v>
      </c>
      <c r="AC33" s="20">
        <f t="shared" si="42"/>
        <v>-125627.79527999999</v>
      </c>
      <c r="AD33" s="20">
        <f t="shared" si="42"/>
        <v>-176447.96993999998</v>
      </c>
      <c r="AE33" s="3">
        <f t="shared" si="35"/>
        <v>-1069090.4009999998</v>
      </c>
      <c r="AF33" t="s">
        <v>31</v>
      </c>
    </row>
    <row r="34" spans="1:32" x14ac:dyDescent="0.25">
      <c r="B34" t="s">
        <v>25</v>
      </c>
      <c r="D34" s="16">
        <f>D32+D33</f>
        <v>-41466</v>
      </c>
      <c r="E34" s="16">
        <f t="shared" ref="E34:O34" si="43">E32+E33</f>
        <v>-15567</v>
      </c>
      <c r="F34" s="16">
        <f t="shared" si="43"/>
        <v>-11523</v>
      </c>
      <c r="G34" s="16">
        <f t="shared" si="43"/>
        <v>-106214</v>
      </c>
      <c r="H34" s="16">
        <f t="shared" si="43"/>
        <v>5751</v>
      </c>
      <c r="I34" s="16">
        <f t="shared" si="43"/>
        <v>-19741</v>
      </c>
      <c r="J34" s="16">
        <f t="shared" si="43"/>
        <v>8481</v>
      </c>
      <c r="K34" s="16">
        <f t="shared" si="43"/>
        <v>29091</v>
      </c>
      <c r="L34" s="16">
        <f t="shared" si="43"/>
        <v>-1228</v>
      </c>
      <c r="M34" s="16">
        <f t="shared" si="43"/>
        <v>132065</v>
      </c>
      <c r="N34" s="16">
        <f t="shared" si="43"/>
        <v>101791</v>
      </c>
      <c r="O34" s="16">
        <f t="shared" si="43"/>
        <v>-110517</v>
      </c>
      <c r="P34" s="2">
        <f t="shared" si="41"/>
        <v>-29077</v>
      </c>
      <c r="Q34" s="2"/>
      <c r="R34" s="237">
        <f>ROUND(SUM(AE8:AE8)/SUM(P8:P8),5)</f>
        <v>0.49925999999999998</v>
      </c>
      <c r="S34" s="3">
        <f t="shared" ref="S34:AD34" si="44">$R34*D34</f>
        <v>-20702.315159999998</v>
      </c>
      <c r="T34" s="3">
        <f t="shared" si="44"/>
        <v>-7771.9804199999999</v>
      </c>
      <c r="U34" s="3">
        <f t="shared" si="44"/>
        <v>-5752.9729799999996</v>
      </c>
      <c r="V34" s="3">
        <f t="shared" si="44"/>
        <v>-53028.401639999996</v>
      </c>
      <c r="W34" s="3">
        <f t="shared" si="44"/>
        <v>2871.2442599999999</v>
      </c>
      <c r="X34" s="3">
        <f t="shared" si="44"/>
        <v>-9855.8916599999993</v>
      </c>
      <c r="Y34" s="3">
        <f t="shared" si="44"/>
        <v>4234.2240599999996</v>
      </c>
      <c r="Z34" s="3">
        <f t="shared" si="44"/>
        <v>14523.972659999999</v>
      </c>
      <c r="AA34" s="3">
        <f t="shared" si="44"/>
        <v>-613.09127999999998</v>
      </c>
      <c r="AB34" s="3">
        <f t="shared" si="44"/>
        <v>65934.771899999992</v>
      </c>
      <c r="AC34" s="20">
        <f t="shared" si="44"/>
        <v>50820.174659999997</v>
      </c>
      <c r="AD34" s="20">
        <f t="shared" si="44"/>
        <v>-55176.717420000001</v>
      </c>
      <c r="AE34" s="3">
        <f t="shared" si="35"/>
        <v>-14516.983019999992</v>
      </c>
      <c r="AF34" t="s">
        <v>33</v>
      </c>
    </row>
    <row r="35" spans="1:32" x14ac:dyDescent="0.25">
      <c r="A35" t="s">
        <v>96</v>
      </c>
      <c r="B35" t="s">
        <v>26</v>
      </c>
      <c r="D35" s="10">
        <v>486323</v>
      </c>
      <c r="E35" s="10">
        <v>653384</v>
      </c>
      <c r="F35" s="10">
        <v>618963</v>
      </c>
      <c r="G35" s="10">
        <v>365145</v>
      </c>
      <c r="H35" s="10">
        <v>450388</v>
      </c>
      <c r="I35" s="10">
        <v>358002</v>
      </c>
      <c r="J35" s="10">
        <v>419899</v>
      </c>
      <c r="K35" s="10">
        <v>559677</v>
      </c>
      <c r="L35" s="10">
        <v>637468</v>
      </c>
      <c r="M35" s="10">
        <v>1151380</v>
      </c>
      <c r="N35" s="10">
        <v>1201199</v>
      </c>
      <c r="O35" s="10">
        <v>789889</v>
      </c>
      <c r="P35" s="2">
        <f t="shared" si="41"/>
        <v>7691717</v>
      </c>
      <c r="Q35" s="2"/>
      <c r="S35" s="3">
        <f t="shared" ref="S35:AD35" si="45">SUM(S10)/SUM(S10)*D35</f>
        <v>486323</v>
      </c>
      <c r="T35" s="3">
        <f t="shared" si="45"/>
        <v>653384</v>
      </c>
      <c r="U35" s="3">
        <f t="shared" si="45"/>
        <v>618963</v>
      </c>
      <c r="V35" s="3">
        <f t="shared" si="45"/>
        <v>365145</v>
      </c>
      <c r="W35" s="3">
        <f t="shared" si="45"/>
        <v>450388</v>
      </c>
      <c r="X35" s="3">
        <f t="shared" si="45"/>
        <v>358002</v>
      </c>
      <c r="Y35" s="3">
        <f t="shared" si="45"/>
        <v>419899</v>
      </c>
      <c r="Z35" s="3">
        <f t="shared" si="45"/>
        <v>559677</v>
      </c>
      <c r="AA35" s="3">
        <f t="shared" si="45"/>
        <v>637468</v>
      </c>
      <c r="AB35" s="3">
        <f t="shared" si="45"/>
        <v>1151380</v>
      </c>
      <c r="AC35" s="20">
        <f t="shared" si="45"/>
        <v>1201199</v>
      </c>
      <c r="AD35" s="20">
        <f t="shared" si="45"/>
        <v>789889</v>
      </c>
      <c r="AE35" s="3">
        <f t="shared" si="35"/>
        <v>7691717</v>
      </c>
      <c r="AF35" t="s">
        <v>30</v>
      </c>
    </row>
    <row r="36" spans="1:32" x14ac:dyDescent="0.25">
      <c r="B36" t="s">
        <v>27</v>
      </c>
      <c r="D36" s="10">
        <v>-454259</v>
      </c>
      <c r="E36" s="10">
        <v>-486323</v>
      </c>
      <c r="F36" s="10">
        <v>-653384</v>
      </c>
      <c r="G36" s="10">
        <v>-618963</v>
      </c>
      <c r="H36" s="10">
        <v>-365145</v>
      </c>
      <c r="I36" s="10">
        <v>-450388</v>
      </c>
      <c r="J36" s="10">
        <v>-358002</v>
      </c>
      <c r="K36" s="10">
        <v>-419899</v>
      </c>
      <c r="L36" s="10">
        <v>-559677</v>
      </c>
      <c r="M36" s="10">
        <v>-637468</v>
      </c>
      <c r="N36" s="10">
        <v>-1151380</v>
      </c>
      <c r="O36" s="10">
        <v>-1201199</v>
      </c>
      <c r="P36" s="2">
        <f t="shared" si="41"/>
        <v>-7356087</v>
      </c>
      <c r="Q36" s="2"/>
      <c r="S36" s="3">
        <f>SUM(S10)/SUM(S10)*D36</f>
        <v>-454259</v>
      </c>
      <c r="T36" s="3">
        <f>-S35</f>
        <v>-486323</v>
      </c>
      <c r="U36" s="3">
        <f t="shared" ref="U36:AD36" si="46">-T35</f>
        <v>-653384</v>
      </c>
      <c r="V36" s="3">
        <f t="shared" si="46"/>
        <v>-618963</v>
      </c>
      <c r="W36" s="3">
        <f t="shared" si="46"/>
        <v>-365145</v>
      </c>
      <c r="X36" s="3">
        <f t="shared" si="46"/>
        <v>-450388</v>
      </c>
      <c r="Y36" s="3">
        <f t="shared" si="46"/>
        <v>-358002</v>
      </c>
      <c r="Z36" s="3">
        <f t="shared" si="46"/>
        <v>-419899</v>
      </c>
      <c r="AA36" s="3">
        <f t="shared" si="46"/>
        <v>-559677</v>
      </c>
      <c r="AB36" s="3">
        <f t="shared" si="46"/>
        <v>-637468</v>
      </c>
      <c r="AC36" s="20">
        <f t="shared" si="46"/>
        <v>-1151380</v>
      </c>
      <c r="AD36" s="20">
        <f t="shared" si="46"/>
        <v>-1201199</v>
      </c>
      <c r="AE36" s="3">
        <f t="shared" si="35"/>
        <v>-7356087</v>
      </c>
      <c r="AF36" t="s">
        <v>31</v>
      </c>
    </row>
    <row r="37" spans="1:32" x14ac:dyDescent="0.25">
      <c r="B37" t="s">
        <v>25</v>
      </c>
      <c r="D37" s="16">
        <f>D35+D36</f>
        <v>32064</v>
      </c>
      <c r="E37" s="16">
        <f t="shared" ref="E37:O37" si="47">E35+E36</f>
        <v>167061</v>
      </c>
      <c r="F37" s="16">
        <f t="shared" si="47"/>
        <v>-34421</v>
      </c>
      <c r="G37" s="16">
        <f t="shared" si="47"/>
        <v>-253818</v>
      </c>
      <c r="H37" s="16">
        <f t="shared" si="47"/>
        <v>85243</v>
      </c>
      <c r="I37" s="16">
        <f t="shared" si="47"/>
        <v>-92386</v>
      </c>
      <c r="J37" s="16">
        <f t="shared" si="47"/>
        <v>61897</v>
      </c>
      <c r="K37" s="16">
        <f t="shared" si="47"/>
        <v>139778</v>
      </c>
      <c r="L37" s="16">
        <f t="shared" si="47"/>
        <v>77791</v>
      </c>
      <c r="M37" s="16">
        <f t="shared" si="47"/>
        <v>513912</v>
      </c>
      <c r="N37" s="16">
        <f t="shared" si="47"/>
        <v>49819</v>
      </c>
      <c r="O37" s="16">
        <f t="shared" si="47"/>
        <v>-411310</v>
      </c>
      <c r="P37" s="2">
        <f t="shared" si="41"/>
        <v>335630</v>
      </c>
      <c r="Q37" s="2"/>
      <c r="R37" s="237">
        <f>ROUND(SUM(AE10)/SUM(P10),5)</f>
        <v>0.26834000000000002</v>
      </c>
      <c r="S37" s="3">
        <f t="shared" ref="S37:AD37" si="48">$R37*D37</f>
        <v>8604.0537600000007</v>
      </c>
      <c r="T37" s="3">
        <f t="shared" si="48"/>
        <v>44829.148740000004</v>
      </c>
      <c r="U37" s="3">
        <f t="shared" si="48"/>
        <v>-9236.531140000001</v>
      </c>
      <c r="V37" s="3">
        <f t="shared" si="48"/>
        <v>-68109.522120000009</v>
      </c>
      <c r="W37" s="3">
        <f t="shared" si="48"/>
        <v>22874.106620000002</v>
      </c>
      <c r="X37" s="3">
        <f t="shared" si="48"/>
        <v>-24790.859240000002</v>
      </c>
      <c r="Y37" s="3">
        <f t="shared" si="48"/>
        <v>16609.440980000003</v>
      </c>
      <c r="Z37" s="3">
        <f t="shared" si="48"/>
        <v>37508.02852</v>
      </c>
      <c r="AA37" s="3">
        <f t="shared" si="48"/>
        <v>20874.436940000003</v>
      </c>
      <c r="AB37" s="3">
        <f t="shared" si="48"/>
        <v>137903.14608000001</v>
      </c>
      <c r="AC37" s="20">
        <f t="shared" si="48"/>
        <v>13368.430460000001</v>
      </c>
      <c r="AD37" s="20">
        <f t="shared" si="48"/>
        <v>-110370.92540000001</v>
      </c>
      <c r="AE37" s="3">
        <f t="shared" si="35"/>
        <v>90062.954200000007</v>
      </c>
      <c r="AF37" t="s">
        <v>33</v>
      </c>
    </row>
    <row r="38" spans="1:32" x14ac:dyDescent="0.25">
      <c r="A38" t="s">
        <v>98</v>
      </c>
      <c r="B38" t="s">
        <v>26</v>
      </c>
      <c r="D38" s="10">
        <v>2320931</v>
      </c>
      <c r="E38" s="10">
        <v>2168611</v>
      </c>
      <c r="F38" s="10">
        <v>1985204</v>
      </c>
      <c r="G38" s="10">
        <v>2592095</v>
      </c>
      <c r="H38" s="10">
        <v>1640853</v>
      </c>
      <c r="I38" s="10">
        <v>1652881</v>
      </c>
      <c r="J38" s="10">
        <v>1481407</v>
      </c>
      <c r="K38" s="10">
        <v>1685378</v>
      </c>
      <c r="L38" s="10">
        <v>1623303</v>
      </c>
      <c r="M38" s="10">
        <v>2038197</v>
      </c>
      <c r="N38" s="10">
        <v>2172243</v>
      </c>
      <c r="O38" s="10">
        <v>2324804</v>
      </c>
      <c r="P38" s="2">
        <f t="shared" si="41"/>
        <v>23685907</v>
      </c>
      <c r="Q38" s="2"/>
      <c r="S38" s="3">
        <f t="shared" ref="S38:AD38" si="49">SUM(S14:S18)/SUM(D14:D18)*D38</f>
        <v>194936.06462788314</v>
      </c>
      <c r="T38" s="3">
        <f t="shared" si="49"/>
        <v>176710.31475976278</v>
      </c>
      <c r="U38" s="3">
        <f t="shared" si="49"/>
        <v>163726.19887110475</v>
      </c>
      <c r="V38" s="3">
        <f t="shared" si="49"/>
        <v>217437.49022411264</v>
      </c>
      <c r="W38" s="3">
        <f t="shared" si="49"/>
        <v>143045.88749207635</v>
      </c>
      <c r="X38" s="3">
        <f t="shared" si="49"/>
        <v>144448.14608102749</v>
      </c>
      <c r="Y38" s="3">
        <f t="shared" si="49"/>
        <v>129101.22300420025</v>
      </c>
      <c r="Z38" s="3">
        <f t="shared" si="49"/>
        <v>150129.93079297926</v>
      </c>
      <c r="AA38" s="3">
        <f t="shared" si="49"/>
        <v>140692.70894161894</v>
      </c>
      <c r="AB38" s="3">
        <f t="shared" si="49"/>
        <v>178117.94304937654</v>
      </c>
      <c r="AC38" s="20">
        <f t="shared" si="49"/>
        <v>182839.07577998503</v>
      </c>
      <c r="AD38" s="20">
        <f t="shared" si="49"/>
        <v>194444.67239369923</v>
      </c>
      <c r="AE38" s="3">
        <f>SUM(S38:AD38)</f>
        <v>2015629.6560178262</v>
      </c>
      <c r="AF38" t="s">
        <v>30</v>
      </c>
    </row>
    <row r="39" spans="1:32" x14ac:dyDescent="0.25">
      <c r="B39" t="s">
        <v>27</v>
      </c>
      <c r="D39" s="10">
        <v>-2236652</v>
      </c>
      <c r="E39" s="10">
        <v>-2320931</v>
      </c>
      <c r="F39" s="10">
        <v>-2168611</v>
      </c>
      <c r="G39" s="10">
        <v>-1985204</v>
      </c>
      <c r="H39" s="10">
        <v>-2592095</v>
      </c>
      <c r="I39" s="10">
        <v>-1640853</v>
      </c>
      <c r="J39" s="10">
        <v>-1652881</v>
      </c>
      <c r="K39" s="10">
        <v>-1481407</v>
      </c>
      <c r="L39" s="10">
        <v>-1685378</v>
      </c>
      <c r="M39" s="10">
        <v>-1623303</v>
      </c>
      <c r="N39" s="10">
        <v>-2038197</v>
      </c>
      <c r="O39" s="10">
        <v>-2172243</v>
      </c>
      <c r="P39" s="2">
        <f t="shared" si="41"/>
        <v>-23597755</v>
      </c>
      <c r="Q39" s="2"/>
      <c r="S39" s="3">
        <f>SUM(S14:S18)/SUM(D14:D18)*D39</f>
        <v>-187857.43256567474</v>
      </c>
      <c r="T39" s="3">
        <f>-S38</f>
        <v>-194936.06462788314</v>
      </c>
      <c r="U39" s="3">
        <f t="shared" ref="U39:AD39" si="50">-T38</f>
        <v>-176710.31475976278</v>
      </c>
      <c r="V39" s="3">
        <f t="shared" si="50"/>
        <v>-163726.19887110475</v>
      </c>
      <c r="W39" s="3">
        <f t="shared" si="50"/>
        <v>-217437.49022411264</v>
      </c>
      <c r="X39" s="3">
        <f t="shared" si="50"/>
        <v>-143045.88749207635</v>
      </c>
      <c r="Y39" s="3">
        <f t="shared" si="50"/>
        <v>-144448.14608102749</v>
      </c>
      <c r="Z39" s="3">
        <f t="shared" si="50"/>
        <v>-129101.22300420025</v>
      </c>
      <c r="AA39" s="3">
        <f t="shared" si="50"/>
        <v>-150129.93079297926</v>
      </c>
      <c r="AB39" s="3">
        <f t="shared" si="50"/>
        <v>-140692.70894161894</v>
      </c>
      <c r="AC39" s="20">
        <f t="shared" si="50"/>
        <v>-178117.94304937654</v>
      </c>
      <c r="AD39" s="20">
        <f t="shared" si="50"/>
        <v>-182839.07577998503</v>
      </c>
      <c r="AE39" s="3">
        <f t="shared" si="35"/>
        <v>-2009042.4161898019</v>
      </c>
      <c r="AF39" t="s">
        <v>31</v>
      </c>
    </row>
    <row r="40" spans="1:32" x14ac:dyDescent="0.25">
      <c r="B40" t="s">
        <v>25</v>
      </c>
      <c r="D40" s="16">
        <f t="shared" ref="D40:O40" si="51">D38+D39</f>
        <v>84279</v>
      </c>
      <c r="E40" s="16">
        <f t="shared" si="51"/>
        <v>-152320</v>
      </c>
      <c r="F40" s="16">
        <f t="shared" si="51"/>
        <v>-183407</v>
      </c>
      <c r="G40" s="16">
        <f t="shared" si="51"/>
        <v>606891</v>
      </c>
      <c r="H40" s="16">
        <f t="shared" si="51"/>
        <v>-951242</v>
      </c>
      <c r="I40" s="16">
        <f t="shared" si="51"/>
        <v>12028</v>
      </c>
      <c r="J40" s="16">
        <f t="shared" si="51"/>
        <v>-171474</v>
      </c>
      <c r="K40" s="16">
        <f t="shared" si="51"/>
        <v>203971</v>
      </c>
      <c r="L40" s="16">
        <f t="shared" si="51"/>
        <v>-62075</v>
      </c>
      <c r="M40" s="16">
        <f t="shared" si="51"/>
        <v>414894</v>
      </c>
      <c r="N40" s="16">
        <f t="shared" si="51"/>
        <v>134046</v>
      </c>
      <c r="O40" s="16">
        <f t="shared" si="51"/>
        <v>152561</v>
      </c>
      <c r="P40" s="2">
        <f t="shared" si="41"/>
        <v>88152</v>
      </c>
      <c r="Q40" s="2"/>
      <c r="R40" s="237">
        <f>ROUND(SUM(AE14:AE18)/SUM(P14:P18),5)</f>
        <v>8.5070000000000007E-2</v>
      </c>
      <c r="S40" s="3">
        <f t="shared" ref="S40:AD40" si="52">$R40*D40</f>
        <v>7169.6145300000007</v>
      </c>
      <c r="T40" s="3">
        <f t="shared" si="52"/>
        <v>-12957.862400000002</v>
      </c>
      <c r="U40" s="3">
        <f t="shared" si="52"/>
        <v>-15602.433490000001</v>
      </c>
      <c r="V40" s="3">
        <f t="shared" si="52"/>
        <v>51628.217370000006</v>
      </c>
      <c r="W40" s="3">
        <f t="shared" si="52"/>
        <v>-80922.156940000001</v>
      </c>
      <c r="X40" s="3">
        <f t="shared" si="52"/>
        <v>1023.2219600000001</v>
      </c>
      <c r="Y40" s="3">
        <f t="shared" si="52"/>
        <v>-14587.293180000001</v>
      </c>
      <c r="Z40" s="3">
        <f t="shared" si="52"/>
        <v>17351.812970000003</v>
      </c>
      <c r="AA40" s="3">
        <f t="shared" si="52"/>
        <v>-5280.7202500000003</v>
      </c>
      <c r="AB40" s="3">
        <f t="shared" si="52"/>
        <v>35295.032580000006</v>
      </c>
      <c r="AC40" s="20">
        <f t="shared" si="52"/>
        <v>11403.293220000001</v>
      </c>
      <c r="AD40" s="20">
        <f t="shared" si="52"/>
        <v>12978.364270000002</v>
      </c>
      <c r="AE40" s="3">
        <f t="shared" si="35"/>
        <v>7499.0906400000222</v>
      </c>
      <c r="AF40" t="s">
        <v>33</v>
      </c>
    </row>
    <row r="41" spans="1:32" x14ac:dyDescent="0.25">
      <c r="A41" t="s">
        <v>99</v>
      </c>
      <c r="B41" t="s">
        <v>26</v>
      </c>
      <c r="D41" s="10">
        <v>1102635</v>
      </c>
      <c r="E41" s="10">
        <v>1196950</v>
      </c>
      <c r="F41" s="10">
        <v>1264637</v>
      </c>
      <c r="G41" s="10">
        <v>1036979</v>
      </c>
      <c r="H41" s="10">
        <v>986912</v>
      </c>
      <c r="I41" s="10">
        <v>1001387</v>
      </c>
      <c r="J41" s="10">
        <v>976064</v>
      </c>
      <c r="K41" s="10">
        <v>965553</v>
      </c>
      <c r="L41" s="10">
        <v>973389</v>
      </c>
      <c r="M41" s="10">
        <v>1083731</v>
      </c>
      <c r="N41" s="10">
        <v>1090259</v>
      </c>
      <c r="O41" s="10">
        <v>1077694</v>
      </c>
      <c r="P41" s="2">
        <f t="shared" ref="P41:P47" si="53">SUM(D41:O41)</f>
        <v>12756190</v>
      </c>
      <c r="Q41" s="2"/>
      <c r="S41" s="3">
        <f t="shared" ref="S41:AD41" si="54">SUM(S20,S22,S24)/SUM(D20,D22,D24)*D41</f>
        <v>28673.414547089877</v>
      </c>
      <c r="T41" s="3">
        <f t="shared" si="54"/>
        <v>31176.925190885304</v>
      </c>
      <c r="U41" s="3">
        <f t="shared" si="54"/>
        <v>33031.490159349858</v>
      </c>
      <c r="V41" s="3">
        <f t="shared" si="54"/>
        <v>27057.195783703286</v>
      </c>
      <c r="W41" s="3">
        <f t="shared" si="54"/>
        <v>25645.655340339312</v>
      </c>
      <c r="X41" s="3">
        <f t="shared" si="54"/>
        <v>25932.519900332241</v>
      </c>
      <c r="Y41" s="3">
        <f t="shared" si="54"/>
        <v>25406.862832291121</v>
      </c>
      <c r="Z41" s="3">
        <f t="shared" si="54"/>
        <v>25132.568574933077</v>
      </c>
      <c r="AA41" s="3">
        <f t="shared" si="54"/>
        <v>25304.45239616813</v>
      </c>
      <c r="AB41" s="3">
        <f t="shared" si="54"/>
        <v>28221.413397910343</v>
      </c>
      <c r="AC41" s="16">
        <f t="shared" si="54"/>
        <v>28395.918647081398</v>
      </c>
      <c r="AD41" s="16">
        <f t="shared" si="54"/>
        <v>28109.581782011399</v>
      </c>
      <c r="AE41" s="3">
        <f t="shared" ref="AE41:AE43" si="55">SUM(S41:AD41)</f>
        <v>332087.99855209532</v>
      </c>
      <c r="AF41" t="s">
        <v>30</v>
      </c>
    </row>
    <row r="42" spans="1:32" x14ac:dyDescent="0.25">
      <c r="B42" t="s">
        <v>27</v>
      </c>
      <c r="D42" s="10">
        <v>-1015829</v>
      </c>
      <c r="E42" s="10">
        <v>-1102635</v>
      </c>
      <c r="F42" s="10">
        <v>-1196950</v>
      </c>
      <c r="G42" s="10">
        <v>-1264637</v>
      </c>
      <c r="H42" s="10">
        <v>-1036979</v>
      </c>
      <c r="I42" s="10">
        <v>-986912</v>
      </c>
      <c r="J42" s="10">
        <v>-1001387</v>
      </c>
      <c r="K42" s="10">
        <v>-976064</v>
      </c>
      <c r="L42" s="10">
        <v>-965553</v>
      </c>
      <c r="M42" s="10">
        <v>-973389</v>
      </c>
      <c r="N42" s="10">
        <v>-1083731</v>
      </c>
      <c r="O42" s="10">
        <v>-1090259</v>
      </c>
      <c r="P42" s="2">
        <f t="shared" si="53"/>
        <v>-12694325</v>
      </c>
      <c r="Q42" s="2"/>
      <c r="S42" s="3">
        <f>SUM(S20,S22,S24)/SUM(D20,D22,D24)*D42</f>
        <v>-26416.072431906989</v>
      </c>
      <c r="T42" s="3">
        <f>-S41</f>
        <v>-28673.414547089877</v>
      </c>
      <c r="U42" s="3">
        <f t="shared" ref="U42:AD42" si="56">-T41</f>
        <v>-31176.925190885304</v>
      </c>
      <c r="V42" s="3">
        <f t="shared" si="56"/>
        <v>-33031.490159349858</v>
      </c>
      <c r="W42" s="3">
        <f t="shared" si="56"/>
        <v>-27057.195783703286</v>
      </c>
      <c r="X42" s="3">
        <f t="shared" si="56"/>
        <v>-25645.655340339312</v>
      </c>
      <c r="Y42" s="3">
        <f t="shared" si="56"/>
        <v>-25932.519900332241</v>
      </c>
      <c r="Z42" s="3">
        <f t="shared" si="56"/>
        <v>-25406.862832291121</v>
      </c>
      <c r="AA42" s="3">
        <f t="shared" si="56"/>
        <v>-25132.568574933077</v>
      </c>
      <c r="AB42" s="3">
        <f t="shared" si="56"/>
        <v>-25304.45239616813</v>
      </c>
      <c r="AC42" s="20">
        <f t="shared" si="56"/>
        <v>-28221.413397910343</v>
      </c>
      <c r="AD42" s="20">
        <f t="shared" si="56"/>
        <v>-28395.918647081398</v>
      </c>
      <c r="AE42" s="3">
        <f t="shared" si="55"/>
        <v>-330394.48920199095</v>
      </c>
      <c r="AF42" t="s">
        <v>31</v>
      </c>
    </row>
    <row r="43" spans="1:32" x14ac:dyDescent="0.25">
      <c r="B43" t="s">
        <v>25</v>
      </c>
      <c r="D43" s="16">
        <f t="shared" ref="D43:O43" si="57">D41+D42</f>
        <v>86806</v>
      </c>
      <c r="E43" s="16">
        <f t="shared" si="57"/>
        <v>94315</v>
      </c>
      <c r="F43" s="16">
        <f t="shared" si="57"/>
        <v>67687</v>
      </c>
      <c r="G43" s="16">
        <f t="shared" si="57"/>
        <v>-227658</v>
      </c>
      <c r="H43" s="16">
        <f t="shared" si="57"/>
        <v>-50067</v>
      </c>
      <c r="I43" s="16">
        <f t="shared" si="57"/>
        <v>14475</v>
      </c>
      <c r="J43" s="16">
        <f t="shared" si="57"/>
        <v>-25323</v>
      </c>
      <c r="K43" s="16">
        <f t="shared" si="57"/>
        <v>-10511</v>
      </c>
      <c r="L43" s="16">
        <f t="shared" si="57"/>
        <v>7836</v>
      </c>
      <c r="M43" s="16">
        <f t="shared" si="57"/>
        <v>110342</v>
      </c>
      <c r="N43" s="16">
        <f t="shared" si="57"/>
        <v>6528</v>
      </c>
      <c r="O43" s="16">
        <f t="shared" si="57"/>
        <v>-12565</v>
      </c>
      <c r="P43" s="2">
        <f t="shared" si="53"/>
        <v>61865</v>
      </c>
      <c r="Q43" s="2"/>
      <c r="R43" s="237">
        <f>ROUND(SUM(AE20,AE22,AE24)/SUM(P20,P22,P24),5)</f>
        <v>2.6030000000000001E-2</v>
      </c>
      <c r="S43" s="3">
        <f t="shared" ref="S43" si="58">$R43*D43</f>
        <v>2259.5601799999999</v>
      </c>
      <c r="T43" s="3">
        <f t="shared" ref="T43" si="59">$R43*E43</f>
        <v>2455.0194500000002</v>
      </c>
      <c r="U43" s="3">
        <f t="shared" ref="U43" si="60">$R43*F43</f>
        <v>1761.8926100000001</v>
      </c>
      <c r="V43" s="3">
        <f t="shared" ref="V43" si="61">$R43*G43</f>
        <v>-5925.9377400000003</v>
      </c>
      <c r="W43" s="3">
        <f t="shared" ref="W43" si="62">$R43*H43</f>
        <v>-1303.2440100000001</v>
      </c>
      <c r="X43" s="3">
        <f t="shared" ref="X43" si="63">$R43*I43</f>
        <v>376.78425000000004</v>
      </c>
      <c r="Y43" s="3">
        <f t="shared" ref="Y43" si="64">$R43*J43</f>
        <v>-659.15769</v>
      </c>
      <c r="Z43" s="3">
        <f t="shared" ref="Z43" si="65">$R43*K43</f>
        <v>-273.60133000000002</v>
      </c>
      <c r="AA43" s="3">
        <f t="shared" ref="AA43" si="66">$R43*L43</f>
        <v>203.97108</v>
      </c>
      <c r="AB43" s="3">
        <f t="shared" ref="AB43" si="67">$R43*M43</f>
        <v>2872.20226</v>
      </c>
      <c r="AC43" s="20">
        <f t="shared" ref="AC43" si="68">$R43*N43</f>
        <v>169.92384000000001</v>
      </c>
      <c r="AD43" s="20">
        <f t="shared" ref="AD43" si="69">$R43*O43</f>
        <v>-327.06695000000002</v>
      </c>
      <c r="AE43" s="3">
        <f t="shared" si="55"/>
        <v>1610.3459499999994</v>
      </c>
      <c r="AF43" t="s">
        <v>33</v>
      </c>
    </row>
    <row r="44" spans="1:32" x14ac:dyDescent="0.25">
      <c r="D44" s="6">
        <f>D28+D31+D34+D37+D40+D43</f>
        <v>-399806</v>
      </c>
      <c r="E44" s="6">
        <f t="shared" ref="E44:O44" si="70">E28+E31+E34+E37+E40+E43</f>
        <v>-558208</v>
      </c>
      <c r="F44" s="6">
        <f t="shared" si="70"/>
        <v>-1011086</v>
      </c>
      <c r="G44" s="6">
        <f t="shared" si="70"/>
        <v>-2691748</v>
      </c>
      <c r="H44" s="6">
        <f t="shared" si="70"/>
        <v>-1444722</v>
      </c>
      <c r="I44" s="6">
        <f t="shared" si="70"/>
        <v>-649994</v>
      </c>
      <c r="J44" s="6">
        <f t="shared" si="70"/>
        <v>-374684</v>
      </c>
      <c r="K44" s="6">
        <f t="shared" si="70"/>
        <v>445592</v>
      </c>
      <c r="L44" s="6">
        <f t="shared" si="70"/>
        <v>118273</v>
      </c>
      <c r="M44" s="6">
        <f t="shared" si="70"/>
        <v>2810904</v>
      </c>
      <c r="N44" s="6">
        <f t="shared" si="70"/>
        <v>4111905</v>
      </c>
      <c r="O44" s="6">
        <f t="shared" si="70"/>
        <v>551248</v>
      </c>
      <c r="P44" s="2">
        <f t="shared" si="53"/>
        <v>907674</v>
      </c>
    </row>
    <row r="45" spans="1:32" x14ac:dyDescent="0.25">
      <c r="A45" t="s">
        <v>93</v>
      </c>
      <c r="B45" t="s">
        <v>28</v>
      </c>
      <c r="D45" s="10">
        <v>656815.24516880326</v>
      </c>
      <c r="E45" s="10">
        <v>-425313.61963318603</v>
      </c>
      <c r="F45" s="10">
        <v>-496234.90334344294</v>
      </c>
      <c r="G45" s="10">
        <v>592411.08474653354</v>
      </c>
      <c r="H45" s="10">
        <v>57610.276968740349</v>
      </c>
      <c r="I45" s="10">
        <v>-76550.761302753323</v>
      </c>
      <c r="J45" s="10">
        <v>-2258.8271625529978</v>
      </c>
      <c r="K45" s="10">
        <v>-4275.4482225471947</v>
      </c>
      <c r="L45" s="10">
        <v>75683.40724573606</v>
      </c>
      <c r="M45" s="10">
        <v>485626.98303134297</v>
      </c>
      <c r="N45" s="10">
        <v>-348607.2209411611</v>
      </c>
      <c r="O45" s="10">
        <v>408322.36847575032</v>
      </c>
      <c r="P45" s="2">
        <f t="shared" si="53"/>
        <v>923228.58503126306</v>
      </c>
      <c r="Q45" s="2"/>
      <c r="R45" s="237">
        <f>R4</f>
        <v>1.06833</v>
      </c>
      <c r="S45" s="3">
        <f t="shared" ref="S45:AD47" si="71">$R45*D45</f>
        <v>701695.43087118759</v>
      </c>
      <c r="T45" s="3">
        <f t="shared" si="71"/>
        <v>-454375.29926272162</v>
      </c>
      <c r="U45" s="3">
        <f t="shared" si="71"/>
        <v>-530142.63428890042</v>
      </c>
      <c r="V45" s="3">
        <f t="shared" si="71"/>
        <v>632890.53416726412</v>
      </c>
      <c r="W45" s="3">
        <f t="shared" si="71"/>
        <v>61546.787194014374</v>
      </c>
      <c r="X45" s="3">
        <f t="shared" si="71"/>
        <v>-81781.474822570453</v>
      </c>
      <c r="Y45" s="3">
        <f t="shared" si="71"/>
        <v>-2413.1728225702441</v>
      </c>
      <c r="Z45" s="3">
        <f t="shared" si="71"/>
        <v>-4567.5895995938445</v>
      </c>
      <c r="AA45" s="3">
        <f t="shared" si="71"/>
        <v>80854.854462837204</v>
      </c>
      <c r="AB45" s="3">
        <f t="shared" si="71"/>
        <v>518809.87478187465</v>
      </c>
      <c r="AC45" s="20">
        <f t="shared" si="71"/>
        <v>-372427.55234807066</v>
      </c>
      <c r="AD45" s="20">
        <f t="shared" si="71"/>
        <v>436223.03591369832</v>
      </c>
      <c r="AE45" s="3">
        <f t="shared" si="35"/>
        <v>986312.7942464489</v>
      </c>
    </row>
    <row r="46" spans="1:32" x14ac:dyDescent="0.25">
      <c r="A46" t="s">
        <v>94</v>
      </c>
      <c r="B46" t="s">
        <v>28</v>
      </c>
      <c r="D46" s="10">
        <v>353358.13737936626</v>
      </c>
      <c r="E46" s="10">
        <v>-217429.86002196622</v>
      </c>
      <c r="F46" s="10">
        <v>-242531.70392715509</v>
      </c>
      <c r="G46" s="10">
        <v>289088.068810397</v>
      </c>
      <c r="H46" s="10">
        <v>26602.773065488582</v>
      </c>
      <c r="I46" s="10">
        <v>-42535.214585285896</v>
      </c>
      <c r="J46" s="10">
        <v>-1181.0731479010331</v>
      </c>
      <c r="K46" s="10">
        <v>-355.23045141916737</v>
      </c>
      <c r="L46" s="10">
        <v>63733.116103968932</v>
      </c>
      <c r="M46" s="10">
        <v>286644.98858775204</v>
      </c>
      <c r="N46" s="10">
        <v>-169382.26322504142</v>
      </c>
      <c r="O46" s="10">
        <v>197268.17970172706</v>
      </c>
      <c r="P46" s="2">
        <f t="shared" si="53"/>
        <v>543279.91828993103</v>
      </c>
      <c r="Q46" s="2"/>
      <c r="R46" s="237">
        <f>R6</f>
        <v>0.98162000000000005</v>
      </c>
      <c r="S46" s="3">
        <f t="shared" si="71"/>
        <v>346863.41481433355</v>
      </c>
      <c r="T46" s="3">
        <f t="shared" si="71"/>
        <v>-213433.49919476249</v>
      </c>
      <c r="U46" s="3">
        <f t="shared" si="71"/>
        <v>-238073.97120897399</v>
      </c>
      <c r="V46" s="3">
        <f t="shared" si="71"/>
        <v>283774.63010566193</v>
      </c>
      <c r="W46" s="3">
        <f t="shared" si="71"/>
        <v>26113.814096544902</v>
      </c>
      <c r="X46" s="3">
        <f t="shared" si="71"/>
        <v>-41753.41734120834</v>
      </c>
      <c r="Y46" s="3">
        <f t="shared" si="71"/>
        <v>-1159.365023442612</v>
      </c>
      <c r="Z46" s="3">
        <f t="shared" si="71"/>
        <v>-348.70131572208311</v>
      </c>
      <c r="AA46" s="3">
        <f t="shared" si="71"/>
        <v>62561.701429977984</v>
      </c>
      <c r="AB46" s="3">
        <f t="shared" si="71"/>
        <v>281376.45369750919</v>
      </c>
      <c r="AC46" s="20">
        <f t="shared" si="71"/>
        <v>-166269.01722696517</v>
      </c>
      <c r="AD46" s="20">
        <f t="shared" si="71"/>
        <v>193642.39055880933</v>
      </c>
      <c r="AE46" s="3">
        <f t="shared" si="35"/>
        <v>533294.4333917622</v>
      </c>
    </row>
    <row r="47" spans="1:32" x14ac:dyDescent="0.25">
      <c r="A47" t="s">
        <v>95</v>
      </c>
      <c r="B47" t="s">
        <v>28</v>
      </c>
      <c r="D47" s="10">
        <v>2133.6591244274641</v>
      </c>
      <c r="E47" s="10">
        <v>-3531.4896402342333</v>
      </c>
      <c r="F47" s="10">
        <v>-2281.6700434930181</v>
      </c>
      <c r="G47" s="10">
        <v>6773.7981902082847</v>
      </c>
      <c r="H47" s="10">
        <v>866.87521715753724</v>
      </c>
      <c r="I47" s="10">
        <v>-1286.9527558697353</v>
      </c>
      <c r="J47" s="10">
        <v>-4396.1580220083006</v>
      </c>
      <c r="K47" s="10">
        <v>1206.8432401709874</v>
      </c>
      <c r="L47" s="10">
        <v>5681.4843885861392</v>
      </c>
      <c r="M47" s="10">
        <v>14420.077323642208</v>
      </c>
      <c r="N47" s="10">
        <v>-5321.2309623963383</v>
      </c>
      <c r="O47" s="10">
        <v>2024.7447364534432</v>
      </c>
      <c r="P47" s="2">
        <f t="shared" si="53"/>
        <v>16289.98079664444</v>
      </c>
      <c r="Q47" s="2"/>
      <c r="R47" s="237">
        <f>R8</f>
        <v>0.49925999999999998</v>
      </c>
      <c r="S47" s="3">
        <f t="shared" si="71"/>
        <v>1065.2506544616556</v>
      </c>
      <c r="T47" s="3">
        <f t="shared" si="71"/>
        <v>-1763.1315177833433</v>
      </c>
      <c r="U47" s="3">
        <f t="shared" si="71"/>
        <v>-1139.1465859143241</v>
      </c>
      <c r="V47" s="3">
        <f t="shared" si="71"/>
        <v>3381.8864844433883</v>
      </c>
      <c r="W47" s="3">
        <f t="shared" si="71"/>
        <v>432.79612091807201</v>
      </c>
      <c r="X47" s="3">
        <f t="shared" si="71"/>
        <v>-642.52403289552399</v>
      </c>
      <c r="Y47" s="3">
        <f t="shared" si="71"/>
        <v>-2194.8258540678639</v>
      </c>
      <c r="Z47" s="3">
        <f t="shared" si="71"/>
        <v>602.52855608776713</v>
      </c>
      <c r="AA47" s="3">
        <f t="shared" si="71"/>
        <v>2836.5378958455158</v>
      </c>
      <c r="AB47" s="3">
        <f t="shared" si="71"/>
        <v>7199.3678046016084</v>
      </c>
      <c r="AC47" s="20">
        <f t="shared" si="71"/>
        <v>-2656.6777702859958</v>
      </c>
      <c r="AD47" s="20">
        <f t="shared" si="71"/>
        <v>1010.874057121746</v>
      </c>
      <c r="AE47" s="3">
        <f t="shared" si="35"/>
        <v>8132.9358125327017</v>
      </c>
    </row>
    <row r="49" spans="1:34" x14ac:dyDescent="0.25">
      <c r="A49" t="s">
        <v>45</v>
      </c>
      <c r="C49" t="s">
        <v>81</v>
      </c>
    </row>
    <row r="50" spans="1:34" x14ac:dyDescent="0.25">
      <c r="A50" t="s">
        <v>102</v>
      </c>
      <c r="D50" s="2">
        <f t="shared" ref="D50:O50" si="72">SUM(D4:D4)+D28+D45</f>
        <v>8757606.831178803</v>
      </c>
      <c r="E50" s="2">
        <f t="shared" si="72"/>
        <v>6646995.6966568148</v>
      </c>
      <c r="F50" s="2">
        <f t="shared" si="72"/>
        <v>5518162.2384565575</v>
      </c>
      <c r="G50" s="2">
        <f t="shared" si="72"/>
        <v>4189638.6651665331</v>
      </c>
      <c r="H50" s="2">
        <f t="shared" si="72"/>
        <v>2376325.5875987406</v>
      </c>
      <c r="I50" s="2">
        <f t="shared" si="72"/>
        <v>1609877.8137872466</v>
      </c>
      <c r="J50" s="2">
        <f t="shared" si="72"/>
        <v>1181257.1936174468</v>
      </c>
      <c r="K50" s="2">
        <f t="shared" si="72"/>
        <v>1075740.3196374527</v>
      </c>
      <c r="L50" s="2">
        <f t="shared" si="72"/>
        <v>1274367.1240657361</v>
      </c>
      <c r="M50" s="2">
        <f t="shared" si="72"/>
        <v>3117053.5960313426</v>
      </c>
      <c r="N50" s="15">
        <f t="shared" si="72"/>
        <v>6467044.4021888394</v>
      </c>
      <c r="O50" s="15">
        <f t="shared" si="72"/>
        <v>9295589.4888657499</v>
      </c>
      <c r="P50" s="6">
        <f>SUM(D50:O50)</f>
        <v>51509658.957251266</v>
      </c>
      <c r="S50" s="3">
        <f t="shared" ref="S50:AD50" si="73">SUM(S3:S4)+S28+S45</f>
        <v>10326602.60595325</v>
      </c>
      <c r="T50" s="3">
        <f t="shared" si="73"/>
        <v>8070397.9126093732</v>
      </c>
      <c r="U50" s="3">
        <f t="shared" si="73"/>
        <v>6866373.764210294</v>
      </c>
      <c r="V50" s="3">
        <f t="shared" si="73"/>
        <v>5446620.6751573626</v>
      </c>
      <c r="W50" s="3">
        <f t="shared" si="73"/>
        <v>3507629.414999363</v>
      </c>
      <c r="X50" s="3">
        <f t="shared" si="73"/>
        <v>2693545.764803329</v>
      </c>
      <c r="Y50" s="3">
        <f t="shared" si="73"/>
        <v>2234177.9976573265</v>
      </c>
      <c r="Z50" s="3">
        <f t="shared" si="73"/>
        <v>2121965.6556782797</v>
      </c>
      <c r="AA50" s="3">
        <f t="shared" si="73"/>
        <v>2316776.6296531484</v>
      </c>
      <c r="AB50" s="3">
        <f t="shared" si="73"/>
        <v>4295170.3682481647</v>
      </c>
      <c r="AC50" s="20">
        <f t="shared" si="73"/>
        <v>7875420.5461904025</v>
      </c>
      <c r="AD50" s="20">
        <f t="shared" si="73"/>
        <v>10904947.118639948</v>
      </c>
      <c r="AE50" s="3">
        <f>SUM(S50:AD50)</f>
        <v>66659628.453800246</v>
      </c>
      <c r="AF50" s="3">
        <f>AE50</f>
        <v>66659628.453800246</v>
      </c>
      <c r="AH50" t="s">
        <v>109</v>
      </c>
    </row>
    <row r="51" spans="1:34" x14ac:dyDescent="0.25">
      <c r="A51" t="s">
        <v>103</v>
      </c>
      <c r="D51" s="2">
        <f t="shared" ref="D51:O51" si="74">SUM(D6:D6)+D31+D46</f>
        <v>4719973.5070693661</v>
      </c>
      <c r="E51" s="2">
        <f t="shared" si="74"/>
        <v>3636160.7702080337</v>
      </c>
      <c r="F51" s="2">
        <f t="shared" si="74"/>
        <v>2993648.0622128448</v>
      </c>
      <c r="G51" s="2">
        <f t="shared" si="74"/>
        <v>1889090.583420397</v>
      </c>
      <c r="H51" s="2">
        <f t="shared" si="74"/>
        <v>1147207.6244754884</v>
      </c>
      <c r="I51" s="2">
        <f t="shared" si="74"/>
        <v>841646.66906471411</v>
      </c>
      <c r="J51" s="2">
        <f t="shared" si="74"/>
        <v>773284.67229209899</v>
      </c>
      <c r="K51" s="2">
        <f t="shared" si="74"/>
        <v>802115.50696858088</v>
      </c>
      <c r="L51" s="2">
        <f t="shared" si="74"/>
        <v>844193.43742396892</v>
      </c>
      <c r="M51" s="2">
        <f t="shared" si="74"/>
        <v>1804999.7618677518</v>
      </c>
      <c r="N51" s="15">
        <f t="shared" si="74"/>
        <v>3119584.4552749586</v>
      </c>
      <c r="O51" s="15">
        <f t="shared" si="74"/>
        <v>4624058.3960017264</v>
      </c>
      <c r="P51" s="6">
        <f t="shared" ref="P51:P56" si="75">SUM(D51:O51)</f>
        <v>27195963.446279928</v>
      </c>
      <c r="S51" s="3">
        <f t="shared" ref="S51:AD51" si="76">SUM(S5:S6)+S31+S46</f>
        <v>4836166.3940094309</v>
      </c>
      <c r="T51" s="3">
        <f t="shared" si="76"/>
        <v>3772087.1352516101</v>
      </c>
      <c r="U51" s="3">
        <f t="shared" si="76"/>
        <v>3141519.8108293731</v>
      </c>
      <c r="V51" s="3">
        <f t="shared" si="76"/>
        <v>2056924.0984971302</v>
      </c>
      <c r="W51" s="3">
        <f t="shared" si="76"/>
        <v>1326279.948337629</v>
      </c>
      <c r="X51" s="3">
        <f t="shared" si="76"/>
        <v>1030517.2032873046</v>
      </c>
      <c r="Y51" s="3">
        <f t="shared" si="76"/>
        <v>961762.70001537015</v>
      </c>
      <c r="Z51" s="3">
        <f t="shared" si="76"/>
        <v>989145.62395049841</v>
      </c>
      <c r="AA51" s="3">
        <f t="shared" si="76"/>
        <v>1027220.1620441164</v>
      </c>
      <c r="AB51" s="3">
        <f t="shared" si="76"/>
        <v>1972151.866244623</v>
      </c>
      <c r="AC51" s="20">
        <f t="shared" si="76"/>
        <v>3261979.492987005</v>
      </c>
      <c r="AD51" s="20">
        <f t="shared" si="76"/>
        <v>4742065.202683215</v>
      </c>
      <c r="AE51" s="3">
        <f t="shared" ref="AE51:AE56" si="77">SUM(S51:AD51)</f>
        <v>29117819.638137307</v>
      </c>
    </row>
    <row r="52" spans="1:34" x14ac:dyDescent="0.25">
      <c r="A52" t="s">
        <v>104</v>
      </c>
      <c r="D52" s="2">
        <f t="shared" ref="D52:O52" si="78">SUM(D8:D8)+D34+D47</f>
        <v>444488.37103442749</v>
      </c>
      <c r="E52" s="2">
        <f t="shared" si="78"/>
        <v>428594.07693976577</v>
      </c>
      <c r="F52" s="2">
        <f t="shared" si="78"/>
        <v>418136.56495650695</v>
      </c>
      <c r="G52" s="2">
        <f t="shared" si="78"/>
        <v>261817.38419020831</v>
      </c>
      <c r="H52" s="2">
        <f t="shared" si="78"/>
        <v>261841.53621715753</v>
      </c>
      <c r="I52" s="2">
        <f t="shared" si="78"/>
        <v>224279.88824413024</v>
      </c>
      <c r="J52" s="2">
        <f t="shared" si="78"/>
        <v>244431.89697799168</v>
      </c>
      <c r="K52" s="2">
        <f t="shared" si="78"/>
        <v>269575.40456017095</v>
      </c>
      <c r="L52" s="2">
        <f t="shared" si="78"/>
        <v>230718.24361858613</v>
      </c>
      <c r="M52" s="2">
        <f t="shared" si="78"/>
        <v>400133.0564536422</v>
      </c>
      <c r="N52" s="15">
        <f t="shared" si="78"/>
        <v>465944.18364760361</v>
      </c>
      <c r="O52" s="15">
        <f t="shared" si="78"/>
        <v>334950.24392645346</v>
      </c>
      <c r="P52" s="6">
        <f t="shared" si="75"/>
        <v>3984910.8507666439</v>
      </c>
      <c r="S52" s="3">
        <f t="shared" ref="S52:AD52" si="79">SUM(S7:S8)+S34+S47</f>
        <v>226920.26412264825</v>
      </c>
      <c r="T52" s="3">
        <f t="shared" si="79"/>
        <v>219039.87885294744</v>
      </c>
      <c r="U52" s="3">
        <f t="shared" si="79"/>
        <v>213873.86142018565</v>
      </c>
      <c r="V52" s="3">
        <f t="shared" si="79"/>
        <v>135829.94723080337</v>
      </c>
      <c r="W52" s="3">
        <f t="shared" si="79"/>
        <v>135787.00537177807</v>
      </c>
      <c r="X52" s="3">
        <f t="shared" si="79"/>
        <v>117143.97700476447</v>
      </c>
      <c r="Y52" s="3">
        <f t="shared" si="79"/>
        <v>127150.06888523212</v>
      </c>
      <c r="Z52" s="3">
        <f t="shared" si="79"/>
        <v>139703.21648071095</v>
      </c>
      <c r="AA52" s="3">
        <f t="shared" si="79"/>
        <v>120468.39030901532</v>
      </c>
      <c r="AB52" s="3">
        <f t="shared" si="79"/>
        <v>205050.42976504541</v>
      </c>
      <c r="AC52" s="20">
        <f t="shared" si="79"/>
        <v>238402.29312790258</v>
      </c>
      <c r="AD52" s="20">
        <f t="shared" si="79"/>
        <v>172507.25878272115</v>
      </c>
      <c r="AE52" s="3">
        <f t="shared" si="77"/>
        <v>2051876.5913537545</v>
      </c>
      <c r="AF52" s="3">
        <f>SUM(AE51:AE54)</f>
        <v>35015386.852300324</v>
      </c>
      <c r="AH52" t="s">
        <v>110</v>
      </c>
    </row>
    <row r="53" spans="1:34" x14ac:dyDescent="0.25">
      <c r="A53" t="s">
        <v>105</v>
      </c>
      <c r="D53" s="2">
        <f t="shared" ref="D53:O53" si="80">SUM(D10:D10)+D37</f>
        <v>1010089.448</v>
      </c>
      <c r="E53" s="2">
        <f t="shared" si="80"/>
        <v>1465443.6410000001</v>
      </c>
      <c r="F53" s="2">
        <f t="shared" si="80"/>
        <v>1221988.936</v>
      </c>
      <c r="G53" s="2">
        <f t="shared" si="80"/>
        <v>1023795.925</v>
      </c>
      <c r="H53" s="2">
        <f t="shared" si="80"/>
        <v>1122411.4449999998</v>
      </c>
      <c r="I53" s="2">
        <f t="shared" si="80"/>
        <v>874686.75699999998</v>
      </c>
      <c r="J53" s="2">
        <f t="shared" si="80"/>
        <v>1077321.1910000001</v>
      </c>
      <c r="K53" s="2">
        <f t="shared" si="80"/>
        <v>1150905.4240000001</v>
      </c>
      <c r="L53" s="2">
        <f t="shared" si="80"/>
        <v>1176738.852</v>
      </c>
      <c r="M53" s="2">
        <f t="shared" si="80"/>
        <v>1570404.199</v>
      </c>
      <c r="N53" s="15">
        <f t="shared" si="80"/>
        <v>1200966.763</v>
      </c>
      <c r="O53" s="15">
        <f t="shared" si="80"/>
        <v>894257.38899999997</v>
      </c>
      <c r="P53" s="6">
        <f t="shared" si="75"/>
        <v>13789009.970000001</v>
      </c>
      <c r="S53" s="3">
        <f t="shared" ref="S53:AD53" si="81">SUM(S9:S10)</f>
        <v>265218.34871632</v>
      </c>
      <c r="T53" s="3">
        <f t="shared" si="81"/>
        <v>351332.99788594007</v>
      </c>
      <c r="U53" s="3">
        <f t="shared" si="81"/>
        <v>339920.04222624004</v>
      </c>
      <c r="V53" s="3">
        <f t="shared" si="81"/>
        <v>345609.92063450004</v>
      </c>
      <c r="W53" s="3">
        <f t="shared" si="81"/>
        <v>280938.7805313</v>
      </c>
      <c r="X53" s="3">
        <f t="shared" si="81"/>
        <v>262279.30361338001</v>
      </c>
      <c r="Y53" s="3">
        <f t="shared" si="81"/>
        <v>275178.92741294001</v>
      </c>
      <c r="Z53" s="3">
        <f t="shared" si="81"/>
        <v>274175.93295616005</v>
      </c>
      <c r="AA53" s="3">
        <f t="shared" si="81"/>
        <v>297816.66660568002</v>
      </c>
      <c r="AB53" s="3">
        <f t="shared" si="81"/>
        <v>286424.11667966004</v>
      </c>
      <c r="AC53" s="20">
        <f t="shared" si="81"/>
        <v>311598.99072342005</v>
      </c>
      <c r="AD53" s="20">
        <f t="shared" si="81"/>
        <v>352960.95316426002</v>
      </c>
      <c r="AE53" s="3">
        <f t="shared" si="77"/>
        <v>3643454.9811498001</v>
      </c>
    </row>
    <row r="54" spans="1:34" x14ac:dyDescent="0.25">
      <c r="A54" t="s">
        <v>106</v>
      </c>
      <c r="D54" s="2">
        <f t="shared" ref="D54:O54" si="82">SUM(D12:D12)</f>
        <v>4.1559999999999997</v>
      </c>
      <c r="E54" s="2">
        <f t="shared" si="82"/>
        <v>5.22</v>
      </c>
      <c r="F54" s="2">
        <f t="shared" si="82"/>
        <v>3.1259999999999999</v>
      </c>
      <c r="G54" s="2">
        <f t="shared" si="82"/>
        <v>75.239999999999995</v>
      </c>
      <c r="H54" s="2">
        <f t="shared" si="82"/>
        <v>15219.464</v>
      </c>
      <c r="I54" s="2">
        <f t="shared" si="82"/>
        <v>6538.4269999999997</v>
      </c>
      <c r="J54" s="2">
        <f t="shared" si="82"/>
        <v>20172.150000000001</v>
      </c>
      <c r="K54" s="2">
        <f t="shared" si="82"/>
        <v>28070.749</v>
      </c>
      <c r="L54" s="2">
        <f t="shared" si="82"/>
        <v>94093.043000000005</v>
      </c>
      <c r="M54" s="2">
        <f t="shared" si="82"/>
        <v>41916.576999999997</v>
      </c>
      <c r="N54" s="15">
        <f t="shared" si="82"/>
        <v>13847.895</v>
      </c>
      <c r="O54" s="15">
        <f t="shared" si="82"/>
        <v>2539.35</v>
      </c>
      <c r="P54" s="6">
        <f t="shared" si="75"/>
        <v>222485.397</v>
      </c>
      <c r="S54" s="3">
        <f t="shared" ref="S54:AD54" si="83">SUM(S11:S12)+S37</f>
        <v>8606.1491320800014</v>
      </c>
      <c r="T54" s="3">
        <f t="shared" si="83"/>
        <v>44831.780559600003</v>
      </c>
      <c r="U54" s="3">
        <f t="shared" si="83"/>
        <v>-9234.9550733200012</v>
      </c>
      <c r="V54" s="3">
        <f t="shared" si="83"/>
        <v>-68071.58761680001</v>
      </c>
      <c r="W54" s="3">
        <f t="shared" si="83"/>
        <v>30547.455979520004</v>
      </c>
      <c r="X54" s="3">
        <f t="shared" si="83"/>
        <v>-21494.315115140002</v>
      </c>
      <c r="Y54" s="3">
        <f t="shared" si="83"/>
        <v>26779.835567000002</v>
      </c>
      <c r="Z54" s="3">
        <f t="shared" si="83"/>
        <v>51660.738750819997</v>
      </c>
      <c r="AA54" s="3">
        <f t="shared" si="83"/>
        <v>68314.267359739999</v>
      </c>
      <c r="AB54" s="3">
        <f t="shared" si="83"/>
        <v>159036.64587186</v>
      </c>
      <c r="AC54" s="20">
        <f t="shared" si="83"/>
        <v>20350.2621611</v>
      </c>
      <c r="AD54" s="20">
        <f t="shared" si="83"/>
        <v>-109090.63591700001</v>
      </c>
      <c r="AE54" s="3">
        <f t="shared" si="77"/>
        <v>202235.64165945997</v>
      </c>
      <c r="AF54" s="3">
        <f>AE55+AE56</f>
        <v>2786210.68829</v>
      </c>
      <c r="AH54" t="s">
        <v>111</v>
      </c>
    </row>
    <row r="55" spans="1:34" x14ac:dyDescent="0.25">
      <c r="A55" t="s">
        <v>107</v>
      </c>
      <c r="D55" s="2">
        <f t="shared" ref="D55:O55" si="84">SUM(D14:D18)+D40</f>
        <v>2959407</v>
      </c>
      <c r="E55" s="2">
        <f t="shared" si="84"/>
        <v>2781685</v>
      </c>
      <c r="F55" s="2">
        <f t="shared" si="84"/>
        <v>2649568</v>
      </c>
      <c r="G55" s="2">
        <f t="shared" si="84"/>
        <v>3286618</v>
      </c>
      <c r="H55" s="2">
        <f t="shared" si="84"/>
        <v>1324342</v>
      </c>
      <c r="I55" s="2">
        <f t="shared" si="84"/>
        <v>2169431</v>
      </c>
      <c r="J55" s="2">
        <f t="shared" si="84"/>
        <v>1987435</v>
      </c>
      <c r="K55" s="2">
        <f t="shared" si="84"/>
        <v>2164069</v>
      </c>
      <c r="L55" s="2">
        <f t="shared" si="84"/>
        <v>2078574</v>
      </c>
      <c r="M55" s="2">
        <f t="shared" si="84"/>
        <v>2512171</v>
      </c>
      <c r="N55" s="15">
        <f t="shared" si="84"/>
        <v>2719142</v>
      </c>
      <c r="O55" s="15">
        <f t="shared" si="84"/>
        <v>2893851</v>
      </c>
      <c r="P55" s="6">
        <f t="shared" si="75"/>
        <v>29526293</v>
      </c>
      <c r="S55" s="3">
        <f t="shared" ref="S55:AD55" si="85">SUM(S13:S18)+S40</f>
        <v>258252.94066999998</v>
      </c>
      <c r="T55" s="3">
        <f t="shared" si="85"/>
        <v>235720.95212999999</v>
      </c>
      <c r="U55" s="3">
        <f t="shared" si="85"/>
        <v>227642.18351</v>
      </c>
      <c r="V55" s="3">
        <f t="shared" si="85"/>
        <v>286016.70443000004</v>
      </c>
      <c r="W55" s="3">
        <f t="shared" si="85"/>
        <v>127058.15674000002</v>
      </c>
      <c r="X55" s="3">
        <f t="shared" si="85"/>
        <v>199162.42332999999</v>
      </c>
      <c r="Y55" s="3">
        <f t="shared" si="85"/>
        <v>183156.67552999998</v>
      </c>
      <c r="Z55" s="3">
        <f t="shared" si="85"/>
        <v>201253.22409999999</v>
      </c>
      <c r="AA55" s="3">
        <f t="shared" si="85"/>
        <v>189550.6973</v>
      </c>
      <c r="AB55" s="3">
        <f t="shared" si="85"/>
        <v>227875.97414000001</v>
      </c>
      <c r="AC55" s="20">
        <f t="shared" si="85"/>
        <v>238292.46875999999</v>
      </c>
      <c r="AD55" s="20">
        <f t="shared" si="85"/>
        <v>251557.57920000001</v>
      </c>
      <c r="AE55" s="3">
        <f t="shared" si="77"/>
        <v>2625539.9798400002</v>
      </c>
    </row>
    <row r="56" spans="1:34" x14ac:dyDescent="0.25">
      <c r="A56" t="s">
        <v>108</v>
      </c>
      <c r="D56" s="2">
        <f t="shared" ref="D56:O56" si="86">D20+D22+D24+D43</f>
        <v>554879</v>
      </c>
      <c r="E56" s="2">
        <f t="shared" si="86"/>
        <v>583876</v>
      </c>
      <c r="F56" s="2">
        <f t="shared" si="86"/>
        <v>600273</v>
      </c>
      <c r="G56" s="2">
        <f t="shared" si="86"/>
        <v>342242</v>
      </c>
      <c r="H56" s="2">
        <f t="shared" si="86"/>
        <v>451124</v>
      </c>
      <c r="I56" s="2">
        <f t="shared" si="86"/>
        <v>491836</v>
      </c>
      <c r="J56" s="2">
        <f t="shared" si="86"/>
        <v>470417</v>
      </c>
      <c r="K56" s="2">
        <f t="shared" si="86"/>
        <v>494553</v>
      </c>
      <c r="L56" s="2">
        <f t="shared" si="86"/>
        <v>520901</v>
      </c>
      <c r="M56" s="2">
        <f t="shared" si="86"/>
        <v>609849</v>
      </c>
      <c r="N56" s="15">
        <f t="shared" si="86"/>
        <v>543360</v>
      </c>
      <c r="O56" s="15">
        <f t="shared" si="86"/>
        <v>508554</v>
      </c>
      <c r="P56" s="6">
        <f t="shared" si="75"/>
        <v>6171864</v>
      </c>
      <c r="S56" s="3">
        <f t="shared" ref="S56:AD56" si="87">SUM(S19:S24)+S43</f>
        <v>14431.54018</v>
      </c>
      <c r="T56" s="3">
        <f t="shared" si="87"/>
        <v>15206.60195</v>
      </c>
      <c r="U56" s="3">
        <f t="shared" si="87"/>
        <v>15672.690110000001</v>
      </c>
      <c r="V56" s="3">
        <f t="shared" si="87"/>
        <v>8944.0797600000005</v>
      </c>
      <c r="W56" s="3">
        <f t="shared" si="87"/>
        <v>11720.583489999999</v>
      </c>
      <c r="X56" s="3">
        <f t="shared" si="87"/>
        <v>12738.811750000001</v>
      </c>
      <c r="Y56" s="3">
        <f t="shared" si="87"/>
        <v>12244.91231</v>
      </c>
      <c r="Z56" s="3">
        <f t="shared" si="87"/>
        <v>12872.80867</v>
      </c>
      <c r="AA56" s="3">
        <f t="shared" si="87"/>
        <v>13541.73108</v>
      </c>
      <c r="AB56" s="3">
        <f t="shared" si="87"/>
        <v>15879.852260000001</v>
      </c>
      <c r="AC56" s="20">
        <f t="shared" si="87"/>
        <v>14151.77384</v>
      </c>
      <c r="AD56" s="20">
        <f t="shared" si="87"/>
        <v>13265.323049999999</v>
      </c>
      <c r="AE56" s="3">
        <f t="shared" si="77"/>
        <v>160670.70845000001</v>
      </c>
    </row>
    <row r="57" spans="1:34" x14ac:dyDescent="0.25">
      <c r="A57" t="s">
        <v>52</v>
      </c>
      <c r="D57" s="8">
        <f>SUM(D50:D56)</f>
        <v>18446448.313282594</v>
      </c>
      <c r="E57" s="8">
        <f t="shared" ref="E57:P57" si="88">SUM(E50:E56)</f>
        <v>15542760.404804615</v>
      </c>
      <c r="F57" s="8">
        <f t="shared" si="88"/>
        <v>13401779.927625909</v>
      </c>
      <c r="G57" s="8">
        <f t="shared" si="88"/>
        <v>10993277.797777139</v>
      </c>
      <c r="H57" s="8">
        <f t="shared" si="88"/>
        <v>6698471.6572913863</v>
      </c>
      <c r="I57" s="8">
        <f t="shared" si="88"/>
        <v>6218296.5550960908</v>
      </c>
      <c r="J57" s="8">
        <f t="shared" si="88"/>
        <v>5754319.1038875375</v>
      </c>
      <c r="K57" s="8">
        <f t="shared" si="88"/>
        <v>5985029.4041662049</v>
      </c>
      <c r="L57" s="8">
        <f t="shared" si="88"/>
        <v>6219585.7001082916</v>
      </c>
      <c r="M57" s="8">
        <f t="shared" si="88"/>
        <v>10056527.190352736</v>
      </c>
      <c r="N57" s="18">
        <f t="shared" si="88"/>
        <v>14529889.6991114</v>
      </c>
      <c r="O57" s="18">
        <f t="shared" si="88"/>
        <v>18553799.867793933</v>
      </c>
      <c r="P57" s="8">
        <f t="shared" si="88"/>
        <v>132400185.62129784</v>
      </c>
      <c r="S57" s="7">
        <f>SUM(S50:S56)</f>
        <v>15936198.242783729</v>
      </c>
      <c r="T57" s="7">
        <f t="shared" ref="T57:AD57" si="89">SUM(T50:T56)</f>
        <v>12708617.259239469</v>
      </c>
      <c r="U57" s="7">
        <f t="shared" si="89"/>
        <v>10795767.397232773</v>
      </c>
      <c r="V57" s="7">
        <f t="shared" si="89"/>
        <v>8211873.8380929958</v>
      </c>
      <c r="W57" s="7">
        <f t="shared" si="89"/>
        <v>5419961.3454495911</v>
      </c>
      <c r="X57" s="7">
        <f t="shared" si="89"/>
        <v>4293893.1686736392</v>
      </c>
      <c r="Y57" s="7">
        <f t="shared" si="89"/>
        <v>3820451.1173778693</v>
      </c>
      <c r="Z57" s="7">
        <f t="shared" si="89"/>
        <v>3790777.2005864689</v>
      </c>
      <c r="AA57" s="7">
        <f t="shared" si="89"/>
        <v>4033688.5443517002</v>
      </c>
      <c r="AB57" s="7">
        <f t="shared" si="89"/>
        <v>7161589.2532093534</v>
      </c>
      <c r="AC57" s="21">
        <f t="shared" si="89"/>
        <v>11960195.82778983</v>
      </c>
      <c r="AD57" s="21">
        <f t="shared" si="89"/>
        <v>16328212.799603146</v>
      </c>
      <c r="AE57" s="7">
        <f>SUM(AE50:AE56)</f>
        <v>104461225.99439056</v>
      </c>
      <c r="AF57" s="3">
        <f>SUM(AF50:AF55)</f>
        <v>104461225.99439058</v>
      </c>
    </row>
    <row r="59" spans="1:34" x14ac:dyDescent="0.25">
      <c r="A59" t="s">
        <v>54</v>
      </c>
      <c r="C59" t="s">
        <v>55</v>
      </c>
      <c r="R59" s="236" t="s">
        <v>56</v>
      </c>
    </row>
    <row r="60" spans="1:34" x14ac:dyDescent="0.25">
      <c r="A60" t="s">
        <v>102</v>
      </c>
      <c r="D60" s="2">
        <f t="shared" ref="D60:P60" si="90">D50/(D3)</f>
        <v>94.74135715329146</v>
      </c>
      <c r="E60" s="2">
        <f t="shared" si="90"/>
        <v>72.010440238519863</v>
      </c>
      <c r="F60" s="2">
        <f t="shared" si="90"/>
        <v>59.661612897001412</v>
      </c>
      <c r="G60" s="2">
        <f t="shared" si="90"/>
        <v>45.318867527329232</v>
      </c>
      <c r="H60" s="2">
        <f t="shared" si="90"/>
        <v>25.751531633402404</v>
      </c>
      <c r="I60" s="2">
        <f t="shared" si="90"/>
        <v>17.360916788388295</v>
      </c>
      <c r="J60" s="2">
        <f t="shared" si="90"/>
        <v>12.757797125178978</v>
      </c>
      <c r="K60" s="2">
        <f t="shared" si="90"/>
        <v>11.612050082442279</v>
      </c>
      <c r="L60" s="2">
        <f t="shared" si="90"/>
        <v>14.00649701118588</v>
      </c>
      <c r="M60" s="2">
        <f t="shared" si="90"/>
        <v>33.91161151942886</v>
      </c>
      <c r="N60" s="15">
        <f t="shared" si="90"/>
        <v>70.258831477618145</v>
      </c>
      <c r="O60" s="15">
        <f t="shared" si="90"/>
        <v>100.18958276423528</v>
      </c>
      <c r="P60" s="2">
        <f t="shared" si="90"/>
        <v>46.503593608851958</v>
      </c>
      <c r="S60" s="3">
        <f t="shared" ref="S60:AE60" si="91">S50/(D3)</f>
        <v>111.71503408757586</v>
      </c>
      <c r="T60" s="3">
        <f t="shared" si="91"/>
        <v>87.430913620017904</v>
      </c>
      <c r="U60" s="3">
        <f t="shared" si="91"/>
        <v>74.238290906253511</v>
      </c>
      <c r="V60" s="3">
        <f t="shared" si="91"/>
        <v>58.915505745471641</v>
      </c>
      <c r="W60" s="3">
        <f t="shared" si="91"/>
        <v>38.011133789912797</v>
      </c>
      <c r="X60" s="3">
        <f t="shared" si="91"/>
        <v>29.047188232538865</v>
      </c>
      <c r="Y60" s="3">
        <f t="shared" si="91"/>
        <v>24.129537402742454</v>
      </c>
      <c r="Z60" s="3">
        <f t="shared" si="91"/>
        <v>22.905501464575558</v>
      </c>
      <c r="AA60" s="3">
        <f t="shared" si="91"/>
        <v>25.463560951960218</v>
      </c>
      <c r="AB60" s="3">
        <f t="shared" si="91"/>
        <v>46.728791934551438</v>
      </c>
      <c r="AC60" s="20">
        <f t="shared" si="91"/>
        <v>85.55961743248379</v>
      </c>
      <c r="AD60" s="20">
        <f t="shared" si="91"/>
        <v>117.53553695451549</v>
      </c>
      <c r="AE60" s="3">
        <f t="shared" si="91"/>
        <v>60.181184160144817</v>
      </c>
    </row>
    <row r="61" spans="1:34" x14ac:dyDescent="0.25">
      <c r="A61" t="s">
        <v>103</v>
      </c>
      <c r="D61" s="2">
        <f t="shared" ref="D61:P61" si="92">D51/(D5)</f>
        <v>395.37389069101744</v>
      </c>
      <c r="E61" s="2">
        <f t="shared" si="92"/>
        <v>304.86801125245523</v>
      </c>
      <c r="F61" s="2">
        <f t="shared" si="92"/>
        <v>250.82933072583535</v>
      </c>
      <c r="G61" s="2">
        <f t="shared" si="92"/>
        <v>158.54725836511935</v>
      </c>
      <c r="H61" s="2">
        <f t="shared" si="92"/>
        <v>97.435673898037066</v>
      </c>
      <c r="I61" s="2">
        <f t="shared" si="92"/>
        <v>70.020521552804837</v>
      </c>
      <c r="J61" s="2">
        <f t="shared" si="92"/>
        <v>64.856552234513046</v>
      </c>
      <c r="K61" s="2">
        <f t="shared" si="92"/>
        <v>67.580715053381155</v>
      </c>
      <c r="L61" s="2">
        <f t="shared" si="92"/>
        <v>72.283024010957178</v>
      </c>
      <c r="M61" s="2">
        <f t="shared" si="92"/>
        <v>153.17377476813917</v>
      </c>
      <c r="N61" s="15">
        <f t="shared" si="92"/>
        <v>265.51914675929515</v>
      </c>
      <c r="O61" s="15">
        <f t="shared" si="92"/>
        <v>387.24214018940847</v>
      </c>
      <c r="P61" s="2">
        <f t="shared" si="92"/>
        <v>190.91049353672011</v>
      </c>
      <c r="S61" s="3">
        <f t="shared" ref="S61:AE61" si="93">S51/(D5)</f>
        <v>405.10691858011648</v>
      </c>
      <c r="T61" s="3">
        <f t="shared" si="93"/>
        <v>316.26453720563512</v>
      </c>
      <c r="U61" s="3">
        <f t="shared" si="93"/>
        <v>263.2190876270945</v>
      </c>
      <c r="V61" s="3">
        <f t="shared" si="93"/>
        <v>172.63315975636846</v>
      </c>
      <c r="W61" s="3">
        <f t="shared" si="93"/>
        <v>112.64480621179115</v>
      </c>
      <c r="X61" s="3">
        <f t="shared" si="93"/>
        <v>85.733544366664276</v>
      </c>
      <c r="Y61" s="3">
        <f t="shared" si="93"/>
        <v>80.664488804442684</v>
      </c>
      <c r="Z61" s="3">
        <f t="shared" si="93"/>
        <v>83.33858151070001</v>
      </c>
      <c r="AA61" s="3">
        <f t="shared" si="93"/>
        <v>87.954462029635792</v>
      </c>
      <c r="AB61" s="3">
        <f t="shared" si="93"/>
        <v>167.3584407879008</v>
      </c>
      <c r="AC61" s="20">
        <f t="shared" si="93"/>
        <v>277.6389048418593</v>
      </c>
      <c r="AD61" s="20">
        <f t="shared" si="93"/>
        <v>397.12462965272715</v>
      </c>
      <c r="AE61" s="3">
        <f t="shared" si="93"/>
        <v>204.40155866551524</v>
      </c>
    </row>
    <row r="62" spans="1:34" x14ac:dyDescent="0.25">
      <c r="A62" t="s">
        <v>104</v>
      </c>
      <c r="D62" s="2">
        <f t="shared" ref="D62:P62" si="94">D52/(D7)</f>
        <v>4884.4875937849174</v>
      </c>
      <c r="E62" s="2">
        <f t="shared" si="94"/>
        <v>4658.6312710844104</v>
      </c>
      <c r="F62" s="2">
        <f t="shared" si="94"/>
        <v>4496.0920963065264</v>
      </c>
      <c r="G62" s="2">
        <f t="shared" si="94"/>
        <v>2815.2406902172938</v>
      </c>
      <c r="H62" s="2">
        <f t="shared" si="94"/>
        <v>2846.1036545343209</v>
      </c>
      <c r="I62" s="2">
        <f t="shared" si="94"/>
        <v>2385.9562579162794</v>
      </c>
      <c r="J62" s="2">
        <f t="shared" si="94"/>
        <v>2628.299967505287</v>
      </c>
      <c r="K62" s="2">
        <f t="shared" si="94"/>
        <v>2898.6602640878596</v>
      </c>
      <c r="L62" s="2">
        <f t="shared" si="94"/>
        <v>2403.3150376936055</v>
      </c>
      <c r="M62" s="2">
        <f t="shared" si="94"/>
        <v>4168.0526713921063</v>
      </c>
      <c r="N62" s="15">
        <f t="shared" si="94"/>
        <v>4437.5636537867013</v>
      </c>
      <c r="O62" s="15">
        <f t="shared" si="94"/>
        <v>3489.0650409005571</v>
      </c>
      <c r="P62" s="2">
        <f t="shared" si="94"/>
        <v>3514.0307325984513</v>
      </c>
      <c r="S62" s="3">
        <f t="shared" ref="S62:AE62" si="95">S52/(D7)</f>
        <v>2493.6292760730576</v>
      </c>
      <c r="T62" s="3">
        <f t="shared" si="95"/>
        <v>2380.8682484016026</v>
      </c>
      <c r="U62" s="3">
        <f t="shared" si="95"/>
        <v>2299.7189400019961</v>
      </c>
      <c r="V62" s="3">
        <f t="shared" si="95"/>
        <v>1460.5370669978856</v>
      </c>
      <c r="W62" s="3">
        <f t="shared" si="95"/>
        <v>1475.9457105628051</v>
      </c>
      <c r="X62" s="3">
        <f t="shared" si="95"/>
        <v>1246.2125213272816</v>
      </c>
      <c r="Y62" s="3">
        <f t="shared" si="95"/>
        <v>1367.2050417766895</v>
      </c>
      <c r="Z62" s="3">
        <f t="shared" si="95"/>
        <v>1502.1851234485048</v>
      </c>
      <c r="AA62" s="3">
        <f t="shared" si="95"/>
        <v>1254.8790657189095</v>
      </c>
      <c r="AB62" s="3">
        <f t="shared" si="95"/>
        <v>2135.941976719223</v>
      </c>
      <c r="AC62" s="20">
        <f t="shared" si="95"/>
        <v>2270.4980297895486</v>
      </c>
      <c r="AD62" s="20">
        <f t="shared" si="95"/>
        <v>1796.9506123200119</v>
      </c>
      <c r="AE62" s="3">
        <f t="shared" si="95"/>
        <v>1809.4149835571027</v>
      </c>
    </row>
    <row r="63" spans="1:34" x14ac:dyDescent="0.25">
      <c r="A63" t="s">
        <v>105</v>
      </c>
      <c r="D63" s="2">
        <f t="shared" ref="D63:P63" si="96">D53/(D9)</f>
        <v>27299.714810810809</v>
      </c>
      <c r="E63" s="2">
        <f t="shared" si="96"/>
        <v>37575.477974358975</v>
      </c>
      <c r="F63" s="2">
        <f t="shared" si="96"/>
        <v>33026.728000000003</v>
      </c>
      <c r="G63" s="2">
        <f t="shared" si="96"/>
        <v>27670.160135135135</v>
      </c>
      <c r="H63" s="2">
        <f t="shared" si="96"/>
        <v>32068.898428571425</v>
      </c>
      <c r="I63" s="2">
        <f t="shared" si="96"/>
        <v>23640.182621621621</v>
      </c>
      <c r="J63" s="2">
        <f t="shared" si="96"/>
        <v>29925.58863888889</v>
      </c>
      <c r="K63" s="2">
        <f t="shared" si="96"/>
        <v>30286.984842105267</v>
      </c>
      <c r="L63" s="2">
        <f t="shared" si="96"/>
        <v>30172.791076923077</v>
      </c>
      <c r="M63" s="2">
        <f t="shared" si="96"/>
        <v>40266.774333333335</v>
      </c>
      <c r="N63" s="15">
        <f t="shared" si="96"/>
        <v>33360.18786111111</v>
      </c>
      <c r="O63" s="15">
        <f t="shared" si="96"/>
        <v>25550.211114285714</v>
      </c>
      <c r="P63" s="2">
        <f t="shared" si="96"/>
        <v>30986.539258426968</v>
      </c>
      <c r="S63" s="3">
        <f t="shared" ref="S63:AE63" si="97">S53/(D9)</f>
        <v>7168.0634788194593</v>
      </c>
      <c r="T63" s="3">
        <f t="shared" si="97"/>
        <v>9008.5384073317964</v>
      </c>
      <c r="U63" s="3">
        <f t="shared" si="97"/>
        <v>9187.0281682767582</v>
      </c>
      <c r="V63" s="3">
        <f t="shared" si="97"/>
        <v>9340.8086657972981</v>
      </c>
      <c r="W63" s="3">
        <f t="shared" si="97"/>
        <v>8026.8223008942859</v>
      </c>
      <c r="X63" s="3">
        <f t="shared" si="97"/>
        <v>7088.6298273886487</v>
      </c>
      <c r="Y63" s="3">
        <f t="shared" si="97"/>
        <v>7643.8590948038891</v>
      </c>
      <c r="Z63" s="3">
        <f t="shared" si="97"/>
        <v>7215.1561304252646</v>
      </c>
      <c r="AA63" s="3">
        <f t="shared" si="97"/>
        <v>7636.3247847610264</v>
      </c>
      <c r="AB63" s="3">
        <f t="shared" si="97"/>
        <v>7344.2081199912836</v>
      </c>
      <c r="AC63" s="20">
        <f t="shared" si="97"/>
        <v>8655.5275200950018</v>
      </c>
      <c r="AD63" s="20">
        <f t="shared" si="97"/>
        <v>10084.598661836</v>
      </c>
      <c r="AE63" s="3">
        <f t="shared" si="97"/>
        <v>8187.5392834826971</v>
      </c>
    </row>
    <row r="64" spans="1:34" x14ac:dyDescent="0.25">
      <c r="A64" t="s">
        <v>106</v>
      </c>
      <c r="D64" s="2">
        <f t="shared" ref="D64:P64" si="98">D54/(D11)</f>
        <v>4.1559999999999997</v>
      </c>
      <c r="E64" s="2">
        <f t="shared" si="98"/>
        <v>5.22</v>
      </c>
      <c r="F64" s="2">
        <f t="shared" si="98"/>
        <v>3.1259999999999999</v>
      </c>
      <c r="G64" s="2">
        <f t="shared" si="98"/>
        <v>75.239999999999995</v>
      </c>
      <c r="H64" s="2">
        <f t="shared" si="98"/>
        <v>5073.1546666666663</v>
      </c>
      <c r="I64" s="2">
        <f t="shared" si="98"/>
        <v>3269.2134999999998</v>
      </c>
      <c r="J64" s="2">
        <f t="shared" si="98"/>
        <v>10086.075000000001</v>
      </c>
      <c r="K64" s="2">
        <f t="shared" si="98"/>
        <v>14035.3745</v>
      </c>
      <c r="L64" s="2">
        <f t="shared" si="98"/>
        <v>15682.173833333334</v>
      </c>
      <c r="M64" s="2">
        <f t="shared" si="98"/>
        <v>20958.288499999999</v>
      </c>
      <c r="N64" s="15">
        <f t="shared" si="98"/>
        <v>6923.9475000000002</v>
      </c>
      <c r="O64" s="15">
        <f t="shared" si="98"/>
        <v>1269.675</v>
      </c>
      <c r="P64" s="2">
        <f t="shared" si="98"/>
        <v>8899.4158800000005</v>
      </c>
      <c r="S64" s="3">
        <f t="shared" ref="S64:AE64" si="99">S54/(D11)</f>
        <v>8606.1491320800014</v>
      </c>
      <c r="T64" s="3">
        <f t="shared" si="99"/>
        <v>44831.780559600003</v>
      </c>
      <c r="U64" s="3">
        <f t="shared" si="99"/>
        <v>-9234.9550733200012</v>
      </c>
      <c r="V64" s="3">
        <f t="shared" si="99"/>
        <v>-68071.58761680001</v>
      </c>
      <c r="W64" s="3">
        <f t="shared" si="99"/>
        <v>10182.485326506669</v>
      </c>
      <c r="X64" s="3">
        <f t="shared" si="99"/>
        <v>-10747.157557570001</v>
      </c>
      <c r="Y64" s="3">
        <f t="shared" si="99"/>
        <v>13389.917783500001</v>
      </c>
      <c r="Z64" s="3">
        <f t="shared" si="99"/>
        <v>25830.369375409999</v>
      </c>
      <c r="AA64" s="3">
        <f t="shared" si="99"/>
        <v>11385.711226623333</v>
      </c>
      <c r="AB64" s="3">
        <f t="shared" si="99"/>
        <v>79518.322935930002</v>
      </c>
      <c r="AC64" s="20">
        <f t="shared" si="99"/>
        <v>10175.13108055</v>
      </c>
      <c r="AD64" s="20">
        <f t="shared" si="99"/>
        <v>-54545.317958500003</v>
      </c>
      <c r="AE64" s="3">
        <f t="shared" si="99"/>
        <v>8089.425666378399</v>
      </c>
    </row>
    <row r="65" spans="1:31" x14ac:dyDescent="0.25">
      <c r="A65" t="s">
        <v>107</v>
      </c>
      <c r="D65" s="2">
        <f t="shared" ref="D65:P65" si="100">D55/(D13)</f>
        <v>92481.46875</v>
      </c>
      <c r="E65" s="2">
        <f t="shared" si="100"/>
        <v>86927.65625</v>
      </c>
      <c r="F65" s="2">
        <f t="shared" si="100"/>
        <v>82799</v>
      </c>
      <c r="G65" s="2">
        <f t="shared" si="100"/>
        <v>102706.8125</v>
      </c>
      <c r="H65" s="2">
        <f t="shared" si="100"/>
        <v>41385.6875</v>
      </c>
      <c r="I65" s="2">
        <f t="shared" si="100"/>
        <v>67794.71875</v>
      </c>
      <c r="J65" s="2">
        <f t="shared" si="100"/>
        <v>62107.34375</v>
      </c>
      <c r="K65" s="2">
        <f t="shared" si="100"/>
        <v>69808.677419354834</v>
      </c>
      <c r="L65" s="2">
        <f t="shared" si="100"/>
        <v>67050.774193548394</v>
      </c>
      <c r="M65" s="2">
        <f t="shared" si="100"/>
        <v>81037.774193548394</v>
      </c>
      <c r="N65" s="15">
        <f t="shared" si="100"/>
        <v>87714.258064516136</v>
      </c>
      <c r="O65" s="15">
        <f t="shared" si="100"/>
        <v>93350.032258064515</v>
      </c>
      <c r="P65" s="2">
        <f t="shared" si="100"/>
        <v>77905.78627968338</v>
      </c>
      <c r="S65" s="3">
        <f t="shared" ref="S65:AE65" si="101">S55/(D13)</f>
        <v>8070.4043959374994</v>
      </c>
      <c r="T65" s="3">
        <f t="shared" si="101"/>
        <v>7366.2797540624997</v>
      </c>
      <c r="U65" s="3">
        <f t="shared" si="101"/>
        <v>7113.8182346875001</v>
      </c>
      <c r="V65" s="3">
        <f t="shared" si="101"/>
        <v>8938.0220134375013</v>
      </c>
      <c r="W65" s="3">
        <f t="shared" si="101"/>
        <v>3970.5673981250006</v>
      </c>
      <c r="X65" s="3">
        <f t="shared" si="101"/>
        <v>6223.8257290624997</v>
      </c>
      <c r="Y65" s="3">
        <f t="shared" si="101"/>
        <v>5723.6461103124993</v>
      </c>
      <c r="Z65" s="3">
        <f t="shared" si="101"/>
        <v>6492.0394870967739</v>
      </c>
      <c r="AA65" s="3">
        <f t="shared" si="101"/>
        <v>6114.5386225806451</v>
      </c>
      <c r="AB65" s="3">
        <f t="shared" si="101"/>
        <v>7350.8378754838714</v>
      </c>
      <c r="AC65" s="20">
        <f t="shared" si="101"/>
        <v>7686.8538309677415</v>
      </c>
      <c r="AD65" s="20">
        <f t="shared" si="101"/>
        <v>8114.760619354839</v>
      </c>
      <c r="AE65" s="3">
        <f t="shared" si="101"/>
        <v>6927.5461209498681</v>
      </c>
    </row>
    <row r="66" spans="1:31" x14ac:dyDescent="0.25">
      <c r="A66" t="s">
        <v>108</v>
      </c>
      <c r="D66" s="13">
        <f t="shared" ref="D66:P66" si="102">D56/(D19+D21+D23)</f>
        <v>277439.5</v>
      </c>
      <c r="E66" s="13">
        <f t="shared" si="102"/>
        <v>291938</v>
      </c>
      <c r="F66" s="13">
        <f t="shared" si="102"/>
        <v>300136.5</v>
      </c>
      <c r="G66" s="13">
        <f t="shared" si="102"/>
        <v>171121</v>
      </c>
      <c r="H66" s="13">
        <f t="shared" si="102"/>
        <v>225562</v>
      </c>
      <c r="I66" s="13">
        <f t="shared" si="102"/>
        <v>245918</v>
      </c>
      <c r="J66" s="13">
        <f t="shared" si="102"/>
        <v>235208.5</v>
      </c>
      <c r="K66" s="13">
        <f t="shared" si="102"/>
        <v>247276.5</v>
      </c>
      <c r="L66" s="13">
        <f t="shared" si="102"/>
        <v>260450.5</v>
      </c>
      <c r="M66" s="13">
        <f t="shared" si="102"/>
        <v>304924.5</v>
      </c>
      <c r="N66" s="23">
        <f t="shared" si="102"/>
        <v>271680</v>
      </c>
      <c r="O66" s="23">
        <f t="shared" si="102"/>
        <v>254277</v>
      </c>
      <c r="P66" s="13">
        <f t="shared" si="102"/>
        <v>257161</v>
      </c>
      <c r="S66" s="3">
        <f t="shared" ref="S66:AE66" si="103">S56/(D19+D21+D23)</f>
        <v>7215.77009</v>
      </c>
      <c r="T66" s="3">
        <f t="shared" si="103"/>
        <v>7603.3009750000001</v>
      </c>
      <c r="U66" s="3">
        <f t="shared" si="103"/>
        <v>7836.3450550000007</v>
      </c>
      <c r="V66" s="3">
        <f t="shared" si="103"/>
        <v>4472.0398800000003</v>
      </c>
      <c r="W66" s="3">
        <f t="shared" si="103"/>
        <v>5860.2917449999995</v>
      </c>
      <c r="X66" s="3">
        <f t="shared" si="103"/>
        <v>6369.4058750000004</v>
      </c>
      <c r="Y66" s="3">
        <f t="shared" si="103"/>
        <v>6122.4561549999999</v>
      </c>
      <c r="Z66" s="3">
        <f t="shared" si="103"/>
        <v>6436.4043350000002</v>
      </c>
      <c r="AA66" s="3">
        <f t="shared" si="103"/>
        <v>6770.8655399999998</v>
      </c>
      <c r="AB66" s="3">
        <f t="shared" si="103"/>
        <v>7939.9261300000007</v>
      </c>
      <c r="AC66" s="20">
        <f t="shared" si="103"/>
        <v>7075.8869199999999</v>
      </c>
      <c r="AD66" s="20">
        <f t="shared" si="103"/>
        <v>6632.6615249999995</v>
      </c>
      <c r="AE66" s="3">
        <f t="shared" si="103"/>
        <v>6694.6128520833336</v>
      </c>
    </row>
  </sheetData>
  <printOptions horizontalCentered="1"/>
  <pageMargins left="0.2" right="0.2" top="0.5" bottom="0.5" header="0.3" footer="0.3"/>
  <pageSetup scale="55" orientation="landscape" r:id="rId1"/>
  <headerFooter scaleWithDoc="0">
    <oddHeader>&amp;A</oddHeader>
    <oddFooter>&amp;L&amp;F / &amp;A</oddFooter>
  </headerFooter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67154EC33D1441B32B382EA90D81B0" ma:contentTypeVersion="28" ma:contentTypeDescription="" ma:contentTypeScope="" ma:versionID="931e9a342457f0545889eac8955c9a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2022-05-27T07:00:00+00:00</OpenedDate>
    <SignificantOrder xmlns="dc463f71-b30c-4ab2-9473-d307f9d35888">false</SignificantOrder>
    <Date1 xmlns="dc463f71-b30c-4ab2-9473-d307f9d35888">2022-05-27T07:00:00+00:00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BF990E-12AB-43C2-B4D3-4FE7ECF93550}"/>
</file>

<file path=customXml/itemProps2.xml><?xml version="1.0" encoding="utf-8"?>
<ds:datastoreItem xmlns:ds="http://schemas.openxmlformats.org/officeDocument/2006/customXml" ds:itemID="{71630D7C-D2D8-4E00-A64C-03C326E25938}"/>
</file>

<file path=customXml/itemProps3.xml><?xml version="1.0" encoding="utf-8"?>
<ds:datastoreItem xmlns:ds="http://schemas.openxmlformats.org/officeDocument/2006/customXml" ds:itemID="{28464937-33FE-47E2-9BD6-34B61B36CE4F}"/>
</file>

<file path=customXml/itemProps4.xml><?xml version="1.0" encoding="utf-8"?>
<ds:datastoreItem xmlns:ds="http://schemas.openxmlformats.org/officeDocument/2006/customXml" ds:itemID="{DF49B60F-E700-4152-8F28-A94AA6D64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WA Sch 25</vt:lpstr>
      <vt:lpstr>WA Electric</vt:lpstr>
      <vt:lpstr>ID Sch 25</vt:lpstr>
      <vt:lpstr>ID Electric</vt:lpstr>
      <vt:lpstr>WA Nat Gas</vt:lpstr>
      <vt:lpstr>ID Nat Gas</vt:lpstr>
      <vt:lpstr>OR Nat Gas</vt:lpstr>
      <vt:lpstr>'ID Electric'!Print_Area</vt:lpstr>
      <vt:lpstr>'WA Electric'!Print_Area</vt:lpstr>
      <vt:lpstr>'WA Sch 25'!Print_Area</vt:lpstr>
      <vt:lpstr>'ID Electric'!Print_Titles</vt:lpstr>
      <vt:lpstr>'ID Nat Gas'!Print_Titles</vt:lpstr>
      <vt:lpstr>'OR Nat Gas'!Print_Titles</vt:lpstr>
      <vt:lpstr>'WA Electric'!Print_Titles</vt:lpstr>
      <vt:lpstr>'WA Nat Gas'!Print_Titles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2022-05-16T20:49:19Z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0x0101006E56B4D1795A2E4DB2F0B01679ED314A00AF67154EC33D1441B32B382EA90D81B0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