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Regulatory Filings\2021 Regulatory Filings\2021 EIA Reporting\2021 EEI Report\Annual Emissions Calculations\"/>
    </mc:Choice>
  </mc:AlternateContent>
  <xr:revisionPtr revIDLastSave="0" documentId="13_ncr:1_{B25B0EE7-2639-46ED-A8E8-1997F7DF5EA3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Summary" sheetId="1" r:id="rId1"/>
    <sheet name="Known Resources" sheetId="4" r:id="rId2"/>
    <sheet name="Unknown Resourc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4" l="1"/>
  <c r="C41" i="4"/>
  <c r="C20" i="4"/>
  <c r="C6" i="4"/>
  <c r="C7" i="4"/>
  <c r="C8" i="4"/>
  <c r="C9" i="4"/>
  <c r="D20" i="4"/>
  <c r="D9" i="4"/>
  <c r="D8" i="4"/>
  <c r="D7" i="4"/>
  <c r="D6" i="4"/>
  <c r="D5" i="4"/>
  <c r="D4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V7" i="4"/>
  <c r="V6" i="4"/>
  <c r="V5" i="4"/>
  <c r="AA63" i="4"/>
  <c r="U6" i="4"/>
  <c r="U5" i="4"/>
  <c r="AA61" i="4"/>
  <c r="AA60" i="4"/>
  <c r="AA59" i="4"/>
  <c r="AA58" i="4"/>
  <c r="AA57" i="4"/>
  <c r="AA56" i="4"/>
  <c r="AA55" i="4"/>
  <c r="AA54" i="4"/>
  <c r="AA62" i="4" s="1"/>
  <c r="V3" i="4" l="1"/>
  <c r="V2" i="4"/>
  <c r="U3" i="4"/>
  <c r="U4" i="4"/>
  <c r="U7" i="4"/>
  <c r="U2" i="4"/>
  <c r="G23" i="1"/>
  <c r="G29" i="1"/>
  <c r="G30" i="1"/>
  <c r="G28" i="1"/>
  <c r="F6" i="3" l="1"/>
  <c r="F7" i="3"/>
  <c r="G7" i="3" s="1"/>
  <c r="F8" i="3"/>
  <c r="F9" i="3"/>
  <c r="F10" i="3"/>
  <c r="F11" i="3"/>
  <c r="F12" i="3"/>
  <c r="G12" i="3" s="1"/>
  <c r="F13" i="3"/>
  <c r="F14" i="3"/>
  <c r="F15" i="3"/>
  <c r="G15" i="3" s="1"/>
  <c r="F16" i="3"/>
  <c r="F17" i="3"/>
  <c r="F18" i="3"/>
  <c r="F19" i="3"/>
  <c r="G19" i="3" s="1"/>
  <c r="F20" i="3"/>
  <c r="F21" i="3"/>
  <c r="F22" i="3"/>
  <c r="G22" i="3" s="1"/>
  <c r="F23" i="3"/>
  <c r="G23" i="3" s="1"/>
  <c r="F24" i="3"/>
  <c r="F25" i="3"/>
  <c r="F26" i="3"/>
  <c r="G26" i="3" s="1"/>
  <c r="F27" i="3"/>
  <c r="F28" i="3"/>
  <c r="F29" i="3"/>
  <c r="F30" i="3"/>
  <c r="F31" i="3"/>
  <c r="G31" i="3" s="1"/>
  <c r="F32" i="3"/>
  <c r="F33" i="3"/>
  <c r="G33" i="3" s="1"/>
  <c r="F34" i="3"/>
  <c r="F35" i="3"/>
  <c r="F36" i="3"/>
  <c r="G36" i="3" s="1"/>
  <c r="F37" i="3"/>
  <c r="F38" i="3"/>
  <c r="G38" i="3" s="1"/>
  <c r="F39" i="3"/>
  <c r="G39" i="3" s="1"/>
  <c r="F40" i="3"/>
  <c r="F41" i="3"/>
  <c r="G41" i="3" s="1"/>
  <c r="F42" i="3"/>
  <c r="G42" i="3" s="1"/>
  <c r="F43" i="3"/>
  <c r="G43" i="3" s="1"/>
  <c r="F44" i="3"/>
  <c r="G44" i="3" s="1"/>
  <c r="F45" i="3"/>
  <c r="F46" i="3"/>
  <c r="F47" i="3"/>
  <c r="G47" i="3" s="1"/>
  <c r="F48" i="3"/>
  <c r="F49" i="3"/>
  <c r="F50" i="3"/>
  <c r="G50" i="3" s="1"/>
  <c r="F51" i="3"/>
  <c r="G51" i="3" s="1"/>
  <c r="F52" i="3"/>
  <c r="F53" i="3"/>
  <c r="F54" i="3"/>
  <c r="F55" i="3"/>
  <c r="G55" i="3" s="1"/>
  <c r="F56" i="3"/>
  <c r="F57" i="3"/>
  <c r="G57" i="3" s="1"/>
  <c r="F58" i="3"/>
  <c r="G58" i="3" s="1"/>
  <c r="F59" i="3"/>
  <c r="F60" i="3"/>
  <c r="F61" i="3"/>
  <c r="F62" i="3"/>
  <c r="G62" i="3" s="1"/>
  <c r="F5" i="3"/>
  <c r="F64" i="3" l="1"/>
  <c r="D20" i="1" s="1"/>
  <c r="G8" i="3"/>
  <c r="B20" i="4"/>
  <c r="B5" i="4"/>
  <c r="C5" i="4"/>
  <c r="B4" i="4"/>
  <c r="C4" i="4" s="1"/>
  <c r="B30" i="4" l="1"/>
  <c r="D29" i="4"/>
  <c r="B24" i="4"/>
  <c r="B22" i="4"/>
  <c r="D10" i="4" l="1"/>
  <c r="P31" i="4" l="1"/>
  <c r="V31" i="4" s="1"/>
  <c r="W31" i="4" s="1"/>
  <c r="P30" i="4"/>
  <c r="V30" i="4" s="1"/>
  <c r="W30" i="4" s="1"/>
  <c r="P29" i="4"/>
  <c r="V29" i="4" s="1"/>
  <c r="W29" i="4" s="1"/>
  <c r="P28" i="4"/>
  <c r="V28" i="4" s="1"/>
  <c r="W28" i="4" s="1"/>
  <c r="P27" i="4"/>
  <c r="V27" i="4" s="1"/>
  <c r="W27" i="4" s="1"/>
  <c r="M26" i="4"/>
  <c r="P26" i="4" s="1"/>
  <c r="V26" i="4" s="1"/>
  <c r="W26" i="4" s="1"/>
  <c r="G26" i="4"/>
  <c r="G27" i="4" s="1"/>
  <c r="G28" i="4" s="1"/>
  <c r="G29" i="4" s="1"/>
  <c r="G30" i="4" s="1"/>
  <c r="G31" i="4" s="1"/>
  <c r="P25" i="4"/>
  <c r="V25" i="4" s="1"/>
  <c r="W25" i="4" s="1"/>
  <c r="P23" i="4"/>
  <c r="V23" i="4" s="1"/>
  <c r="W23" i="4" s="1"/>
  <c r="B1" i="4" l="1"/>
  <c r="C2" i="4"/>
  <c r="B3" i="4"/>
  <c r="D21" i="1"/>
  <c r="G11" i="1"/>
  <c r="G10" i="1"/>
  <c r="D13" i="1"/>
  <c r="D5" i="1" s="1"/>
  <c r="E10" i="1" l="1"/>
  <c r="E12" i="1"/>
  <c r="E11" i="1"/>
  <c r="D18" i="1"/>
  <c r="D40" i="4"/>
  <c r="D39" i="4"/>
  <c r="D38" i="4"/>
  <c r="D37" i="4"/>
  <c r="D36" i="4"/>
  <c r="D35" i="4"/>
  <c r="D34" i="4"/>
  <c r="D33" i="4"/>
  <c r="D32" i="4"/>
  <c r="D31" i="4"/>
  <c r="D30" i="4"/>
  <c r="D28" i="4"/>
  <c r="D27" i="4"/>
  <c r="D26" i="4"/>
  <c r="D25" i="4"/>
  <c r="D24" i="4"/>
  <c r="D23" i="4"/>
  <c r="D22" i="4"/>
  <c r="D21" i="4"/>
  <c r="D19" i="4"/>
  <c r="D18" i="4"/>
  <c r="D17" i="4"/>
  <c r="D16" i="4"/>
  <c r="D15" i="4"/>
  <c r="D14" i="4"/>
  <c r="D13" i="4"/>
  <c r="D12" i="4"/>
  <c r="D11" i="4"/>
  <c r="E18" i="1" l="1"/>
  <c r="E20" i="1"/>
  <c r="D41" i="4"/>
  <c r="F18" i="1" l="1"/>
  <c r="E3" i="3"/>
  <c r="G60" i="3" l="1"/>
  <c r="G28" i="3"/>
  <c r="G5" i="3"/>
  <c r="G11" i="3"/>
  <c r="G46" i="3"/>
  <c r="G52" i="3"/>
  <c r="G61" i="3"/>
  <c r="G37" i="3"/>
  <c r="G17" i="3"/>
  <c r="G30" i="3"/>
  <c r="G54" i="3"/>
  <c r="G53" i="3"/>
  <c r="G29" i="3"/>
  <c r="G13" i="3"/>
  <c r="G32" i="3"/>
  <c r="G27" i="3"/>
  <c r="G10" i="3"/>
  <c r="G21" i="3"/>
  <c r="G48" i="3"/>
  <c r="G24" i="3"/>
  <c r="G59" i="3"/>
  <c r="G16" i="3"/>
  <c r="G18" i="3"/>
  <c r="G6" i="3"/>
  <c r="G40" i="3"/>
  <c r="G20" i="3"/>
  <c r="G35" i="3"/>
  <c r="G14" i="3"/>
  <c r="G34" i="3"/>
  <c r="G49" i="3"/>
  <c r="G25" i="3"/>
  <c r="G9" i="3"/>
  <c r="G56" i="3"/>
  <c r="G45" i="3"/>
  <c r="G64" i="3" l="1"/>
  <c r="F20" i="1" s="1"/>
  <c r="F21" i="1" s="1"/>
  <c r="G21" i="1" s="1"/>
  <c r="V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jyl3501</author>
    <author>kkb4463</author>
    <author>kbb8737</author>
  </authors>
  <commentList>
    <comment ref="V2" authorId="0" shapeId="0" xr:uid="{AED616B4-DA88-4F94-9633-421A49A2085E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Rathdrum to Rathdrum Unit 1</t>
        </r>
      </text>
    </comment>
    <comment ref="V5" authorId="0" shapeId="0" xr:uid="{21A3DE80-1079-4750-9EED-E6C18CE0BCE0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Colstrip to Unit 3</t>
        </r>
      </text>
    </comment>
    <comment ref="A21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uniknown per UTC request.</t>
        </r>
      </text>
    </comment>
    <comment ref="K21" authorId="2" shapeId="0" xr:uid="{00000000-0006-0000-0100-000002000000}">
      <text>
        <r>
          <rPr>
            <sz val="8"/>
            <color indexed="81"/>
            <rFont val="Tahoma"/>
            <family val="2"/>
          </rPr>
          <t xml:space="preserve">Avista Corp. 2011 FERC Financial Report, Form No. 1
</t>
        </r>
      </text>
    </comment>
    <comment ref="M21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2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1" authorId="2" shapeId="0" xr:uid="{00000000-0006-0000-0100-000005000000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1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<sst xmlns="http://schemas.openxmlformats.org/spreadsheetml/2006/main" count="497" uniqueCount="261">
  <si>
    <t>Resource</t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</si>
  <si>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</si>
  <si>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</si>
  <si>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</si>
  <si>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</si>
  <si>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</si>
  <si>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</si>
  <si>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</si>
  <si>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</si>
  <si>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</si>
  <si>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</si>
  <si>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</si>
  <si>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</si>
  <si>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</si>
  <si>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</si>
  <si>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</si>
  <si>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</si>
  <si>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</si>
  <si>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</si>
  <si>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</si>
  <si>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</si>
  <si>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</si>
  <si>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</si>
  <si>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</si>
  <si>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</si>
  <si>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</si>
  <si>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</si>
  <si>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</si>
  <si>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</si>
  <si>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</si>
  <si>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</si>
  <si>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</si>
  <si>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</si>
  <si>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</si>
  <si>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</si>
  <si>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</si>
  <si>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</si>
  <si>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</si>
  <si>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</si>
  <si>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</si>
  <si>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</si>
  <si>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</si>
  <si>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</si>
  <si>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</si>
  <si>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</si>
  <si>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</si>
  <si>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</si>
  <si>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</si>
  <si>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</si>
  <si>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</si>
  <si>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</si>
  <si>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</si>
  <si>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</si>
  <si>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</si>
  <si>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</si>
  <si>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</si>
  <si>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</si>
  <si>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</t>
  </si>
  <si>
    <t>Long Lake-Hydro</t>
  </si>
  <si>
    <t>Upper Falls-Hydro</t>
  </si>
  <si>
    <t>Cabinet Gorge-Hydro</t>
  </si>
  <si>
    <t>Noxon Rapids-Hydro</t>
  </si>
  <si>
    <t>Kettle Falls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</si>
  <si>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</si>
  <si>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</si>
  <si>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</si>
  <si>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</si>
  <si>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</si>
  <si>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</si>
  <si>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</si>
  <si>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</si>
  <si>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</si>
  <si>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</si>
  <si>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</si>
  <si>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</si>
  <si>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</si>
  <si>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</si>
  <si>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</si>
  <si>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</si>
  <si>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</si>
  <si>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</si>
  <si>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</si>
  <si>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</si>
  <si>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</si>
  <si>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</si>
  <si>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</si>
  <si>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</si>
  <si>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</si>
  <si>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</si>
  <si>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</si>
  <si>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</si>
  <si>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</si>
  <si>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</si>
  <si>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</si>
  <si>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</si>
  <si>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</si>
  <si>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</si>
  <si>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</si>
  <si>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</si>
  <si>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</si>
  <si>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</si>
  <si>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</si>
  <si>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</si>
  <si>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</si>
  <si>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</si>
  <si>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</si>
  <si>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</si>
  <si>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</si>
  <si>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</si>
  <si>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</si>
  <si>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</si>
  <si>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</si>
  <si>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</si>
  <si>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</si>
  <si>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</si>
  <si>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</si>
  <si>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</si>
  <si>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</si>
  <si>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</si>
  <si>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</si>
  <si>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</si>
  <si>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</si>
  <si>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Counter-Party</t>
  </si>
  <si>
    <t>Energy
Purchased
(MWh)</t>
  </si>
  <si>
    <t>Barclays Bank Plc</t>
  </si>
  <si>
    <t>Black Hills Power Inc.</t>
  </si>
  <si>
    <t>BNP Paribas Energy Trading</t>
  </si>
  <si>
    <t>BP Energy Co.</t>
  </si>
  <si>
    <t>Burbank (CA)</t>
  </si>
  <si>
    <t>Cargill Inc.</t>
  </si>
  <si>
    <t>Chelan County PUD No. 1</t>
  </si>
  <si>
    <t>Citigroup Energy Inc.</t>
  </si>
  <si>
    <t>Clark County PUD No. 1</t>
  </si>
  <si>
    <t>Clatskanie Peoples Util Dist</t>
  </si>
  <si>
    <t>DB Energy Trading</t>
  </si>
  <si>
    <t>EDF Trading Ltd.</t>
  </si>
  <si>
    <t>Engy Authrty</t>
  </si>
  <si>
    <t>Eugene City of</t>
  </si>
  <si>
    <t>Exelon Generation Company</t>
  </si>
  <si>
    <t>Grant County Public Utility</t>
  </si>
  <si>
    <t>Hinson Power Co. Inc</t>
  </si>
  <si>
    <t>Iberdrola Renewables LLC</t>
  </si>
  <si>
    <t>Idaho Power Co.</t>
  </si>
  <si>
    <t>Inland Power &amp; Light Co.</t>
  </si>
  <si>
    <t>J P Morgan Ventures Energy LLC</t>
  </si>
  <si>
    <t>Macquarie Energy LLC</t>
  </si>
  <si>
    <t>Morgan Stanley Capital Group</t>
  </si>
  <si>
    <t>NaturEner Power Watch</t>
  </si>
  <si>
    <t>Noble America's Gas and Power</t>
  </si>
  <si>
    <t>NorthPoint Energy Solutions</t>
  </si>
  <si>
    <t>NorthWestern Corp.</t>
  </si>
  <si>
    <t>Pacific Northwest Gen Coop</t>
  </si>
  <si>
    <t>PacifiCorp</t>
  </si>
  <si>
    <t>Portland General Electric Co.</t>
  </si>
  <si>
    <t>Powerex Corp.</t>
  </si>
  <si>
    <t>Public Service Co. of CO</t>
  </si>
  <si>
    <t>PUD No 1 of Douglas County</t>
  </si>
  <si>
    <t>PUD No 1 of Okanogan County</t>
  </si>
  <si>
    <t>PUD No 1 of Pend Oreille Cnty</t>
  </si>
  <si>
    <t>PUD No 1 of Snohomish County</t>
  </si>
  <si>
    <t>Puget Sound Energy Inc.</t>
  </si>
  <si>
    <t>Rainbow Energy Marketing Corp</t>
  </si>
  <si>
    <t>Lancaster</t>
  </si>
  <si>
    <t>San Diego Gas &amp; Electric Co.</t>
  </si>
  <si>
    <t>Seattle City Light</t>
  </si>
  <si>
    <t>Sempra Energy Trading</t>
  </si>
  <si>
    <t>Shell Energy North America US</t>
  </si>
  <si>
    <t>Sierra Pacific Power Co.</t>
  </si>
  <si>
    <t>SMUD</t>
  </si>
  <si>
    <t>Southern California Edison Co.</t>
  </si>
  <si>
    <t>Sovereign Power</t>
  </si>
  <si>
    <t>Tacoma Public Utilities</t>
  </si>
  <si>
    <t>Talen Energy Marketing, LLC</t>
  </si>
  <si>
    <t>Tenaska Power Services Co.</t>
  </si>
  <si>
    <t>TransAlta Energy Marketing (US</t>
  </si>
  <si>
    <t>Western Area Power Admin</t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</si>
  <si>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</si>
  <si>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</si>
  <si>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</si>
  <si>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</si>
  <si>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</si>
  <si>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</si>
  <si>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</si>
  <si>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NOx (tons)</t>
  </si>
  <si>
    <t xml:space="preserve"> CO2 (short tons)</t>
  </si>
  <si>
    <t xml:space="preserve"> Heat Input (MMBtu)</t>
  </si>
  <si>
    <t>ID</t>
  </si>
  <si>
    <t>Rathdrum Power, LLC</t>
  </si>
  <si>
    <t>CTGEN1</t>
  </si>
  <si>
    <t>ARP</t>
  </si>
  <si>
    <t>Black Creek Hydro (PURPA Hydro)</t>
  </si>
  <si>
    <t>Bonneville Power Admin (Known)</t>
  </si>
  <si>
    <t>Chelan County PUD No 1 (Rocky Reach Hydro)</t>
  </si>
  <si>
    <t>Ford Electronics (PURPA Hydro)</t>
  </si>
  <si>
    <t>Grant County Public Utility (Priest Rapids Hydro)</t>
  </si>
  <si>
    <t>Hydro Technologies Inc (PURPA Hydro)</t>
  </si>
  <si>
    <t>J P Morgan Ventures Energy LLC (PPM Energy Stateline Wind PPA)</t>
  </si>
  <si>
    <t>Jim White (PURPA Hydro)</t>
  </si>
  <si>
    <t>John Day Hydro (PURPA Hydro)</t>
  </si>
  <si>
    <t>Phillips Ranch (PURPA Hydro)</t>
  </si>
  <si>
    <t>PUD No 1 of Douglas County (Wells Hydro)</t>
  </si>
  <si>
    <t>Sheep Creek Hydro Inc. (PURPA Hydro)</t>
  </si>
  <si>
    <t>Spokane City of (Upriver Hydro)</t>
  </si>
  <si>
    <t>Stimson Lumber (PURPA Biomass)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</si>
  <si>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</si>
  <si>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 xml:space="preserve"> Gross Load (MW-h)</t>
  </si>
  <si>
    <t>Rathdrum Combustion Turbine Project</t>
  </si>
  <si>
    <t>MT</t>
  </si>
  <si>
    <t>Colstrip</t>
  </si>
  <si>
    <t>OR</t>
  </si>
  <si>
    <t>Coyote Springs</t>
  </si>
  <si>
    <t>CTG2</t>
  </si>
  <si>
    <t>Energy
Sold
(MWh)</t>
  </si>
  <si>
    <t>Bonneville Power Admin</t>
  </si>
  <si>
    <t>ConocoPhillips Co.</t>
  </si>
  <si>
    <t>EDF Trading North America LLC</t>
  </si>
  <si>
    <t>J. Aron &amp; Co.</t>
  </si>
  <si>
    <t>JP Morgan Ventures Energy Corp</t>
  </si>
  <si>
    <t>Modesto Irrigation District</t>
  </si>
  <si>
    <t>NaturEner Power Watch LLC</t>
  </si>
  <si>
    <t>Revenue Adjustment</t>
  </si>
  <si>
    <t>Santa Clara City of</t>
  </si>
  <si>
    <t>Turlock Irrigation District</t>
  </si>
  <si>
    <t>Net Purchase</t>
  </si>
  <si>
    <t>Unknown Resources for Washington Customers</t>
  </si>
  <si>
    <t>Avista =</t>
  </si>
  <si>
    <t>Net Unknown Purchases</t>
  </si>
  <si>
    <t>Known Resources Serving WA - EPA</t>
  </si>
  <si>
    <t>Known Resources Serving WA - EIA</t>
  </si>
  <si>
    <t>User must ensure that units and basis of heating values are consistent and properly cancel across Steps!</t>
  </si>
  <si>
    <t>Calculation Based Methodology</t>
  </si>
  <si>
    <t>N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</si>
  <si>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</si>
  <si>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</si>
  <si>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</si>
  <si>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</si>
  <si>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</si>
  <si>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</si>
  <si>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</si>
  <si>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</si>
  <si>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Description, equity/control, and Step 1 &amp; 2 cells are taken from CO2 worksheet.</t>
  </si>
  <si>
    <t>kg CH4/GJ</t>
  </si>
  <si>
    <t>kg N2O/GJ</t>
  </si>
  <si>
    <t>kg/Mmbtu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</si>
  <si>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</si>
  <si>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</si>
  <si>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</si>
  <si>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CO2 Metric Tons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</si>
  <si>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</si>
  <si>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</si>
  <si>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2e</t>
    </r>
    <r>
      <rPr>
        <b/>
        <sz val="11"/>
        <color theme="1"/>
        <rFont val="Calibri"/>
        <family val="2"/>
        <scheme val="minor"/>
      </rPr>
      <t>/MWh</t>
    </r>
  </si>
  <si>
    <t>CO2e</t>
  </si>
  <si>
    <t>Washington Department of Ecology Unknown Resource Default Rate =</t>
  </si>
  <si>
    <t>Net Metric Tons CO2 from Purchases</t>
  </si>
  <si>
    <t xml:space="preserve"> Metric Tons CO2 Emissions from Purchases</t>
  </si>
  <si>
    <t>CO2</t>
  </si>
  <si>
    <t>CH4 &amp; N2O</t>
  </si>
  <si>
    <t>Ratio</t>
  </si>
  <si>
    <t>Avg Ratio</t>
  </si>
  <si>
    <t>2011 Lancaster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</si>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</sst>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0.000"/>
    <numFmt numFmtId="169" formatCode="#,##0.000"/>
    <numFmt numFmtId="170" formatCode="#,##0.0"/>
    <numFmt numFmtId="171" formatCode="#####0;\(#####0\)"/>
    <numFmt numFmtId="172" formatCode="###,##0.000;\(###,##0.000\)"/>
    <numFmt numFmtId="173" formatCode="###,##0;\(###,##0\)"/>
    <numFmt numFmtId="174" formatCode="_(* #,##0.000_);_(* \(#,##0.0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/>
    <xf numFmtId="0" fontId="20" fillId="0" borderId="0" applyNumberFormat="0" applyFill="0" applyBorder="0" applyAlignment="0" applyProtection="0"/>
    <xf numFmtId="0" fontId="11" fillId="0" borderId="0"/>
  </cellStyleXfs>
  <cellXfs count="172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0" fillId="3" borderId="2" xfId="0" applyFill="1" applyBorder="1" applyAlignment="1" applyProtection="1">
      <alignment horizontal="center" vertical="center"/>
      <protection locked="0"/>
    </xf>
    <xf numFmtId="167" fontId="10" fillId="3" borderId="2" xfId="0" applyNumberFormat="1" applyFont="1" applyFill="1" applyBorder="1" applyAlignment="1" applyProtection="1">
      <alignment horizontal="center" vertical="center"/>
      <protection locked="0"/>
    </xf>
    <xf numFmtId="3" fontId="0" fillId="4" borderId="2" xfId="1" applyNumberFormat="1" applyFont="1" applyFill="1" applyBorder="1" applyAlignment="1" applyProtection="1">
      <alignment horizontal="center" vertical="center"/>
      <protection locked="0"/>
    </xf>
    <xf numFmtId="3" fontId="0" fillId="4" borderId="2" xfId="1" quotePrefix="1" applyNumberFormat="1" applyFont="1" applyFill="1" applyBorder="1" applyAlignment="1" applyProtection="1">
      <alignment horizontal="center" vertical="center"/>
      <protection locked="0"/>
    </xf>
    <xf numFmtId="167" fontId="10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>
      <alignment horizontal="left"/>
    </xf>
    <xf numFmtId="0" fontId="0" fillId="5" borderId="0" xfId="0" applyFill="1" applyBorder="1"/>
    <xf numFmtId="2" fontId="0" fillId="5" borderId="0" xfId="0" applyNumberFormat="1" applyFont="1" applyFill="1" applyBorder="1"/>
    <xf numFmtId="4" fontId="13" fillId="0" borderId="8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68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1" fillId="5" borderId="2" xfId="2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6" fillId="6" borderId="2" xfId="0" applyFont="1" applyFill="1" applyBorder="1" applyAlignment="1" applyProtection="1">
      <alignment horizontal="center" vertical="center"/>
      <protection locked="0"/>
    </xf>
    <xf numFmtId="2" fontId="16" fillId="6" borderId="0" xfId="0" applyNumberFormat="1" applyFont="1" applyFill="1" applyBorder="1" applyAlignment="1" applyProtection="1">
      <alignment horizontal="center" vertical="center"/>
      <protection locked="0"/>
    </xf>
    <xf numFmtId="4" fontId="17" fillId="6" borderId="2" xfId="0" applyNumberFormat="1" applyFont="1" applyFill="1" applyBorder="1" applyAlignment="1" applyProtection="1">
      <alignment horizontal="center" vertical="center"/>
      <protection locked="0"/>
    </xf>
    <xf numFmtId="2" fontId="1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2" xfId="0" applyFont="1" applyFill="1" applyBorder="1" applyAlignment="1" applyProtection="1">
      <alignment horizontal="center" vertical="center" wrapText="1"/>
      <protection locked="0"/>
    </xf>
    <xf numFmtId="0" fontId="17" fillId="6" borderId="3" xfId="0" applyFont="1" applyFill="1" applyBorder="1" applyAlignment="1" applyProtection="1">
      <alignment horizontal="center" vertical="center" wrapText="1"/>
      <protection locked="0"/>
    </xf>
    <xf numFmtId="2" fontId="17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9" fontId="11" fillId="8" borderId="2" xfId="2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69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0" fontId="0" fillId="4" borderId="2" xfId="0" applyNumberFormat="1" applyFill="1" applyBorder="1" applyAlignment="1" applyProtection="1">
      <alignment horizontal="center" vertical="center"/>
      <protection locked="0"/>
    </xf>
    <xf numFmtId="0" fontId="11" fillId="0" borderId="0" xfId="4" applyAlignment="1">
      <alignment horizontal="left"/>
    </xf>
    <xf numFmtId="171" fontId="11" fillId="0" borderId="0" xfId="4" applyNumberFormat="1" applyAlignment="1">
      <alignment horizontal="left"/>
    </xf>
    <xf numFmtId="172" fontId="11" fillId="0" borderId="0" xfId="4" applyNumberFormat="1" applyAlignment="1">
      <alignment horizontal="right"/>
    </xf>
    <xf numFmtId="173" fontId="11" fillId="0" borderId="0" xfId="4" applyNumberFormat="1" applyAlignment="1">
      <alignment horizontal="right"/>
    </xf>
    <xf numFmtId="43" fontId="0" fillId="2" borderId="2" xfId="1" applyNumberFormat="1" applyFont="1" applyFill="1" applyBorder="1"/>
    <xf numFmtId="0" fontId="0" fillId="2" borderId="2" xfId="1" applyNumberFormat="1" applyFont="1" applyFill="1" applyBorder="1"/>
    <xf numFmtId="11" fontId="0" fillId="0" borderId="0" xfId="0" applyNumberFormat="1"/>
    <xf numFmtId="0" fontId="11" fillId="0" borderId="0" xfId="6" applyAlignment="1">
      <alignment horizontal="left"/>
    </xf>
    <xf numFmtId="173" fontId="11" fillId="0" borderId="0" xfId="6" applyNumberFormat="1" applyAlignment="1">
      <alignment horizontal="right"/>
    </xf>
    <xf numFmtId="17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23" fillId="0" borderId="0" xfId="0" applyFont="1"/>
    <xf numFmtId="0" fontId="2" fillId="0" borderId="0" xfId="0" applyFont="1"/>
    <xf numFmtId="43" fontId="0" fillId="0" borderId="0" xfId="0" applyNumberFormat="1"/>
    <xf numFmtId="165" fontId="0" fillId="0" borderId="0" xfId="1" applyNumberFormat="1" applyFont="1"/>
    <xf numFmtId="0" fontId="0" fillId="0" borderId="0" xfId="0" applyAlignment="1">
      <alignment wrapText="1"/>
    </xf>
    <xf numFmtId="43" fontId="0" fillId="0" borderId="0" xfId="1" applyFont="1"/>
    <xf numFmtId="43" fontId="2" fillId="0" borderId="0" xfId="1" applyFont="1" applyAlignment="1">
      <alignment horizontal="center" wrapText="1"/>
    </xf>
    <xf numFmtId="43" fontId="0" fillId="0" borderId="0" xfId="1" applyFont="1" applyAlignment="1">
      <alignment wrapText="1"/>
    </xf>
    <xf numFmtId="165" fontId="0" fillId="0" borderId="8" xfId="1" applyNumberFormat="1" applyFont="1" applyBorder="1"/>
    <xf numFmtId="0" fontId="0" fillId="10" borderId="0" xfId="0" applyFill="1"/>
    <xf numFmtId="174" fontId="0" fillId="2" borderId="10" xfId="1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174" fontId="0" fillId="10" borderId="0" xfId="0" applyNumberFormat="1" applyFill="1"/>
  </cellXfs>
  <cellStyles count="7">
    <cellStyle name="Comma" xfId="1" builtinId="3"/>
    <cellStyle name="Normal" xfId="0" builtinId="0"/>
    <cellStyle name="Normal 2" xfId="4" xr:uid="{00000000-0005-0000-0000-000002000000}"/>
    <cellStyle name="Normal 3" xfId="6" xr:uid="{00000000-0005-0000-0000-000003000000}"/>
    <cellStyle name="Percent" xfId="2" builtinId="5"/>
    <cellStyle name="Style 22" xfId="3" xr:uid="{00000000-0005-0000-0000-000005000000}"/>
    <cellStyle name="Style 2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16" workbookViewId="0">
      <selection activeCell="D45" sqref="D45"/>
    </sheetView>
  </sheetViews>
  <sheetFormatPr defaultRowHeight="15" x14ac:dyDescent="0.25"/>
  <cols>
    <col min="1" max="1" width="9.140625" customWidth="1"/>
    <col min="3" max="3" width="13.140625" customWidth="1"/>
    <col min="4" max="4" width="15.5703125" customWidth="1"/>
    <col min="5" max="5" width="15" customWidth="1"/>
    <col min="6" max="6" width="12.5703125" customWidth="1"/>
    <col min="7" max="7" width="15.140625" bestFit="1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2</v>
      </c>
    </row>
    <row r="2" spans="1:7" ht="15.75" thickBot="1" x14ac:dyDescent="0.3"/>
    <row r="3" spans="1:7" x14ac:dyDescent="0.25">
      <c r="A3" s="53"/>
      <c r="B3" s="54" t="s">
        <v>6</v>
      </c>
      <c r="C3" s="55" t="s">
        <v>14</v>
      </c>
      <c r="D3" s="60"/>
      <c r="E3" s="58"/>
    </row>
    <row r="4" spans="1:7" x14ac:dyDescent="0.25">
      <c r="A4" s="160" t="s">
        <v>7</v>
      </c>
      <c r="B4" s="162"/>
      <c r="C4" s="31">
        <v>2011</v>
      </c>
      <c r="D4" s="63" t="s">
        <v>27</v>
      </c>
      <c r="E4" s="59"/>
    </row>
    <row r="5" spans="1:7" ht="15.75" thickBot="1" x14ac:dyDescent="0.3">
      <c r="A5" s="163" t="s">
        <v>12</v>
      </c>
      <c r="B5" s="164"/>
      <c r="C5" s="56">
        <v>511666</v>
      </c>
      <c r="D5" s="57">
        <f>+D13/C5</f>
        <v>10.927173195013935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1" t="s">
        <v>24</v>
      </c>
      <c r="C7" s="16"/>
      <c r="E7" s="15"/>
    </row>
    <row r="8" spans="1:7" x14ac:dyDescent="0.25">
      <c r="A8" s="33"/>
      <c r="B8" s="34"/>
      <c r="C8" s="34"/>
      <c r="D8" s="34"/>
      <c r="E8" s="34"/>
      <c r="F8" s="35" t="s">
        <v>11</v>
      </c>
      <c r="G8" s="46" t="s">
        <v>28</v>
      </c>
    </row>
    <row r="9" spans="1:7" x14ac:dyDescent="0.25">
      <c r="A9" s="36"/>
      <c r="B9" s="11"/>
      <c r="C9" s="11"/>
      <c r="D9" s="13" t="s">
        <v>5</v>
      </c>
      <c r="E9" s="24" t="s">
        <v>18</v>
      </c>
      <c r="F9" s="18" t="s">
        <v>23</v>
      </c>
      <c r="G9" s="47" t="s">
        <v>11</v>
      </c>
    </row>
    <row r="10" spans="1:7" x14ac:dyDescent="0.25">
      <c r="A10" s="160" t="s">
        <v>3</v>
      </c>
      <c r="B10" s="161"/>
      <c r="C10" s="162"/>
      <c r="D10" s="61">
        <v>2537453</v>
      </c>
      <c r="E10" s="12">
        <f>+D10/D13</f>
        <v>0.45384088857521371</v>
      </c>
      <c r="F10" s="32">
        <v>210923</v>
      </c>
      <c r="G10" s="48">
        <f>+D10/F10</f>
        <v>12.030233781996273</v>
      </c>
    </row>
    <row r="11" spans="1:7" x14ac:dyDescent="0.25">
      <c r="A11" s="160" t="s">
        <v>8</v>
      </c>
      <c r="B11" s="161"/>
      <c r="C11" s="162"/>
      <c r="D11" s="61">
        <v>2132349</v>
      </c>
      <c r="E11" s="12">
        <f>+D11/D13</f>
        <v>0.38138525715056332</v>
      </c>
      <c r="F11" s="26">
        <v>22985</v>
      </c>
      <c r="G11" s="48">
        <f>+D11/F11</f>
        <v>92.77132912769197</v>
      </c>
    </row>
    <row r="12" spans="1:7" x14ac:dyDescent="0.25">
      <c r="A12" s="160" t="s">
        <v>9</v>
      </c>
      <c r="B12" s="161"/>
      <c r="C12" s="162"/>
      <c r="D12" s="61">
        <v>921261</v>
      </c>
      <c r="E12" s="12">
        <f>+D12/D13</f>
        <v>0.16477385427422298</v>
      </c>
      <c r="F12" s="5"/>
      <c r="G12" s="37"/>
    </row>
    <row r="13" spans="1:7" ht="15.75" thickBot="1" x14ac:dyDescent="0.3">
      <c r="A13" s="38"/>
      <c r="B13" s="165" t="s">
        <v>4</v>
      </c>
      <c r="C13" s="164"/>
      <c r="D13" s="62">
        <f>SUM(D10:D12)</f>
        <v>5591063</v>
      </c>
      <c r="E13" s="39"/>
      <c r="F13" s="40"/>
      <c r="G13" s="41"/>
    </row>
    <row r="15" spans="1:7" ht="19.5" thickBot="1" x14ac:dyDescent="0.35">
      <c r="B15" s="52" t="s">
        <v>25</v>
      </c>
    </row>
    <row r="16" spans="1:7" x14ac:dyDescent="0.25">
      <c r="A16" s="33"/>
      <c r="B16" s="34"/>
      <c r="C16" s="34"/>
      <c r="D16" s="34"/>
      <c r="E16" s="35" t="s">
        <v>19</v>
      </c>
      <c r="F16" s="42" t="s">
        <v>248</v>
      </c>
      <c r="G16" s="43"/>
    </row>
    <row r="17" spans="1:8" ht="18" x14ac:dyDescent="0.35">
      <c r="A17" s="44"/>
      <c r="B17" s="5"/>
      <c r="C17" s="5"/>
      <c r="D17" s="24" t="s">
        <v>10</v>
      </c>
      <c r="E17" s="18" t="s">
        <v>20</v>
      </c>
      <c r="F17" s="14" t="s">
        <v>249</v>
      </c>
      <c r="G17" s="37"/>
    </row>
    <row r="18" spans="1:8" x14ac:dyDescent="0.25">
      <c r="A18" s="160" t="s">
        <v>227</v>
      </c>
      <c r="B18" s="161"/>
      <c r="C18" s="162"/>
      <c r="D18" s="6">
        <f>+'Known Resources'!B41*0.65</f>
        <v>6101237.3061250011</v>
      </c>
      <c r="E18" s="12">
        <f>+D18/(D18+D20)</f>
        <v>1.00578729689847</v>
      </c>
      <c r="F18" s="6">
        <f>+'Known Resources'!D41*0.65</f>
        <v>1369092.0947116818</v>
      </c>
      <c r="G18" s="37"/>
    </row>
    <row r="19" spans="1:8" ht="15.75" thickBot="1" x14ac:dyDescent="0.3">
      <c r="A19" s="160" t="s">
        <v>228</v>
      </c>
      <c r="B19" s="161"/>
      <c r="C19" s="162"/>
      <c r="D19" s="6"/>
      <c r="E19" s="12"/>
      <c r="F19" s="156"/>
      <c r="G19" s="37"/>
    </row>
    <row r="20" spans="1:8" ht="18" x14ac:dyDescent="0.35">
      <c r="A20" s="160" t="s">
        <v>22</v>
      </c>
      <c r="B20" s="161"/>
      <c r="C20" s="162"/>
      <c r="D20" s="49">
        <f>+'Unknown Resources'!F64*0.65</f>
        <v>-35106.5</v>
      </c>
      <c r="E20" s="50">
        <f>+D20/(D18+D20)</f>
        <v>-5.7872968984699113E-3</v>
      </c>
      <c r="F20" s="65">
        <f>+'Unknown Resources'!G64*0.65</f>
        <v>106.47683328784301</v>
      </c>
      <c r="G20" s="67" t="s">
        <v>26</v>
      </c>
    </row>
    <row r="21" spans="1:8" ht="18.75" thickBot="1" x14ac:dyDescent="0.4">
      <c r="A21" s="38"/>
      <c r="B21" s="40"/>
      <c r="C21" s="40"/>
      <c r="D21" s="64">
        <f>+C4</f>
        <v>2011</v>
      </c>
      <c r="E21" s="45" t="s">
        <v>260</v>
      </c>
      <c r="F21" s="66">
        <f>SUM(F18:F20)</f>
        <v>1369198.5715449697</v>
      </c>
      <c r="G21" s="68">
        <f>+F21/G23</f>
        <v>1.3333258996711184</v>
      </c>
    </row>
    <row r="22" spans="1:8" ht="18" x14ac:dyDescent="0.35">
      <c r="A22" t="s">
        <v>204</v>
      </c>
    </row>
    <row r="23" spans="1:8" ht="18" x14ac:dyDescent="0.35">
      <c r="F23" s="17" t="s">
        <v>246</v>
      </c>
      <c r="G23" s="26">
        <f>G28</f>
        <v>1026904.6539054703</v>
      </c>
      <c r="H23" s="23"/>
    </row>
    <row r="25" spans="1:8" x14ac:dyDescent="0.25">
      <c r="C25" s="23" t="s">
        <v>13</v>
      </c>
      <c r="F25" s="19"/>
      <c r="G25" s="19"/>
    </row>
    <row r="26" spans="1:8" x14ac:dyDescent="0.25">
      <c r="E26" s="19"/>
      <c r="F26" s="19"/>
      <c r="G26" s="22" t="s">
        <v>17</v>
      </c>
    </row>
    <row r="27" spans="1:8" ht="18" x14ac:dyDescent="0.35">
      <c r="E27" s="19"/>
      <c r="F27" s="19"/>
      <c r="G27" s="159" t="s">
        <v>245</v>
      </c>
    </row>
    <row r="28" spans="1:8" x14ac:dyDescent="0.25">
      <c r="E28" s="19"/>
      <c r="F28" s="20" t="s">
        <v>14</v>
      </c>
      <c r="G28" s="21">
        <f>H28/1.1023</f>
        <v>1026904.6539054703</v>
      </c>
      <c r="H28" s="21">
        <v>1131957</v>
      </c>
    </row>
    <row r="29" spans="1:8" x14ac:dyDescent="0.25">
      <c r="E29" s="19"/>
      <c r="F29" s="20" t="s">
        <v>15</v>
      </c>
      <c r="G29" s="21">
        <f t="shared" ref="G29:G30" si="0">H29/1.1023</f>
        <v>2176429.2842238955</v>
      </c>
      <c r="H29" s="21">
        <v>2399078</v>
      </c>
    </row>
    <row r="30" spans="1:8" x14ac:dyDescent="0.25">
      <c r="E30" s="19"/>
      <c r="F30" s="20" t="s">
        <v>16</v>
      </c>
      <c r="G30" s="21">
        <f t="shared" si="0"/>
        <v>6301427.9234328223</v>
      </c>
      <c r="H30" s="21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3"/>
  <sheetViews>
    <sheetView topLeftCell="A25" workbookViewId="0">
      <selection activeCell="B41" sqref="B41"/>
    </sheetView>
  </sheetViews>
  <sheetFormatPr defaultRowHeight="15" x14ac:dyDescent="0.25"/>
  <cols>
    <col min="1" max="1" width="47.5703125" customWidth="1"/>
    <col min="2" max="2" width="13.140625" customWidth="1"/>
    <col min="3" max="3" width="21.85546875" bestFit="1" customWidth="1"/>
    <col min="4" max="4" width="12.7109375" customWidth="1"/>
    <col min="7" max="7" width="25" bestFit="1" customWidth="1"/>
    <col min="8" max="8" width="10.5703125" customWidth="1"/>
    <col min="9" max="9" width="10.85546875" bestFit="1" customWidth="1"/>
    <col min="21" max="21" width="15.42578125" bestFit="1" customWidth="1"/>
    <col min="22" max="22" width="25.7109375" bestFit="1" customWidth="1"/>
  </cols>
  <sheetData>
    <row r="1" spans="1:23" ht="18.75" x14ac:dyDescent="0.3">
      <c r="A1" s="3" t="s">
        <v>1</v>
      </c>
      <c r="B1" s="30">
        <f>+Summary!C4</f>
        <v>2011</v>
      </c>
      <c r="L1" t="s">
        <v>176</v>
      </c>
      <c r="M1" t="s">
        <v>177</v>
      </c>
      <c r="N1" t="s">
        <v>178</v>
      </c>
      <c r="O1" t="s">
        <v>179</v>
      </c>
      <c r="P1" t="s">
        <v>180</v>
      </c>
      <c r="Q1" t="s">
        <v>181</v>
      </c>
      <c r="R1" t="s">
        <v>182</v>
      </c>
      <c r="S1" t="s">
        <v>205</v>
      </c>
      <c r="T1" t="s">
        <v>184</v>
      </c>
      <c r="U1" t="s">
        <v>247</v>
      </c>
      <c r="V1" t="s">
        <v>251</v>
      </c>
      <c r="W1" t="s">
        <v>185</v>
      </c>
    </row>
    <row r="2" spans="1:23" ht="18.75" x14ac:dyDescent="0.3">
      <c r="A2" s="3"/>
      <c r="B2" s="7" t="s">
        <v>21</v>
      </c>
      <c r="C2" s="7">
        <f>+Summary!C4</f>
        <v>2011</v>
      </c>
      <c r="D2" s="7" t="s">
        <v>248</v>
      </c>
      <c r="G2" s="69" t="s">
        <v>43</v>
      </c>
      <c r="H2" s="70">
        <v>222</v>
      </c>
      <c r="I2" s="69" t="s">
        <v>44</v>
      </c>
      <c r="J2" s="71">
        <v>1432719</v>
      </c>
      <c r="L2" t="s">
        <v>186</v>
      </c>
      <c r="M2" t="s">
        <v>206</v>
      </c>
      <c r="N2">
        <v>7456</v>
      </c>
      <c r="O2">
        <v>1</v>
      </c>
      <c r="Q2">
        <v>2011</v>
      </c>
      <c r="R2" t="s">
        <v>189</v>
      </c>
      <c r="S2">
        <v>5552.56</v>
      </c>
      <c r="T2">
        <v>3251.8980000000001</v>
      </c>
      <c r="U2" s="153">
        <f>T2/1.1023</f>
        <v>2950.1025129275154</v>
      </c>
      <c r="V2" s="153">
        <f>U2+Z46</f>
        <v>2955.5245550075156</v>
      </c>
      <c r="W2">
        <v>54715.421999999999</v>
      </c>
    </row>
    <row r="3" spans="1:23" ht="19.5" x14ac:dyDescent="0.35">
      <c r="A3" s="4" t="s">
        <v>0</v>
      </c>
      <c r="B3" s="8">
        <f>+Summary!C4</f>
        <v>2011</v>
      </c>
      <c r="C3" s="8" t="s">
        <v>250</v>
      </c>
      <c r="D3" s="8" t="s">
        <v>249</v>
      </c>
      <c r="E3" s="2"/>
      <c r="G3" s="69" t="s">
        <v>45</v>
      </c>
      <c r="H3" s="70">
        <v>149</v>
      </c>
      <c r="I3" s="69" t="s">
        <v>46</v>
      </c>
      <c r="J3" s="71">
        <v>7784</v>
      </c>
      <c r="L3" t="s">
        <v>186</v>
      </c>
      <c r="M3" t="s">
        <v>206</v>
      </c>
      <c r="N3">
        <v>7456</v>
      </c>
      <c r="O3">
        <v>2</v>
      </c>
      <c r="Q3">
        <v>2011</v>
      </c>
      <c r="R3" t="s">
        <v>189</v>
      </c>
      <c r="S3">
        <v>3127.21</v>
      </c>
      <c r="T3">
        <v>1885.9670000000001</v>
      </c>
      <c r="U3" s="153">
        <f t="shared" ref="U3:U7" si="0">T3/1.1023</f>
        <v>1710.9380386464666</v>
      </c>
      <c r="V3" s="153">
        <f>U3</f>
        <v>1710.9380386464666</v>
      </c>
      <c r="W3">
        <v>31730.037</v>
      </c>
    </row>
    <row r="4" spans="1:23" x14ac:dyDescent="0.25">
      <c r="A4" s="25" t="s">
        <v>29</v>
      </c>
      <c r="B4" s="26">
        <f>0.15*(S5+S6)</f>
        <v>1551724.8825000001</v>
      </c>
      <c r="C4" s="140">
        <f>D4/B4</f>
        <v>0.97235958891796181</v>
      </c>
      <c r="D4" s="6">
        <f>V5+V6</f>
        <v>1508834.5688614727</v>
      </c>
      <c r="G4" s="69" t="s">
        <v>47</v>
      </c>
      <c r="H4" s="70">
        <v>61.2</v>
      </c>
      <c r="I4" s="69" t="s">
        <v>46</v>
      </c>
      <c r="J4" s="71">
        <v>289</v>
      </c>
      <c r="L4" t="s">
        <v>186</v>
      </c>
      <c r="M4" t="s">
        <v>187</v>
      </c>
      <c r="N4">
        <v>55179</v>
      </c>
      <c r="O4" t="s">
        <v>188</v>
      </c>
      <c r="Q4">
        <v>2011</v>
      </c>
      <c r="R4" t="s">
        <v>189</v>
      </c>
      <c r="S4">
        <v>856393.73</v>
      </c>
      <c r="T4">
        <v>351146.48200000002</v>
      </c>
      <c r="U4" s="153">
        <f t="shared" si="0"/>
        <v>318557.99872992834</v>
      </c>
      <c r="V4" s="153">
        <f>U4+AA63</f>
        <v>318885.77506289765</v>
      </c>
      <c r="W4">
        <v>5908687.3720000004</v>
      </c>
    </row>
    <row r="5" spans="1:23" x14ac:dyDescent="0.25">
      <c r="A5" s="27" t="s">
        <v>30</v>
      </c>
      <c r="B5" s="26">
        <f>S2+S3</f>
        <v>8679.77</v>
      </c>
      <c r="C5" s="140">
        <f>D5/B5</f>
        <v>0.53762514371394432</v>
      </c>
      <c r="D5" s="6">
        <f>V2+V3</f>
        <v>4666.4625936539824</v>
      </c>
      <c r="G5" s="69" t="s">
        <v>48</v>
      </c>
      <c r="H5" s="70">
        <v>24</v>
      </c>
      <c r="I5" s="69" t="s">
        <v>46</v>
      </c>
      <c r="J5" s="71">
        <v>9088</v>
      </c>
      <c r="L5" t="s">
        <v>207</v>
      </c>
      <c r="M5" t="s">
        <v>208</v>
      </c>
      <c r="N5">
        <v>6076</v>
      </c>
      <c r="O5">
        <v>3</v>
      </c>
      <c r="Q5">
        <v>2011</v>
      </c>
      <c r="R5" t="s">
        <v>189</v>
      </c>
      <c r="S5">
        <v>4631160.95</v>
      </c>
      <c r="T5">
        <v>4845634.8849999998</v>
      </c>
      <c r="U5" s="153">
        <f>(0.15*T5)/1.1023</f>
        <v>659389.66955456766</v>
      </c>
      <c r="V5" s="153">
        <f>U5+Z44+Z45</f>
        <v>670515.78227887268</v>
      </c>
      <c r="W5" s="142">
        <v>46201751.858999997</v>
      </c>
    </row>
    <row r="6" spans="1:23" x14ac:dyDescent="0.25">
      <c r="A6" s="27" t="s">
        <v>31</v>
      </c>
      <c r="B6" s="26">
        <f>J4</f>
        <v>289</v>
      </c>
      <c r="C6" s="140">
        <f t="shared" ref="C6:C9" si="1">D6/B6</f>
        <v>1.1375534492013841</v>
      </c>
      <c r="D6" s="6">
        <f>W28+Z47</f>
        <v>328.75294681920002</v>
      </c>
      <c r="G6" s="69" t="s">
        <v>49</v>
      </c>
      <c r="H6" s="70">
        <v>278.3</v>
      </c>
      <c r="I6" s="69" t="s">
        <v>46</v>
      </c>
      <c r="J6" s="71">
        <v>705060</v>
      </c>
      <c r="L6" t="s">
        <v>207</v>
      </c>
      <c r="M6" t="s">
        <v>208</v>
      </c>
      <c r="N6">
        <v>6076</v>
      </c>
      <c r="O6">
        <v>4</v>
      </c>
      <c r="Q6">
        <v>2011</v>
      </c>
      <c r="R6" t="s">
        <v>189</v>
      </c>
      <c r="S6">
        <v>5713671.5999999996</v>
      </c>
      <c r="T6">
        <v>6160525.3229999999</v>
      </c>
      <c r="U6" s="153">
        <f>(0.15*T6)/1.1023</f>
        <v>838318.78658259998</v>
      </c>
      <c r="V6" s="153">
        <f>U6</f>
        <v>838318.78658259998</v>
      </c>
      <c r="W6" s="142">
        <v>58738772.439999998</v>
      </c>
    </row>
    <row r="7" spans="1:23" x14ac:dyDescent="0.25">
      <c r="A7" s="27" t="s">
        <v>32</v>
      </c>
      <c r="B7" s="26">
        <f t="shared" ref="B7:B8" si="2">J5</f>
        <v>9088</v>
      </c>
      <c r="C7" s="140">
        <f t="shared" si="1"/>
        <v>0.53192376424515841</v>
      </c>
      <c r="D7" s="6">
        <f>W29+Z48</f>
        <v>4834.1231694600001</v>
      </c>
      <c r="G7" s="69" t="s">
        <v>50</v>
      </c>
      <c r="H7" s="70">
        <v>6.9</v>
      </c>
      <c r="I7" s="69" t="s">
        <v>46</v>
      </c>
      <c r="J7" s="72">
        <v>1375</v>
      </c>
      <c r="L7" t="s">
        <v>209</v>
      </c>
      <c r="M7" t="s">
        <v>210</v>
      </c>
      <c r="N7">
        <v>7350</v>
      </c>
      <c r="O7" t="s">
        <v>211</v>
      </c>
      <c r="Q7">
        <v>2011</v>
      </c>
      <c r="R7" t="s">
        <v>189</v>
      </c>
      <c r="S7">
        <v>719034.55</v>
      </c>
      <c r="T7">
        <v>294632.842</v>
      </c>
      <c r="U7" s="153">
        <f t="shared" si="0"/>
        <v>267289.16084550484</v>
      </c>
      <c r="V7" s="153">
        <f>U7+Z49</f>
        <v>267547.22400150483</v>
      </c>
      <c r="W7">
        <v>4957788.49</v>
      </c>
    </row>
    <row r="8" spans="1:23" x14ac:dyDescent="0.25">
      <c r="A8" s="27" t="s">
        <v>33</v>
      </c>
      <c r="B8" s="26">
        <f>S7</f>
        <v>719034.55</v>
      </c>
      <c r="C8" s="140">
        <f t="shared" si="1"/>
        <v>0.37209230627583167</v>
      </c>
      <c r="D8" s="6">
        <f>V7</f>
        <v>267547.22400150483</v>
      </c>
      <c r="G8" s="69" t="s">
        <v>51</v>
      </c>
      <c r="H8" s="73">
        <v>50</v>
      </c>
      <c r="I8" s="69" t="s">
        <v>52</v>
      </c>
      <c r="J8" s="71">
        <v>291651</v>
      </c>
    </row>
    <row r="9" spans="1:23" x14ac:dyDescent="0.25">
      <c r="A9" s="27" t="s">
        <v>34</v>
      </c>
      <c r="B9" s="26">
        <f>J7</f>
        <v>1375</v>
      </c>
      <c r="C9" s="140">
        <f t="shared" si="1"/>
        <v>0.87172631989527261</v>
      </c>
      <c r="D9" s="6">
        <f>W31+Z50</f>
        <v>1198.6236898559998</v>
      </c>
      <c r="G9" s="69" t="s">
        <v>53</v>
      </c>
      <c r="H9" s="70">
        <v>15</v>
      </c>
      <c r="I9" s="69" t="s">
        <v>54</v>
      </c>
      <c r="J9" s="71">
        <v>109537</v>
      </c>
    </row>
    <row r="10" spans="1:23" x14ac:dyDescent="0.25">
      <c r="A10" s="27" t="s">
        <v>62</v>
      </c>
      <c r="B10" s="26">
        <f t="shared" ref="B10:B18" si="3">J8</f>
        <v>291651</v>
      </c>
      <c r="C10" s="26">
        <v>0</v>
      </c>
      <c r="D10" s="6">
        <f t="shared" ref="D6:D10" si="4">(+B10*C10)/2000</f>
        <v>0</v>
      </c>
      <c r="G10" s="74" t="s">
        <v>55</v>
      </c>
      <c r="H10" s="70">
        <v>18</v>
      </c>
      <c r="I10" s="69" t="s">
        <v>54</v>
      </c>
      <c r="J10" s="71">
        <v>90452</v>
      </c>
    </row>
    <row r="11" spans="1:23" x14ac:dyDescent="0.25">
      <c r="A11" s="27" t="s">
        <v>35</v>
      </c>
      <c r="B11" s="26">
        <f t="shared" si="3"/>
        <v>109537</v>
      </c>
      <c r="C11" s="26">
        <v>0</v>
      </c>
      <c r="D11" s="6">
        <f t="shared" ref="D11:D40" si="5">(+B11*C11)/2000</f>
        <v>0</v>
      </c>
      <c r="G11" s="69" t="s">
        <v>56</v>
      </c>
      <c r="H11" s="70">
        <v>17.600000000000001</v>
      </c>
      <c r="I11" s="69" t="s">
        <v>54</v>
      </c>
      <c r="J11" s="71">
        <v>90046</v>
      </c>
    </row>
    <row r="12" spans="1:23" x14ac:dyDescent="0.25">
      <c r="A12" s="27" t="s">
        <v>36</v>
      </c>
      <c r="B12" s="26">
        <f t="shared" si="3"/>
        <v>90452</v>
      </c>
      <c r="C12" s="26">
        <v>0</v>
      </c>
      <c r="D12" s="6">
        <f t="shared" si="5"/>
        <v>0</v>
      </c>
      <c r="G12" s="74" t="s">
        <v>57</v>
      </c>
      <c r="H12" s="70">
        <v>34.6</v>
      </c>
      <c r="I12" s="69" t="s">
        <v>54</v>
      </c>
      <c r="J12" s="71">
        <v>213284</v>
      </c>
    </row>
    <row r="13" spans="1:23" x14ac:dyDescent="0.25">
      <c r="A13" s="27" t="s">
        <v>37</v>
      </c>
      <c r="B13" s="26">
        <f t="shared" si="3"/>
        <v>90046</v>
      </c>
      <c r="C13" s="26">
        <v>0</v>
      </c>
      <c r="D13" s="6">
        <f t="shared" si="5"/>
        <v>0</v>
      </c>
      <c r="G13" s="69" t="s">
        <v>58</v>
      </c>
      <c r="H13" s="70">
        <v>87</v>
      </c>
      <c r="I13" s="69" t="s">
        <v>54</v>
      </c>
      <c r="J13" s="71">
        <v>555565</v>
      </c>
    </row>
    <row r="14" spans="1:23" x14ac:dyDescent="0.25">
      <c r="A14" s="27" t="s">
        <v>38</v>
      </c>
      <c r="B14" s="26">
        <f t="shared" si="3"/>
        <v>213284</v>
      </c>
      <c r="C14" s="26">
        <v>0</v>
      </c>
      <c r="D14" s="6">
        <f t="shared" si="5"/>
        <v>0</v>
      </c>
      <c r="G14" s="74" t="s">
        <v>59</v>
      </c>
      <c r="H14" s="70">
        <v>10.199999999999999</v>
      </c>
      <c r="I14" s="69" t="s">
        <v>54</v>
      </c>
      <c r="J14" s="71">
        <v>73289</v>
      </c>
    </row>
    <row r="15" spans="1:23" x14ac:dyDescent="0.25">
      <c r="A15" s="27" t="s">
        <v>39</v>
      </c>
      <c r="B15" s="26">
        <f t="shared" si="3"/>
        <v>555565</v>
      </c>
      <c r="C15" s="26">
        <v>0</v>
      </c>
      <c r="D15" s="6">
        <f t="shared" si="5"/>
        <v>0</v>
      </c>
      <c r="G15" s="69" t="s">
        <v>60</v>
      </c>
      <c r="H15" s="70">
        <v>254.6</v>
      </c>
      <c r="I15" s="69" t="s">
        <v>54</v>
      </c>
      <c r="J15" s="71">
        <v>1292344</v>
      </c>
    </row>
    <row r="16" spans="1:23" x14ac:dyDescent="0.25">
      <c r="A16" s="27" t="s">
        <v>40</v>
      </c>
      <c r="B16" s="26">
        <f t="shared" si="3"/>
        <v>73289</v>
      </c>
      <c r="C16" s="26">
        <v>0</v>
      </c>
      <c r="D16" s="6">
        <f t="shared" si="5"/>
        <v>0</v>
      </c>
      <c r="G16" s="69" t="s">
        <v>61</v>
      </c>
      <c r="H16" s="70">
        <v>562.4</v>
      </c>
      <c r="I16" s="69" t="s">
        <v>54</v>
      </c>
      <c r="J16" s="71">
        <v>2109683</v>
      </c>
    </row>
    <row r="17" spans="1:23" x14ac:dyDescent="0.25">
      <c r="A17" s="27" t="s">
        <v>41</v>
      </c>
      <c r="B17" s="26">
        <f t="shared" si="3"/>
        <v>1292344</v>
      </c>
      <c r="C17" s="26">
        <v>0</v>
      </c>
      <c r="D17" s="6">
        <f t="shared" si="5"/>
        <v>0</v>
      </c>
    </row>
    <row r="18" spans="1:23" x14ac:dyDescent="0.25">
      <c r="A18" s="27" t="s">
        <v>42</v>
      </c>
      <c r="B18" s="26">
        <f t="shared" si="3"/>
        <v>2109683</v>
      </c>
      <c r="C18" s="26">
        <v>0</v>
      </c>
      <c r="D18" s="6">
        <f t="shared" si="5"/>
        <v>0</v>
      </c>
    </row>
    <row r="19" spans="1:23" ht="15.75" x14ac:dyDescent="0.25">
      <c r="A19" s="27" t="s">
        <v>190</v>
      </c>
      <c r="B19" s="26">
        <v>6566</v>
      </c>
      <c r="C19" s="26">
        <v>0</v>
      </c>
      <c r="D19" s="6">
        <f t="shared" si="5"/>
        <v>0</v>
      </c>
      <c r="G19" s="75" t="s">
        <v>63</v>
      </c>
      <c r="H19" s="76"/>
      <c r="I19" s="77"/>
      <c r="J19" s="77"/>
      <c r="K19" s="166" t="s">
        <v>64</v>
      </c>
      <c r="L19" s="167"/>
      <c r="M19" s="166" t="s">
        <v>65</v>
      </c>
      <c r="N19" s="168"/>
      <c r="O19" s="168"/>
      <c r="P19" s="168"/>
      <c r="Q19" s="167"/>
      <c r="R19" s="166" t="s">
        <v>66</v>
      </c>
      <c r="S19" s="168"/>
      <c r="T19" s="78" t="s">
        <v>67</v>
      </c>
      <c r="U19" s="78" t="s">
        <v>68</v>
      </c>
      <c r="V19" s="166" t="s">
        <v>69</v>
      </c>
      <c r="W19" s="167"/>
    </row>
    <row r="20" spans="1:23" ht="15.75" x14ac:dyDescent="0.25">
      <c r="A20" s="27" t="s">
        <v>162</v>
      </c>
      <c r="B20" s="26">
        <f>S4</f>
        <v>856393.73</v>
      </c>
      <c r="C20" s="141">
        <f>D20/B20</f>
        <v>0.37235883903878847</v>
      </c>
      <c r="D20" s="6">
        <f>V4</f>
        <v>318885.77506289765</v>
      </c>
      <c r="E20" s="139"/>
      <c r="G20" s="79" t="s">
        <v>70</v>
      </c>
      <c r="H20" s="80">
        <v>2011</v>
      </c>
      <c r="I20" s="77"/>
      <c r="J20" s="81"/>
      <c r="K20" s="82" t="s">
        <v>71</v>
      </c>
      <c r="L20" s="82" t="s">
        <v>72</v>
      </c>
      <c r="M20" s="83" t="s">
        <v>73</v>
      </c>
      <c r="N20" s="84" t="s">
        <v>74</v>
      </c>
      <c r="O20" s="83" t="s">
        <v>75</v>
      </c>
      <c r="P20" s="83" t="s">
        <v>76</v>
      </c>
      <c r="Q20" s="83" t="s">
        <v>77</v>
      </c>
      <c r="R20" s="84" t="s">
        <v>78</v>
      </c>
      <c r="S20" s="84" t="s">
        <v>79</v>
      </c>
      <c r="T20" s="85" t="s">
        <v>80</v>
      </c>
      <c r="U20" s="85" t="s">
        <v>81</v>
      </c>
      <c r="V20" s="85" t="s">
        <v>82</v>
      </c>
      <c r="W20" s="86" t="s">
        <v>83</v>
      </c>
    </row>
    <row r="21" spans="1:23" ht="75.75" x14ac:dyDescent="0.25">
      <c r="A21" s="27" t="s">
        <v>191</v>
      </c>
      <c r="B21" s="26">
        <v>0</v>
      </c>
      <c r="C21" s="26">
        <v>0</v>
      </c>
      <c r="D21" s="6">
        <f t="shared" si="5"/>
        <v>0</v>
      </c>
      <c r="G21" s="87"/>
      <c r="H21" s="88"/>
      <c r="I21" s="89"/>
      <c r="J21" s="90"/>
      <c r="K21" s="91" t="s">
        <v>84</v>
      </c>
      <c r="L21" s="91" t="s">
        <v>85</v>
      </c>
      <c r="M21" s="91" t="s">
        <v>86</v>
      </c>
      <c r="N21" s="91" t="s">
        <v>87</v>
      </c>
      <c r="O21" s="91" t="s">
        <v>88</v>
      </c>
      <c r="P21" s="91" t="s">
        <v>89</v>
      </c>
      <c r="Q21" s="91" t="s">
        <v>90</v>
      </c>
      <c r="R21" s="92" t="s">
        <v>91</v>
      </c>
      <c r="S21" s="92" t="s">
        <v>92</v>
      </c>
      <c r="T21" s="92" t="s">
        <v>93</v>
      </c>
      <c r="U21" s="92" t="s">
        <v>94</v>
      </c>
      <c r="V21" s="92" t="s">
        <v>95</v>
      </c>
      <c r="W21" s="93" t="s">
        <v>96</v>
      </c>
    </row>
    <row r="22" spans="1:23" ht="45" x14ac:dyDescent="0.25">
      <c r="A22" s="27" t="s">
        <v>192</v>
      </c>
      <c r="B22" s="26">
        <f>191584+131241</f>
        <v>322825</v>
      </c>
      <c r="C22" s="26">
        <v>0</v>
      </c>
      <c r="D22" s="6">
        <f t="shared" si="5"/>
        <v>0</v>
      </c>
      <c r="G22" s="94"/>
      <c r="H22" s="76"/>
      <c r="I22" s="95"/>
      <c r="J22" s="81"/>
      <c r="K22" s="96"/>
      <c r="L22" s="96"/>
      <c r="M22" s="96"/>
      <c r="N22" s="96"/>
      <c r="O22" s="97" t="s">
        <v>97</v>
      </c>
      <c r="P22" s="97" t="s">
        <v>98</v>
      </c>
      <c r="Q22" s="97"/>
      <c r="R22" s="98"/>
      <c r="S22" s="98"/>
      <c r="T22" s="99"/>
      <c r="U22" s="99"/>
      <c r="V22" s="93" t="s">
        <v>99</v>
      </c>
      <c r="W22" s="100" t="s">
        <v>100</v>
      </c>
    </row>
    <row r="23" spans="1:23" x14ac:dyDescent="0.25">
      <c r="A23" s="27" t="s">
        <v>193</v>
      </c>
      <c r="B23" s="26">
        <v>4693</v>
      </c>
      <c r="C23" s="26">
        <v>0</v>
      </c>
      <c r="D23" s="6">
        <f t="shared" si="5"/>
        <v>0</v>
      </c>
      <c r="G23" s="101">
        <v>0</v>
      </c>
      <c r="H23" s="102" t="s">
        <v>101</v>
      </c>
      <c r="I23" s="103" t="s">
        <v>46</v>
      </c>
      <c r="J23" s="104">
        <v>0.5</v>
      </c>
      <c r="K23" s="105">
        <v>1000</v>
      </c>
      <c r="L23" s="106" t="s">
        <v>102</v>
      </c>
      <c r="M23" s="107">
        <v>5.0999999999999997E-2</v>
      </c>
      <c r="N23" s="108" t="s">
        <v>103</v>
      </c>
      <c r="O23" s="106" t="s">
        <v>104</v>
      </c>
      <c r="P23" s="105">
        <f>K23*M23</f>
        <v>51</v>
      </c>
      <c r="Q23" s="109" t="s">
        <v>105</v>
      </c>
      <c r="R23" s="110">
        <v>14</v>
      </c>
      <c r="S23" s="106" t="s">
        <v>106</v>
      </c>
      <c r="T23" s="111">
        <v>1</v>
      </c>
      <c r="U23" s="112">
        <v>1</v>
      </c>
      <c r="V23" s="113">
        <f>+P23*R23*T23*U23*3.66666666666667</f>
        <v>2618.0000000000023</v>
      </c>
      <c r="W23" s="114">
        <f>V23/1000</f>
        <v>2.6180000000000021</v>
      </c>
    </row>
    <row r="24" spans="1:23" x14ac:dyDescent="0.25">
      <c r="A24" s="27" t="s">
        <v>194</v>
      </c>
      <c r="B24" s="26">
        <f>151146+361969</f>
        <v>513115</v>
      </c>
      <c r="C24" s="26">
        <v>0</v>
      </c>
      <c r="D24" s="6">
        <f t="shared" si="5"/>
        <v>0</v>
      </c>
      <c r="G24" s="115" t="s">
        <v>107</v>
      </c>
      <c r="H24" s="115" t="s">
        <v>108</v>
      </c>
      <c r="I24" s="116" t="s">
        <v>109</v>
      </c>
      <c r="J24" s="116" t="s">
        <v>110</v>
      </c>
      <c r="K24" s="117"/>
      <c r="L24" s="118"/>
      <c r="M24" s="118"/>
      <c r="N24" s="118"/>
      <c r="O24" s="118"/>
      <c r="P24" s="118"/>
      <c r="Q24" s="118"/>
      <c r="R24" s="119"/>
      <c r="S24" s="120"/>
      <c r="T24" s="121"/>
      <c r="U24" s="121"/>
      <c r="V24" s="121"/>
      <c r="W24" s="118"/>
    </row>
    <row r="25" spans="1:23" ht="30" x14ac:dyDescent="0.25">
      <c r="A25" s="27" t="s">
        <v>195</v>
      </c>
      <c r="B25" s="26">
        <v>10115</v>
      </c>
      <c r="C25" s="26">
        <v>0</v>
      </c>
      <c r="D25" s="6">
        <f t="shared" si="5"/>
        <v>0</v>
      </c>
      <c r="G25" s="122">
        <v>1</v>
      </c>
      <c r="H25" s="69" t="s">
        <v>29</v>
      </c>
      <c r="I25" s="69" t="s">
        <v>44</v>
      </c>
      <c r="J25" s="123">
        <v>0.15</v>
      </c>
      <c r="K25" s="124">
        <v>898632.6</v>
      </c>
      <c r="L25" s="125" t="s">
        <v>111</v>
      </c>
      <c r="M25" s="126">
        <v>17.024999999999999</v>
      </c>
      <c r="N25" s="125" t="s">
        <v>112</v>
      </c>
      <c r="O25" s="125" t="s">
        <v>104</v>
      </c>
      <c r="P25" s="127">
        <f>K25*M25</f>
        <v>15299220.014999999</v>
      </c>
      <c r="Q25" s="128" t="s">
        <v>113</v>
      </c>
      <c r="R25" s="129">
        <v>93.4</v>
      </c>
      <c r="S25" s="128" t="s">
        <v>114</v>
      </c>
      <c r="T25" s="130">
        <v>0.98</v>
      </c>
      <c r="U25" s="131">
        <v>1</v>
      </c>
      <c r="V25" s="132">
        <f t="shared" ref="V25:V31" si="6">+P25*R25*T25*U25</f>
        <v>1400368206.4129801</v>
      </c>
      <c r="W25" s="132">
        <f t="shared" ref="W25:W31" si="7">V25/1000</f>
        <v>1400368.2064129801</v>
      </c>
    </row>
    <row r="26" spans="1:23" ht="25.5" x14ac:dyDescent="0.25">
      <c r="A26" s="27" t="s">
        <v>196</v>
      </c>
      <c r="B26" s="26">
        <v>86322</v>
      </c>
      <c r="C26" s="26">
        <v>0</v>
      </c>
      <c r="D26" s="6">
        <f t="shared" si="5"/>
        <v>0</v>
      </c>
      <c r="G26" s="122">
        <f t="shared" ref="G26:G31" si="8">G25+1</f>
        <v>2</v>
      </c>
      <c r="H26" s="69" t="s">
        <v>29</v>
      </c>
      <c r="I26" s="69" t="s">
        <v>115</v>
      </c>
      <c r="J26" s="133">
        <v>0.15</v>
      </c>
      <c r="K26" s="124">
        <v>2445</v>
      </c>
      <c r="L26" s="125" t="s">
        <v>116</v>
      </c>
      <c r="M26" s="129">
        <f>140000*42/1000000</f>
        <v>5.88</v>
      </c>
      <c r="N26" s="134" t="s">
        <v>117</v>
      </c>
      <c r="O26" s="125" t="s">
        <v>104</v>
      </c>
      <c r="P26" s="127">
        <f>(K26*M26)</f>
        <v>14376.6</v>
      </c>
      <c r="Q26" s="128" t="s">
        <v>113</v>
      </c>
      <c r="R26" s="129">
        <v>73.959999999999994</v>
      </c>
      <c r="S26" s="128" t="s">
        <v>114</v>
      </c>
      <c r="T26" s="130">
        <v>0.99</v>
      </c>
      <c r="U26" s="131">
        <v>1</v>
      </c>
      <c r="V26" s="132">
        <f t="shared" si="6"/>
        <v>1052660.40264</v>
      </c>
      <c r="W26" s="132">
        <f t="shared" si="7"/>
        <v>1052.66040264</v>
      </c>
    </row>
    <row r="27" spans="1:23" x14ac:dyDescent="0.25">
      <c r="A27" s="27" t="s">
        <v>197</v>
      </c>
      <c r="B27" s="26">
        <v>1381</v>
      </c>
      <c r="C27" s="26">
        <v>0</v>
      </c>
      <c r="D27" s="6">
        <f t="shared" si="5"/>
        <v>0</v>
      </c>
      <c r="G27" s="122">
        <f t="shared" si="8"/>
        <v>3</v>
      </c>
      <c r="H27" s="69" t="s">
        <v>118</v>
      </c>
      <c r="I27" s="69" t="s">
        <v>46</v>
      </c>
      <c r="J27" s="133">
        <v>1</v>
      </c>
      <c r="K27" s="129">
        <v>101.43</v>
      </c>
      <c r="L27" s="125" t="s">
        <v>119</v>
      </c>
      <c r="M27" s="135">
        <v>1028</v>
      </c>
      <c r="N27" s="125" t="s">
        <v>120</v>
      </c>
      <c r="O27" s="125" t="s">
        <v>104</v>
      </c>
      <c r="P27" s="127">
        <f t="shared" ref="P27:P31" si="9">K27*M27</f>
        <v>104270.04000000001</v>
      </c>
      <c r="Q27" s="128" t="s">
        <v>113</v>
      </c>
      <c r="R27" s="129">
        <v>53.02</v>
      </c>
      <c r="S27" s="128" t="s">
        <v>114</v>
      </c>
      <c r="T27" s="130">
        <v>0.995</v>
      </c>
      <c r="U27" s="131">
        <v>1</v>
      </c>
      <c r="V27" s="132">
        <f t="shared" si="6"/>
        <v>5500755.5331960013</v>
      </c>
      <c r="W27" s="132">
        <f t="shared" si="7"/>
        <v>5500.7555331960011</v>
      </c>
    </row>
    <row r="28" spans="1:23" x14ac:dyDescent="0.25">
      <c r="A28" s="27" t="s">
        <v>198</v>
      </c>
      <c r="B28" s="26">
        <v>2522</v>
      </c>
      <c r="C28" s="26">
        <v>0</v>
      </c>
      <c r="D28" s="6">
        <f t="shared" si="5"/>
        <v>0</v>
      </c>
      <c r="G28" s="122">
        <f t="shared" si="8"/>
        <v>4</v>
      </c>
      <c r="H28" s="69" t="s">
        <v>121</v>
      </c>
      <c r="I28" s="69" t="s">
        <v>46</v>
      </c>
      <c r="J28" s="133">
        <v>1</v>
      </c>
      <c r="K28" s="129">
        <v>6.056</v>
      </c>
      <c r="L28" s="125" t="s">
        <v>119</v>
      </c>
      <c r="M28" s="135">
        <v>1028</v>
      </c>
      <c r="N28" s="125" t="s">
        <v>120</v>
      </c>
      <c r="O28" s="125" t="s">
        <v>104</v>
      </c>
      <c r="P28" s="127">
        <f t="shared" si="9"/>
        <v>6225.5680000000002</v>
      </c>
      <c r="Q28" s="128" t="s">
        <v>113</v>
      </c>
      <c r="R28" s="129">
        <v>53.02</v>
      </c>
      <c r="S28" s="128" t="s">
        <v>114</v>
      </c>
      <c r="T28" s="130">
        <v>0.995</v>
      </c>
      <c r="U28" s="131">
        <v>1</v>
      </c>
      <c r="V28" s="132">
        <f t="shared" si="6"/>
        <v>328429.21728320007</v>
      </c>
      <c r="W28" s="132">
        <f t="shared" si="7"/>
        <v>328.42921728320005</v>
      </c>
    </row>
    <row r="29" spans="1:23" x14ac:dyDescent="0.25">
      <c r="A29" s="27" t="s">
        <v>199</v>
      </c>
      <c r="B29" s="26">
        <v>51</v>
      </c>
      <c r="C29" s="26">
        <v>0</v>
      </c>
      <c r="D29" s="6">
        <f t="shared" si="5"/>
        <v>0</v>
      </c>
      <c r="G29" s="122">
        <f t="shared" si="8"/>
        <v>5</v>
      </c>
      <c r="H29" s="69" t="s">
        <v>32</v>
      </c>
      <c r="I29" s="69" t="s">
        <v>46</v>
      </c>
      <c r="J29" s="133">
        <v>1</v>
      </c>
      <c r="K29" s="129">
        <v>89.05</v>
      </c>
      <c r="L29" s="125" t="s">
        <v>119</v>
      </c>
      <c r="M29" s="135">
        <v>1028</v>
      </c>
      <c r="N29" s="125" t="s">
        <v>120</v>
      </c>
      <c r="O29" s="125" t="s">
        <v>104</v>
      </c>
      <c r="P29" s="127">
        <f t="shared" si="9"/>
        <v>91543.4</v>
      </c>
      <c r="Q29" s="128" t="s">
        <v>113</v>
      </c>
      <c r="R29" s="129">
        <v>53.02</v>
      </c>
      <c r="S29" s="128" t="s">
        <v>114</v>
      </c>
      <c r="T29" s="130">
        <v>0.995</v>
      </c>
      <c r="U29" s="131">
        <v>1</v>
      </c>
      <c r="V29" s="132">
        <f t="shared" si="6"/>
        <v>4829362.9126599999</v>
      </c>
      <c r="W29" s="132">
        <f t="shared" si="7"/>
        <v>4829.3629126599999</v>
      </c>
    </row>
    <row r="30" spans="1:23" x14ac:dyDescent="0.25">
      <c r="A30" s="27" t="s">
        <v>200</v>
      </c>
      <c r="B30" s="26">
        <f>139355+35258+187768</f>
        <v>362381</v>
      </c>
      <c r="C30" s="26">
        <v>0</v>
      </c>
      <c r="D30" s="6">
        <f t="shared" si="5"/>
        <v>0</v>
      </c>
      <c r="G30" s="122">
        <f t="shared" si="8"/>
        <v>6</v>
      </c>
      <c r="H30" s="69" t="s">
        <v>33</v>
      </c>
      <c r="I30" s="69" t="s">
        <v>46</v>
      </c>
      <c r="J30" s="133">
        <v>1</v>
      </c>
      <c r="K30" s="129">
        <v>4827.5807392996103</v>
      </c>
      <c r="L30" s="125" t="s">
        <v>119</v>
      </c>
      <c r="M30" s="135">
        <v>1028</v>
      </c>
      <c r="N30" s="125" t="s">
        <v>120</v>
      </c>
      <c r="O30" s="125" t="s">
        <v>104</v>
      </c>
      <c r="P30" s="127">
        <f t="shared" si="9"/>
        <v>4962752.9999999991</v>
      </c>
      <c r="Q30" s="128" t="s">
        <v>113</v>
      </c>
      <c r="R30" s="129">
        <v>53.02</v>
      </c>
      <c r="S30" s="128" t="s">
        <v>114</v>
      </c>
      <c r="T30" s="130">
        <v>0.995</v>
      </c>
      <c r="U30" s="131">
        <v>1</v>
      </c>
      <c r="V30" s="132">
        <f t="shared" si="6"/>
        <v>261809538.23969996</v>
      </c>
      <c r="W30" s="132">
        <f t="shared" si="7"/>
        <v>261809.53823969996</v>
      </c>
    </row>
    <row r="31" spans="1:23" x14ac:dyDescent="0.25">
      <c r="A31" s="27" t="s">
        <v>201</v>
      </c>
      <c r="B31" s="26">
        <v>7556</v>
      </c>
      <c r="C31" s="26">
        <v>0</v>
      </c>
      <c r="D31" s="6">
        <f t="shared" si="5"/>
        <v>0</v>
      </c>
      <c r="G31" s="122">
        <f t="shared" si="8"/>
        <v>7</v>
      </c>
      <c r="H31" s="69" t="s">
        <v>34</v>
      </c>
      <c r="I31" s="69" t="s">
        <v>46</v>
      </c>
      <c r="J31" s="133">
        <v>1</v>
      </c>
      <c r="K31" s="129">
        <v>22.08</v>
      </c>
      <c r="L31" s="125" t="s">
        <v>119</v>
      </c>
      <c r="M31" s="135">
        <v>1028</v>
      </c>
      <c r="N31" s="125" t="s">
        <v>120</v>
      </c>
      <c r="O31" s="125" t="s">
        <v>104</v>
      </c>
      <c r="P31" s="127">
        <f t="shared" si="9"/>
        <v>22698.239999999998</v>
      </c>
      <c r="Q31" s="128" t="s">
        <v>113</v>
      </c>
      <c r="R31" s="129">
        <v>53.02</v>
      </c>
      <c r="S31" s="128" t="s">
        <v>114</v>
      </c>
      <c r="T31" s="130">
        <v>0.995</v>
      </c>
      <c r="U31" s="131">
        <v>1</v>
      </c>
      <c r="V31" s="132">
        <f t="shared" si="6"/>
        <v>1197443.3813759999</v>
      </c>
      <c r="W31" s="132">
        <f t="shared" si="7"/>
        <v>1197.4433813759999</v>
      </c>
    </row>
    <row r="32" spans="1:23" x14ac:dyDescent="0.25">
      <c r="A32" s="27" t="s">
        <v>202</v>
      </c>
      <c r="B32" s="26">
        <v>60332</v>
      </c>
      <c r="C32" s="26">
        <v>0</v>
      </c>
      <c r="D32" s="6">
        <f t="shared" si="5"/>
        <v>0</v>
      </c>
    </row>
    <row r="33" spans="1:27" x14ac:dyDescent="0.25">
      <c r="A33" s="27" t="s">
        <v>203</v>
      </c>
      <c r="B33" s="26">
        <v>36224</v>
      </c>
      <c r="C33" s="26">
        <v>0</v>
      </c>
      <c r="D33" s="6">
        <f t="shared" si="5"/>
        <v>0</v>
      </c>
    </row>
    <row r="34" spans="1:27" x14ac:dyDescent="0.25">
      <c r="A34" s="27"/>
      <c r="B34" s="26"/>
      <c r="C34" s="26"/>
      <c r="D34" s="6">
        <f t="shared" si="5"/>
        <v>0</v>
      </c>
      <c r="G34" t="s">
        <v>176</v>
      </c>
      <c r="H34" t="s">
        <v>177</v>
      </c>
      <c r="I34" t="s">
        <v>178</v>
      </c>
      <c r="J34" t="s">
        <v>179</v>
      </c>
      <c r="K34" t="s">
        <v>180</v>
      </c>
      <c r="L34" t="s">
        <v>181</v>
      </c>
      <c r="M34" t="s">
        <v>182</v>
      </c>
      <c r="N34" t="s">
        <v>183</v>
      </c>
      <c r="O34" t="s">
        <v>184</v>
      </c>
      <c r="P34" t="s">
        <v>185</v>
      </c>
    </row>
    <row r="35" spans="1:27" x14ac:dyDescent="0.25">
      <c r="A35" s="27"/>
      <c r="B35" s="26"/>
      <c r="C35" s="26"/>
      <c r="D35" s="6">
        <f t="shared" si="5"/>
        <v>0</v>
      </c>
      <c r="G35" t="s">
        <v>186</v>
      </c>
      <c r="H35" t="s">
        <v>187</v>
      </c>
      <c r="I35">
        <v>55179</v>
      </c>
      <c r="J35" t="s">
        <v>188</v>
      </c>
      <c r="L35">
        <v>2011</v>
      </c>
      <c r="M35" t="s">
        <v>189</v>
      </c>
      <c r="N35">
        <v>51.323999999999998</v>
      </c>
      <c r="O35">
        <v>351146.48200000002</v>
      </c>
      <c r="P35">
        <v>5908687.3720000004</v>
      </c>
    </row>
    <row r="36" spans="1:27" x14ac:dyDescent="0.25">
      <c r="A36" s="27"/>
      <c r="B36" s="26"/>
      <c r="C36" s="26"/>
      <c r="D36" s="6">
        <f t="shared" si="5"/>
        <v>0</v>
      </c>
    </row>
    <row r="37" spans="1:27" x14ac:dyDescent="0.25">
      <c r="A37" s="27"/>
      <c r="B37" s="26"/>
      <c r="C37" s="26"/>
      <c r="D37" s="6">
        <f t="shared" si="5"/>
        <v>0</v>
      </c>
      <c r="F37" s="136"/>
      <c r="G37" s="136"/>
      <c r="H37" s="137"/>
      <c r="I37" s="138"/>
      <c r="J37" s="138"/>
      <c r="K37" s="139" t="s">
        <v>229</v>
      </c>
    </row>
    <row r="38" spans="1:27" x14ac:dyDescent="0.25">
      <c r="A38" s="27"/>
      <c r="B38" s="26"/>
      <c r="C38" s="26"/>
      <c r="D38" s="6">
        <f t="shared" si="5"/>
        <v>0</v>
      </c>
      <c r="F38" s="136"/>
      <c r="G38" s="136" t="s">
        <v>230</v>
      </c>
      <c r="H38" s="137"/>
      <c r="I38" s="138"/>
      <c r="J38" s="138"/>
      <c r="K38" s="139" t="s">
        <v>64</v>
      </c>
      <c r="M38" t="s">
        <v>65</v>
      </c>
      <c r="R38" t="s">
        <v>66</v>
      </c>
      <c r="T38" t="s">
        <v>67</v>
      </c>
      <c r="V38" t="s">
        <v>68</v>
      </c>
      <c r="W38" t="s">
        <v>69</v>
      </c>
    </row>
    <row r="39" spans="1:27" x14ac:dyDescent="0.25">
      <c r="A39" s="27"/>
      <c r="B39" s="26"/>
      <c r="C39" s="26"/>
      <c r="D39" s="6">
        <f t="shared" si="5"/>
        <v>0</v>
      </c>
      <c r="F39" s="136"/>
      <c r="G39" s="136" t="s">
        <v>70</v>
      </c>
      <c r="H39" s="137">
        <v>2011</v>
      </c>
      <c r="I39" s="138"/>
      <c r="J39" s="138"/>
      <c r="K39" s="139" t="s">
        <v>71</v>
      </c>
      <c r="L39" t="s">
        <v>72</v>
      </c>
      <c r="M39" t="s">
        <v>73</v>
      </c>
      <c r="N39" t="s">
        <v>74</v>
      </c>
      <c r="O39" t="s">
        <v>75</v>
      </c>
      <c r="P39" t="s">
        <v>76</v>
      </c>
      <c r="Q39" t="s">
        <v>77</v>
      </c>
      <c r="R39" t="s">
        <v>78</v>
      </c>
      <c r="S39" t="s">
        <v>79</v>
      </c>
      <c r="T39" t="s">
        <v>80</v>
      </c>
      <c r="U39" t="s">
        <v>81</v>
      </c>
      <c r="V39" t="s">
        <v>82</v>
      </c>
      <c r="W39" t="s">
        <v>83</v>
      </c>
      <c r="X39" t="s">
        <v>231</v>
      </c>
    </row>
    <row r="40" spans="1:27" ht="15.75" thickBot="1" x14ac:dyDescent="0.3">
      <c r="A40" s="28"/>
      <c r="B40" s="29"/>
      <c r="C40" s="29"/>
      <c r="D40" s="9">
        <f t="shared" si="5"/>
        <v>0</v>
      </c>
      <c r="F40" s="136"/>
      <c r="G40" s="136"/>
      <c r="H40" s="137"/>
      <c r="I40" s="138"/>
      <c r="J40" s="138"/>
      <c r="K40" s="139" t="s">
        <v>84</v>
      </c>
      <c r="L40" t="s">
        <v>85</v>
      </c>
      <c r="M40" t="s">
        <v>86</v>
      </c>
      <c r="N40" t="s">
        <v>87</v>
      </c>
      <c r="O40" t="s">
        <v>88</v>
      </c>
      <c r="P40" t="s">
        <v>89</v>
      </c>
      <c r="Q40" t="s">
        <v>90</v>
      </c>
      <c r="R40" t="s">
        <v>232</v>
      </c>
      <c r="S40" t="s">
        <v>92</v>
      </c>
      <c r="T40" t="s">
        <v>233</v>
      </c>
      <c r="U40" t="s">
        <v>234</v>
      </c>
      <c r="V40" t="s">
        <v>94</v>
      </c>
      <c r="W40" t="s">
        <v>235</v>
      </c>
      <c r="X40" t="s">
        <v>236</v>
      </c>
      <c r="Z40" s="157" t="s">
        <v>237</v>
      </c>
    </row>
    <row r="41" spans="1:27" ht="16.5" thickTop="1" thickBot="1" x14ac:dyDescent="0.3">
      <c r="A41" s="1"/>
      <c r="B41" s="10">
        <f>SUM(B4:B40)</f>
        <v>9386518.932500001</v>
      </c>
      <c r="C41" s="171">
        <f>D41/B41</f>
        <v>0.22439581121312185</v>
      </c>
      <c r="D41" s="10">
        <f>SUM(D4:D40)</f>
        <v>2106295.5303256642</v>
      </c>
      <c r="O41" t="s">
        <v>97</v>
      </c>
      <c r="P41" t="s">
        <v>98</v>
      </c>
      <c r="W41" t="s">
        <v>238</v>
      </c>
      <c r="X41" t="s">
        <v>239</v>
      </c>
      <c r="Z41" s="157"/>
    </row>
    <row r="42" spans="1:27" x14ac:dyDescent="0.25">
      <c r="G42" t="s">
        <v>240</v>
      </c>
      <c r="K42">
        <v>1000</v>
      </c>
      <c r="L42" t="s">
        <v>102</v>
      </c>
      <c r="M42">
        <v>5.0999999999999997E-2</v>
      </c>
      <c r="N42" t="s">
        <v>103</v>
      </c>
      <c r="O42" t="s">
        <v>104</v>
      </c>
      <c r="P42">
        <v>51</v>
      </c>
      <c r="Q42" t="s">
        <v>105</v>
      </c>
      <c r="R42">
        <v>1E-3</v>
      </c>
      <c r="S42" t="s">
        <v>241</v>
      </c>
      <c r="T42">
        <v>2E-3</v>
      </c>
      <c r="U42" t="s">
        <v>242</v>
      </c>
      <c r="V42">
        <v>1</v>
      </c>
      <c r="W42">
        <v>5.1000000000000004E-2</v>
      </c>
      <c r="X42">
        <v>0.10200000000000001</v>
      </c>
      <c r="Z42" s="157"/>
    </row>
    <row r="43" spans="1:27" x14ac:dyDescent="0.25">
      <c r="G43" t="s">
        <v>107</v>
      </c>
      <c r="H43" t="s">
        <v>108</v>
      </c>
      <c r="I43" t="s">
        <v>109</v>
      </c>
      <c r="J43" t="s">
        <v>110</v>
      </c>
      <c r="Z43" s="157"/>
      <c r="AA43" t="s">
        <v>108</v>
      </c>
    </row>
    <row r="44" spans="1:27" x14ac:dyDescent="0.25">
      <c r="G44">
        <v>1</v>
      </c>
      <c r="H44" t="s">
        <v>29</v>
      </c>
      <c r="I44" t="s">
        <v>44</v>
      </c>
      <c r="J44">
        <v>0.15</v>
      </c>
      <c r="K44">
        <v>898632.6</v>
      </c>
      <c r="L44" t="s">
        <v>111</v>
      </c>
      <c r="M44">
        <v>17.024999999999999</v>
      </c>
      <c r="N44" t="s">
        <v>112</v>
      </c>
      <c r="O44" t="s">
        <v>104</v>
      </c>
      <c r="P44">
        <v>15299220.014999999</v>
      </c>
      <c r="Q44" t="s">
        <v>113</v>
      </c>
      <c r="R44">
        <v>1.0999999999999999E-2</v>
      </c>
      <c r="S44" t="s">
        <v>243</v>
      </c>
      <c r="T44">
        <v>1.6000000000000001E-3</v>
      </c>
      <c r="U44" t="s">
        <v>243</v>
      </c>
      <c r="V44">
        <v>1</v>
      </c>
      <c r="W44">
        <v>168291.42016499999</v>
      </c>
      <c r="X44">
        <v>24478.752023999998</v>
      </c>
      <c r="Z44" s="157">
        <v>11122.532950904999</v>
      </c>
      <c r="AA44" t="s">
        <v>29</v>
      </c>
    </row>
    <row r="45" spans="1:27" x14ac:dyDescent="0.25">
      <c r="G45">
        <v>2</v>
      </c>
      <c r="H45" t="s">
        <v>29</v>
      </c>
      <c r="I45" t="s">
        <v>115</v>
      </c>
      <c r="J45">
        <v>0.15</v>
      </c>
      <c r="K45">
        <v>2445</v>
      </c>
      <c r="L45" t="s">
        <v>116</v>
      </c>
      <c r="M45">
        <v>5.88</v>
      </c>
      <c r="N45" t="s">
        <v>117</v>
      </c>
      <c r="O45" t="s">
        <v>104</v>
      </c>
      <c r="P45">
        <v>14376.6</v>
      </c>
      <c r="Q45" t="s">
        <v>113</v>
      </c>
      <c r="R45">
        <v>3.0000000000000001E-3</v>
      </c>
      <c r="S45" t="s">
        <v>243</v>
      </c>
      <c r="T45">
        <v>5.9999999999999995E-4</v>
      </c>
      <c r="U45" t="s">
        <v>243</v>
      </c>
      <c r="V45">
        <v>1</v>
      </c>
      <c r="W45">
        <v>43.129800000000003</v>
      </c>
      <c r="X45">
        <v>8.6259599999999992</v>
      </c>
      <c r="Z45" s="157">
        <v>3.5797734000000001</v>
      </c>
      <c r="AA45" t="s">
        <v>29</v>
      </c>
    </row>
    <row r="46" spans="1:27" x14ac:dyDescent="0.25">
      <c r="G46">
        <v>3</v>
      </c>
      <c r="H46" t="s">
        <v>118</v>
      </c>
      <c r="I46" t="s">
        <v>46</v>
      </c>
      <c r="J46">
        <v>1</v>
      </c>
      <c r="K46">
        <v>101.43</v>
      </c>
      <c r="L46" t="s">
        <v>119</v>
      </c>
      <c r="M46">
        <v>1028</v>
      </c>
      <c r="N46" t="s">
        <v>120</v>
      </c>
      <c r="O46" t="s">
        <v>104</v>
      </c>
      <c r="P46">
        <v>104270.04000000001</v>
      </c>
      <c r="Q46" t="s">
        <v>113</v>
      </c>
      <c r="R46">
        <v>1E-3</v>
      </c>
      <c r="S46" t="s">
        <v>243</v>
      </c>
      <c r="T46">
        <v>1E-4</v>
      </c>
      <c r="U46" t="s">
        <v>243</v>
      </c>
      <c r="V46">
        <v>1</v>
      </c>
      <c r="W46">
        <v>104.27004000000001</v>
      </c>
      <c r="X46">
        <v>10.427004000000002</v>
      </c>
      <c r="Z46" s="157">
        <v>5.4220420800000007</v>
      </c>
      <c r="AA46" t="s">
        <v>118</v>
      </c>
    </row>
    <row r="47" spans="1:27" x14ac:dyDescent="0.25">
      <c r="G47">
        <v>4</v>
      </c>
      <c r="H47" t="s">
        <v>121</v>
      </c>
      <c r="I47" t="s">
        <v>46</v>
      </c>
      <c r="J47">
        <v>1</v>
      </c>
      <c r="K47">
        <v>6.056</v>
      </c>
      <c r="L47" t="s">
        <v>119</v>
      </c>
      <c r="M47">
        <v>1028</v>
      </c>
      <c r="N47" t="s">
        <v>120</v>
      </c>
      <c r="O47" t="s">
        <v>104</v>
      </c>
      <c r="P47">
        <v>6225.5680000000002</v>
      </c>
      <c r="Q47" t="s">
        <v>113</v>
      </c>
      <c r="R47">
        <v>1E-3</v>
      </c>
      <c r="S47" t="s">
        <v>243</v>
      </c>
      <c r="T47">
        <v>1E-4</v>
      </c>
      <c r="U47" t="s">
        <v>243</v>
      </c>
      <c r="V47">
        <v>1</v>
      </c>
      <c r="W47">
        <v>6.225568</v>
      </c>
      <c r="X47">
        <v>0.62255680000000002</v>
      </c>
      <c r="Z47" s="157">
        <v>0.32372953600000004</v>
      </c>
      <c r="AA47" t="s">
        <v>121</v>
      </c>
    </row>
    <row r="48" spans="1:27" x14ac:dyDescent="0.25">
      <c r="G48">
        <v>5</v>
      </c>
      <c r="H48" t="s">
        <v>32</v>
      </c>
      <c r="I48" t="s">
        <v>46</v>
      </c>
      <c r="J48">
        <v>1</v>
      </c>
      <c r="K48">
        <v>89.05</v>
      </c>
      <c r="L48" t="s">
        <v>119</v>
      </c>
      <c r="M48">
        <v>1028</v>
      </c>
      <c r="N48" t="s">
        <v>120</v>
      </c>
      <c r="O48" t="s">
        <v>104</v>
      </c>
      <c r="P48">
        <v>91543.4</v>
      </c>
      <c r="Q48" t="s">
        <v>113</v>
      </c>
      <c r="R48">
        <v>1E-3</v>
      </c>
      <c r="S48" t="s">
        <v>243</v>
      </c>
      <c r="T48">
        <v>1E-4</v>
      </c>
      <c r="U48" t="s">
        <v>243</v>
      </c>
      <c r="V48">
        <v>1</v>
      </c>
      <c r="W48">
        <v>91.543399999999991</v>
      </c>
      <c r="X48">
        <v>9.1543399999999995</v>
      </c>
      <c r="Z48" s="157">
        <v>4.7602567999999996</v>
      </c>
      <c r="AA48" t="s">
        <v>32</v>
      </c>
    </row>
    <row r="49" spans="7:28" x14ac:dyDescent="0.25">
      <c r="G49">
        <v>6</v>
      </c>
      <c r="H49" t="s">
        <v>33</v>
      </c>
      <c r="I49" t="s">
        <v>46</v>
      </c>
      <c r="J49">
        <v>1</v>
      </c>
      <c r="K49">
        <v>4827.5807392996103</v>
      </c>
      <c r="L49" t="s">
        <v>119</v>
      </c>
      <c r="M49">
        <v>1028</v>
      </c>
      <c r="N49" t="s">
        <v>120</v>
      </c>
      <c r="O49" t="s">
        <v>104</v>
      </c>
      <c r="P49">
        <v>4962752.9999999991</v>
      </c>
      <c r="Q49" t="s">
        <v>113</v>
      </c>
      <c r="R49">
        <v>1E-3</v>
      </c>
      <c r="S49" t="s">
        <v>243</v>
      </c>
      <c r="T49">
        <v>1E-4</v>
      </c>
      <c r="U49" t="s">
        <v>243</v>
      </c>
      <c r="V49">
        <v>1</v>
      </c>
      <c r="W49">
        <v>4962.7529999999988</v>
      </c>
      <c r="X49">
        <v>496.27529999999996</v>
      </c>
      <c r="Z49" s="157">
        <v>258.06315599999994</v>
      </c>
      <c r="AA49" t="s">
        <v>33</v>
      </c>
    </row>
    <row r="50" spans="7:28" x14ac:dyDescent="0.25">
      <c r="G50">
        <v>7</v>
      </c>
      <c r="H50" t="s">
        <v>34</v>
      </c>
      <c r="I50" t="s">
        <v>46</v>
      </c>
      <c r="J50">
        <v>1</v>
      </c>
      <c r="K50">
        <v>22.08</v>
      </c>
      <c r="L50" t="s">
        <v>119</v>
      </c>
      <c r="M50">
        <v>1028</v>
      </c>
      <c r="N50" t="s">
        <v>120</v>
      </c>
      <c r="O50" t="s">
        <v>104</v>
      </c>
      <c r="P50">
        <v>22698.239999999998</v>
      </c>
      <c r="Q50" t="s">
        <v>113</v>
      </c>
      <c r="R50">
        <v>1E-3</v>
      </c>
      <c r="S50" t="s">
        <v>243</v>
      </c>
      <c r="T50">
        <v>1E-4</v>
      </c>
      <c r="U50" t="s">
        <v>243</v>
      </c>
      <c r="V50">
        <v>1</v>
      </c>
      <c r="W50">
        <v>22.698239999999998</v>
      </c>
      <c r="X50">
        <v>2.2698239999999998</v>
      </c>
      <c r="Z50" s="157">
        <v>1.1803084799999999</v>
      </c>
      <c r="AA50" t="s">
        <v>34</v>
      </c>
    </row>
    <row r="53" spans="7:28" x14ac:dyDescent="0.25">
      <c r="Y53" t="s">
        <v>255</v>
      </c>
      <c r="Z53" t="s">
        <v>256</v>
      </c>
      <c r="AA53" t="s">
        <v>257</v>
      </c>
    </row>
    <row r="54" spans="7:28" x14ac:dyDescent="0.25">
      <c r="X54">
        <v>2013</v>
      </c>
      <c r="Y54" s="153">
        <v>628469.4</v>
      </c>
      <c r="Z54" s="153">
        <v>613.61270000000002</v>
      </c>
      <c r="AA54">
        <f>Z54/Y54</f>
        <v>9.7636050378904684E-4</v>
      </c>
    </row>
    <row r="55" spans="7:28" x14ac:dyDescent="0.25">
      <c r="X55">
        <v>2014</v>
      </c>
      <c r="Y55" s="153">
        <v>459808.25</v>
      </c>
      <c r="Z55" s="153">
        <v>613.61270000000002</v>
      </c>
      <c r="AA55">
        <f t="shared" ref="AA55:AA61" si="10">Z55/Y55</f>
        <v>1.3344969343199041E-3</v>
      </c>
    </row>
    <row r="56" spans="7:28" x14ac:dyDescent="0.25">
      <c r="X56">
        <v>2015</v>
      </c>
      <c r="Y56" s="153">
        <v>584065.37</v>
      </c>
      <c r="Z56" s="153">
        <v>612.41890000000001</v>
      </c>
      <c r="AA56">
        <f t="shared" si="10"/>
        <v>1.0485451311725603E-3</v>
      </c>
    </row>
    <row r="57" spans="7:28" x14ac:dyDescent="0.25">
      <c r="X57">
        <v>2016</v>
      </c>
      <c r="Y57" s="153">
        <v>501464.96</v>
      </c>
      <c r="Z57" s="153">
        <v>483.63589999999999</v>
      </c>
      <c r="AA57">
        <f t="shared" si="10"/>
        <v>9.6444605022851437E-4</v>
      </c>
    </row>
    <row r="58" spans="7:28" x14ac:dyDescent="0.25">
      <c r="X58">
        <v>2017</v>
      </c>
      <c r="Y58" s="153">
        <v>562897</v>
      </c>
      <c r="Z58" s="153">
        <v>492.53500000000003</v>
      </c>
      <c r="AA58">
        <f t="shared" si="10"/>
        <v>8.750002220654934E-4</v>
      </c>
    </row>
    <row r="59" spans="7:28" x14ac:dyDescent="0.25">
      <c r="X59">
        <v>2018</v>
      </c>
      <c r="Y59" s="153">
        <v>606870.49</v>
      </c>
      <c r="Z59" s="153">
        <v>613.47940000000006</v>
      </c>
      <c r="AA59">
        <f t="shared" si="10"/>
        <v>1.0108901489014569E-3</v>
      </c>
    </row>
    <row r="60" spans="7:28" x14ac:dyDescent="0.25">
      <c r="X60">
        <v>2019</v>
      </c>
      <c r="Y60" s="153">
        <v>643487.30000000005</v>
      </c>
      <c r="Z60" s="153">
        <v>650.48789999999997</v>
      </c>
      <c r="AA60">
        <f t="shared" si="10"/>
        <v>1.010879157988044E-3</v>
      </c>
    </row>
    <row r="61" spans="7:28" x14ac:dyDescent="0.25">
      <c r="X61">
        <v>2020</v>
      </c>
      <c r="Y61" s="153">
        <v>682805.15</v>
      </c>
      <c r="Z61" s="153">
        <v>690.2364</v>
      </c>
      <c r="AA61">
        <f t="shared" si="10"/>
        <v>1.0108834123468459E-3</v>
      </c>
    </row>
    <row r="62" spans="7:28" x14ac:dyDescent="0.25">
      <c r="AA62">
        <f>AVERAGE(AA54:AA61)</f>
        <v>1.0289376951014833E-3</v>
      </c>
      <c r="AB62" t="s">
        <v>258</v>
      </c>
    </row>
    <row r="63" spans="7:28" x14ac:dyDescent="0.25">
      <c r="AA63" s="150">
        <f>U4*AA62</f>
        <v>327.77633296931367</v>
      </c>
      <c r="AB63" t="s">
        <v>259</v>
      </c>
    </row>
  </sheetData>
  <mergeCells count="4">
    <mergeCell ref="K19:L19"/>
    <mergeCell ref="M19:Q19"/>
    <mergeCell ref="R19:S19"/>
    <mergeCell ref="V19:W1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3"/>
  <sheetViews>
    <sheetView topLeftCell="A34" workbookViewId="0">
      <selection activeCell="G66" sqref="G66"/>
    </sheetView>
  </sheetViews>
  <sheetFormatPr defaultRowHeight="15" x14ac:dyDescent="0.25"/>
  <cols>
    <col min="1" max="1" width="48.5703125" bestFit="1" customWidth="1"/>
    <col min="2" max="2" width="11.5703125" customWidth="1"/>
    <col min="4" max="4" width="37" customWidth="1"/>
    <col min="5" max="5" width="10.7109375" customWidth="1"/>
    <col min="6" max="6" width="16" bestFit="1" customWidth="1"/>
    <col min="7" max="7" width="16" style="153" bestFit="1" customWidth="1"/>
    <col min="8" max="8" width="11.5703125" bestFit="1" customWidth="1"/>
  </cols>
  <sheetData>
    <row r="1" spans="1:12" ht="16.5" thickBot="1" x14ac:dyDescent="0.3">
      <c r="A1" s="148" t="s">
        <v>224</v>
      </c>
      <c r="B1" s="149">
        <v>2011</v>
      </c>
    </row>
    <row r="2" spans="1:12" ht="18" x14ac:dyDescent="0.35">
      <c r="B2" s="169" t="s">
        <v>252</v>
      </c>
      <c r="C2" s="169"/>
      <c r="D2" s="170"/>
      <c r="E2" s="158">
        <v>0.437</v>
      </c>
      <c r="F2" t="s">
        <v>244</v>
      </c>
    </row>
    <row r="3" spans="1:12" ht="18" x14ac:dyDescent="0.35">
      <c r="B3" s="169" t="s">
        <v>225</v>
      </c>
      <c r="C3" s="169"/>
      <c r="D3" s="169"/>
      <c r="E3" s="150">
        <f>'Known Resources'!C41</f>
        <v>0.22439581121312185</v>
      </c>
      <c r="F3" t="s">
        <v>244</v>
      </c>
    </row>
    <row r="4" spans="1:12" ht="45" x14ac:dyDescent="0.25">
      <c r="A4" s="146" t="s">
        <v>122</v>
      </c>
      <c r="B4" s="146" t="s">
        <v>123</v>
      </c>
      <c r="C4" s="146"/>
      <c r="D4" s="146" t="s">
        <v>122</v>
      </c>
      <c r="E4" s="146" t="s">
        <v>212</v>
      </c>
      <c r="F4" s="146" t="s">
        <v>223</v>
      </c>
      <c r="G4" s="154" t="s">
        <v>253</v>
      </c>
      <c r="H4" s="147"/>
    </row>
    <row r="5" spans="1:12" x14ac:dyDescent="0.25">
      <c r="A5" s="136" t="s">
        <v>124</v>
      </c>
      <c r="B5" s="139">
        <v>5400</v>
      </c>
      <c r="D5" s="143" t="s">
        <v>124</v>
      </c>
      <c r="E5" s="144">
        <v>12600</v>
      </c>
      <c r="F5" s="145">
        <f>B5-E5</f>
        <v>-7200</v>
      </c>
      <c r="G5" s="153">
        <f>IF(F5&gt;0,F5*$E$2,F5*$E$3)</f>
        <v>-1615.6498407344773</v>
      </c>
    </row>
    <row r="6" spans="1:12" x14ac:dyDescent="0.25">
      <c r="A6" s="136" t="s">
        <v>125</v>
      </c>
      <c r="B6" s="139">
        <v>1200</v>
      </c>
      <c r="D6" s="143" t="s">
        <v>125</v>
      </c>
      <c r="E6" s="144">
        <v>2000</v>
      </c>
      <c r="F6" s="145">
        <f t="shared" ref="F6:F62" si="0">B6-E6</f>
        <v>-800</v>
      </c>
      <c r="G6" s="153">
        <f t="shared" ref="G6:G62" si="1">IF(F6&gt;0,F6*$E$2,F6*$E$3)</f>
        <v>-179.51664897049747</v>
      </c>
    </row>
    <row r="7" spans="1:12" x14ac:dyDescent="0.25">
      <c r="A7" s="136" t="s">
        <v>126</v>
      </c>
      <c r="B7" s="139">
        <v>2600</v>
      </c>
      <c r="D7" s="143" t="s">
        <v>126</v>
      </c>
      <c r="E7" s="144">
        <v>2000</v>
      </c>
      <c r="F7" s="145">
        <f t="shared" si="0"/>
        <v>600</v>
      </c>
      <c r="G7" s="153">
        <f t="shared" si="1"/>
        <v>262.2</v>
      </c>
    </row>
    <row r="8" spans="1:12" x14ac:dyDescent="0.25">
      <c r="A8" s="136" t="s">
        <v>213</v>
      </c>
      <c r="B8" s="139">
        <v>577581</v>
      </c>
      <c r="D8" s="143" t="s">
        <v>213</v>
      </c>
      <c r="E8" s="144">
        <v>103184</v>
      </c>
      <c r="F8" s="145">
        <f t="shared" si="0"/>
        <v>474397</v>
      </c>
      <c r="G8" s="153">
        <f t="shared" si="1"/>
        <v>207311.489</v>
      </c>
      <c r="L8" s="145"/>
    </row>
    <row r="9" spans="1:12" x14ac:dyDescent="0.25">
      <c r="A9" s="136" t="s">
        <v>127</v>
      </c>
      <c r="B9" s="139">
        <v>119792</v>
      </c>
      <c r="D9" s="143" t="s">
        <v>127</v>
      </c>
      <c r="E9" s="144">
        <v>163879</v>
      </c>
      <c r="F9" s="145">
        <f t="shared" si="0"/>
        <v>-44087</v>
      </c>
      <c r="G9" s="153">
        <f t="shared" si="1"/>
        <v>-9892.9381289529028</v>
      </c>
    </row>
    <row r="10" spans="1:12" x14ac:dyDescent="0.25">
      <c r="A10" s="136" t="s">
        <v>128</v>
      </c>
      <c r="B10" s="139">
        <v>800</v>
      </c>
      <c r="D10" s="143" t="s">
        <v>128</v>
      </c>
      <c r="E10" s="144">
        <v>1200</v>
      </c>
      <c r="F10" s="145">
        <f t="shared" si="0"/>
        <v>-400</v>
      </c>
      <c r="G10" s="153">
        <f t="shared" si="1"/>
        <v>-89.758324485248735</v>
      </c>
    </row>
    <row r="11" spans="1:12" x14ac:dyDescent="0.25">
      <c r="A11" s="136" t="s">
        <v>129</v>
      </c>
      <c r="B11" s="139">
        <v>85388</v>
      </c>
      <c r="D11" s="143" t="s">
        <v>129</v>
      </c>
      <c r="E11" s="144">
        <v>101108</v>
      </c>
      <c r="F11" s="145">
        <f t="shared" si="0"/>
        <v>-15720</v>
      </c>
      <c r="G11" s="153">
        <f t="shared" si="1"/>
        <v>-3527.5021522702755</v>
      </c>
    </row>
    <row r="12" spans="1:12" x14ac:dyDescent="0.25">
      <c r="A12" s="136" t="s">
        <v>130</v>
      </c>
      <c r="B12" s="139">
        <v>3814</v>
      </c>
      <c r="D12" s="143" t="s">
        <v>130</v>
      </c>
      <c r="E12" s="144">
        <v>3200</v>
      </c>
      <c r="F12" s="145">
        <f t="shared" si="0"/>
        <v>614</v>
      </c>
      <c r="G12" s="153">
        <f t="shared" si="1"/>
        <v>268.31799999999998</v>
      </c>
    </row>
    <row r="13" spans="1:12" x14ac:dyDescent="0.25">
      <c r="A13" s="136" t="s">
        <v>131</v>
      </c>
      <c r="B13" s="139">
        <v>142125</v>
      </c>
      <c r="D13" s="143" t="s">
        <v>131</v>
      </c>
      <c r="E13" s="144">
        <v>280649</v>
      </c>
      <c r="F13" s="145">
        <f t="shared" si="0"/>
        <v>-138524</v>
      </c>
      <c r="G13" s="153">
        <f t="shared" si="1"/>
        <v>-31084.205352486493</v>
      </c>
    </row>
    <row r="14" spans="1:12" x14ac:dyDescent="0.25">
      <c r="A14" s="136" t="s">
        <v>132</v>
      </c>
      <c r="B14" s="139">
        <v>2450</v>
      </c>
      <c r="D14" s="143" t="s">
        <v>132</v>
      </c>
      <c r="E14" s="144">
        <v>3505</v>
      </c>
      <c r="F14" s="145">
        <f t="shared" si="0"/>
        <v>-1055</v>
      </c>
      <c r="G14" s="153">
        <f t="shared" si="1"/>
        <v>-236.73758082984355</v>
      </c>
    </row>
    <row r="15" spans="1:12" x14ac:dyDescent="0.25">
      <c r="A15" s="136" t="s">
        <v>133</v>
      </c>
      <c r="B15" s="139">
        <v>3805</v>
      </c>
      <c r="D15" s="143" t="s">
        <v>133</v>
      </c>
      <c r="E15" s="144">
        <v>1407</v>
      </c>
      <c r="F15" s="145">
        <f t="shared" si="0"/>
        <v>2398</v>
      </c>
      <c r="G15" s="153">
        <f t="shared" si="1"/>
        <v>1047.9259999999999</v>
      </c>
    </row>
    <row r="16" spans="1:12" x14ac:dyDescent="0.25">
      <c r="A16" s="143" t="s">
        <v>214</v>
      </c>
      <c r="B16" s="139">
        <v>0</v>
      </c>
      <c r="D16" s="143" t="s">
        <v>214</v>
      </c>
      <c r="E16" s="144">
        <v>10</v>
      </c>
      <c r="F16" s="145">
        <f t="shared" si="0"/>
        <v>-10</v>
      </c>
      <c r="G16" s="153">
        <f t="shared" si="1"/>
        <v>-2.2439581121312187</v>
      </c>
    </row>
    <row r="17" spans="1:7" x14ac:dyDescent="0.25">
      <c r="A17" s="136" t="s">
        <v>134</v>
      </c>
      <c r="B17" s="139">
        <v>16600</v>
      </c>
      <c r="D17" s="143" t="s">
        <v>134</v>
      </c>
      <c r="E17" s="144">
        <v>50250</v>
      </c>
      <c r="F17" s="145">
        <f t="shared" si="0"/>
        <v>-33650</v>
      </c>
      <c r="G17" s="153">
        <f t="shared" si="1"/>
        <v>-7550.9190473215504</v>
      </c>
    </row>
    <row r="18" spans="1:7" x14ac:dyDescent="0.25">
      <c r="A18" s="136" t="s">
        <v>135</v>
      </c>
      <c r="B18" s="139">
        <v>30957</v>
      </c>
      <c r="D18" s="143" t="s">
        <v>215</v>
      </c>
      <c r="E18" s="144">
        <v>132259</v>
      </c>
      <c r="F18" s="145">
        <f t="shared" si="0"/>
        <v>-101302</v>
      </c>
      <c r="G18" s="153">
        <f t="shared" si="1"/>
        <v>-22731.744467511671</v>
      </c>
    </row>
    <row r="19" spans="1:7" x14ac:dyDescent="0.25">
      <c r="A19" s="136" t="s">
        <v>136</v>
      </c>
      <c r="B19" s="139">
        <v>20469</v>
      </c>
      <c r="D19" s="143" t="s">
        <v>136</v>
      </c>
      <c r="E19" s="144">
        <v>15206</v>
      </c>
      <c r="F19" s="145">
        <f t="shared" si="0"/>
        <v>5263</v>
      </c>
      <c r="G19" s="153">
        <f t="shared" si="1"/>
        <v>2299.931</v>
      </c>
    </row>
    <row r="20" spans="1:7" x14ac:dyDescent="0.25">
      <c r="A20" s="136" t="s">
        <v>137</v>
      </c>
      <c r="B20" s="139">
        <v>7325</v>
      </c>
      <c r="D20" s="143" t="s">
        <v>137</v>
      </c>
      <c r="E20" s="144">
        <v>11230</v>
      </c>
      <c r="F20" s="145">
        <f t="shared" si="0"/>
        <v>-3905</v>
      </c>
      <c r="G20" s="153">
        <f t="shared" si="1"/>
        <v>-876.26564278724084</v>
      </c>
    </row>
    <row r="21" spans="1:7" x14ac:dyDescent="0.25">
      <c r="A21" s="136" t="s">
        <v>138</v>
      </c>
      <c r="B21" s="139">
        <v>10409</v>
      </c>
      <c r="D21" s="143" t="s">
        <v>138</v>
      </c>
      <c r="E21" s="144">
        <v>14977</v>
      </c>
      <c r="F21" s="145">
        <f t="shared" si="0"/>
        <v>-4568</v>
      </c>
      <c r="G21" s="153">
        <f t="shared" si="1"/>
        <v>-1025.0400656215406</v>
      </c>
    </row>
    <row r="22" spans="1:7" x14ac:dyDescent="0.25">
      <c r="A22" s="136" t="s">
        <v>139</v>
      </c>
      <c r="B22" s="139">
        <v>23024</v>
      </c>
      <c r="D22" s="143" t="s">
        <v>139</v>
      </c>
      <c r="E22" s="144">
        <v>16749</v>
      </c>
      <c r="F22" s="145">
        <f t="shared" si="0"/>
        <v>6275</v>
      </c>
      <c r="G22" s="153">
        <f t="shared" si="1"/>
        <v>2742.1750000000002</v>
      </c>
    </row>
    <row r="23" spans="1:7" x14ac:dyDescent="0.25">
      <c r="A23" s="136" t="s">
        <v>140</v>
      </c>
      <c r="B23" s="139">
        <v>102225</v>
      </c>
      <c r="D23" s="136" t="s">
        <v>140</v>
      </c>
      <c r="E23" s="144">
        <v>0</v>
      </c>
      <c r="F23" s="145">
        <f t="shared" si="0"/>
        <v>102225</v>
      </c>
      <c r="G23" s="153">
        <f t="shared" si="1"/>
        <v>44672.324999999997</v>
      </c>
    </row>
    <row r="24" spans="1:7" x14ac:dyDescent="0.25">
      <c r="A24" s="136" t="s">
        <v>141</v>
      </c>
      <c r="B24" s="139">
        <v>408890</v>
      </c>
      <c r="D24" s="143" t="s">
        <v>141</v>
      </c>
      <c r="E24" s="144">
        <v>427490</v>
      </c>
      <c r="F24" s="145">
        <f t="shared" si="0"/>
        <v>-18600</v>
      </c>
      <c r="G24" s="153">
        <f t="shared" si="1"/>
        <v>-4173.7620885640663</v>
      </c>
    </row>
    <row r="25" spans="1:7" x14ac:dyDescent="0.25">
      <c r="A25" s="136" t="s">
        <v>142</v>
      </c>
      <c r="B25" s="139">
        <v>4340</v>
      </c>
      <c r="D25" s="143" t="s">
        <v>142</v>
      </c>
      <c r="E25" s="144">
        <v>12709</v>
      </c>
      <c r="F25" s="145">
        <f t="shared" si="0"/>
        <v>-8369</v>
      </c>
      <c r="G25" s="153">
        <f t="shared" si="1"/>
        <v>-1877.9685440426167</v>
      </c>
    </row>
    <row r="26" spans="1:7" x14ac:dyDescent="0.25">
      <c r="A26" s="136" t="s">
        <v>143</v>
      </c>
      <c r="B26" s="139">
        <v>94</v>
      </c>
      <c r="D26" s="136" t="s">
        <v>143</v>
      </c>
      <c r="E26" s="144">
        <v>0</v>
      </c>
      <c r="F26" s="145">
        <f t="shared" si="0"/>
        <v>94</v>
      </c>
      <c r="G26" s="153">
        <f t="shared" si="1"/>
        <v>41.078000000000003</v>
      </c>
    </row>
    <row r="27" spans="1:7" x14ac:dyDescent="0.25">
      <c r="A27" s="143" t="s">
        <v>216</v>
      </c>
      <c r="B27" s="139">
        <v>0</v>
      </c>
      <c r="D27" s="143" t="s">
        <v>216</v>
      </c>
      <c r="E27" s="144">
        <v>1600</v>
      </c>
      <c r="F27" s="145">
        <f t="shared" si="0"/>
        <v>-1600</v>
      </c>
      <c r="G27" s="153">
        <f t="shared" si="1"/>
        <v>-359.03329794099494</v>
      </c>
    </row>
    <row r="28" spans="1:7" x14ac:dyDescent="0.25">
      <c r="A28" s="136" t="s">
        <v>144</v>
      </c>
      <c r="B28" s="139">
        <v>20756</v>
      </c>
      <c r="D28" s="143" t="s">
        <v>217</v>
      </c>
      <c r="E28" s="144">
        <v>44119</v>
      </c>
      <c r="F28" s="145">
        <f t="shared" si="0"/>
        <v>-23363</v>
      </c>
      <c r="G28" s="153">
        <f t="shared" si="1"/>
        <v>-5242.5593373721658</v>
      </c>
    </row>
    <row r="29" spans="1:7" x14ac:dyDescent="0.25">
      <c r="A29" s="136" t="s">
        <v>145</v>
      </c>
      <c r="B29" s="139">
        <v>43258</v>
      </c>
      <c r="D29" s="143" t="s">
        <v>145</v>
      </c>
      <c r="E29" s="144">
        <v>138335</v>
      </c>
      <c r="F29" s="145">
        <f t="shared" si="0"/>
        <v>-95077</v>
      </c>
      <c r="G29" s="153">
        <f t="shared" si="1"/>
        <v>-21334.880542709987</v>
      </c>
    </row>
    <row r="30" spans="1:7" x14ac:dyDescent="0.25">
      <c r="A30" s="143" t="s">
        <v>218</v>
      </c>
      <c r="B30" s="139">
        <v>0</v>
      </c>
      <c r="D30" s="143" t="s">
        <v>218</v>
      </c>
      <c r="E30" s="144">
        <v>14018</v>
      </c>
      <c r="F30" s="145">
        <f t="shared" si="0"/>
        <v>-14018</v>
      </c>
      <c r="G30" s="153">
        <f t="shared" si="1"/>
        <v>-3145.5804815855422</v>
      </c>
    </row>
    <row r="31" spans="1:7" x14ac:dyDescent="0.25">
      <c r="A31" s="136" t="s">
        <v>146</v>
      </c>
      <c r="B31" s="139">
        <v>240110</v>
      </c>
      <c r="D31" s="143" t="s">
        <v>146</v>
      </c>
      <c r="E31" s="144">
        <v>224401</v>
      </c>
      <c r="F31" s="145">
        <f t="shared" si="0"/>
        <v>15709</v>
      </c>
      <c r="G31" s="153">
        <f t="shared" si="1"/>
        <v>6864.8329999999996</v>
      </c>
    </row>
    <row r="32" spans="1:7" x14ac:dyDescent="0.25">
      <c r="A32" s="136" t="s">
        <v>147</v>
      </c>
      <c r="B32" s="139">
        <v>226</v>
      </c>
      <c r="D32" s="143" t="s">
        <v>219</v>
      </c>
      <c r="E32" s="144">
        <v>15193</v>
      </c>
      <c r="F32" s="145">
        <f t="shared" si="0"/>
        <v>-14967</v>
      </c>
      <c r="G32" s="153">
        <f t="shared" si="1"/>
        <v>-3358.5321064267946</v>
      </c>
    </row>
    <row r="33" spans="1:7" x14ac:dyDescent="0.25">
      <c r="A33" s="136" t="s">
        <v>148</v>
      </c>
      <c r="B33" s="139">
        <v>800</v>
      </c>
      <c r="D33" s="136" t="s">
        <v>148</v>
      </c>
      <c r="E33" s="144">
        <v>0</v>
      </c>
      <c r="F33" s="145">
        <f t="shared" si="0"/>
        <v>800</v>
      </c>
      <c r="G33" s="153">
        <f t="shared" si="1"/>
        <v>349.6</v>
      </c>
    </row>
    <row r="34" spans="1:7" x14ac:dyDescent="0.25">
      <c r="A34" s="136" t="s">
        <v>149</v>
      </c>
      <c r="B34" s="139">
        <v>47</v>
      </c>
      <c r="D34" s="143" t="s">
        <v>149</v>
      </c>
      <c r="E34" s="144">
        <v>1400</v>
      </c>
      <c r="F34" s="145">
        <f t="shared" si="0"/>
        <v>-1353</v>
      </c>
      <c r="G34" s="153">
        <f t="shared" si="1"/>
        <v>-303.60753257135389</v>
      </c>
    </row>
    <row r="35" spans="1:7" x14ac:dyDescent="0.25">
      <c r="A35" s="136" t="s">
        <v>150</v>
      </c>
      <c r="B35" s="139">
        <v>6209</v>
      </c>
      <c r="D35" s="143" t="s">
        <v>150</v>
      </c>
      <c r="E35" s="144">
        <v>94549</v>
      </c>
      <c r="F35" s="145">
        <f t="shared" si="0"/>
        <v>-88340</v>
      </c>
      <c r="G35" s="153">
        <f t="shared" si="1"/>
        <v>-19823.125962567185</v>
      </c>
    </row>
    <row r="36" spans="1:7" x14ac:dyDescent="0.25">
      <c r="A36" s="136" t="s">
        <v>151</v>
      </c>
      <c r="B36" s="139">
        <v>10383</v>
      </c>
      <c r="D36" s="143" t="s">
        <v>151</v>
      </c>
      <c r="E36" s="144">
        <v>1607</v>
      </c>
      <c r="F36" s="145">
        <f t="shared" si="0"/>
        <v>8776</v>
      </c>
      <c r="G36" s="153">
        <f t="shared" si="1"/>
        <v>3835.1120000000001</v>
      </c>
    </row>
    <row r="37" spans="1:7" x14ac:dyDescent="0.25">
      <c r="A37" s="136" t="s">
        <v>152</v>
      </c>
      <c r="B37" s="139">
        <v>51282</v>
      </c>
      <c r="D37" s="143" t="s">
        <v>152</v>
      </c>
      <c r="E37" s="144">
        <v>140439</v>
      </c>
      <c r="F37" s="145">
        <f t="shared" si="0"/>
        <v>-89157</v>
      </c>
      <c r="G37" s="153">
        <f t="shared" si="1"/>
        <v>-20006.457340328307</v>
      </c>
    </row>
    <row r="38" spans="1:7" x14ac:dyDescent="0.25">
      <c r="A38" s="136" t="s">
        <v>153</v>
      </c>
      <c r="B38" s="139">
        <v>72854</v>
      </c>
      <c r="D38" s="143" t="s">
        <v>153</v>
      </c>
      <c r="E38" s="144">
        <v>63978</v>
      </c>
      <c r="F38" s="145">
        <f t="shared" si="0"/>
        <v>8876</v>
      </c>
      <c r="G38" s="153">
        <f t="shared" si="1"/>
        <v>3878.8119999999999</v>
      </c>
    </row>
    <row r="39" spans="1:7" x14ac:dyDescent="0.25">
      <c r="A39" s="136" t="s">
        <v>154</v>
      </c>
      <c r="B39" s="139">
        <v>145238</v>
      </c>
      <c r="D39" s="143" t="s">
        <v>154</v>
      </c>
      <c r="E39" s="144">
        <v>140882</v>
      </c>
      <c r="F39" s="145">
        <f t="shared" si="0"/>
        <v>4356</v>
      </c>
      <c r="G39" s="153">
        <f t="shared" si="1"/>
        <v>1903.5719999999999</v>
      </c>
    </row>
    <row r="40" spans="1:7" x14ac:dyDescent="0.25">
      <c r="A40" s="136" t="s">
        <v>155</v>
      </c>
      <c r="B40" s="139">
        <v>200</v>
      </c>
      <c r="D40" s="143" t="s">
        <v>155</v>
      </c>
      <c r="E40" s="144">
        <v>5400</v>
      </c>
      <c r="F40" s="145">
        <f t="shared" si="0"/>
        <v>-5200</v>
      </c>
      <c r="G40" s="153">
        <f t="shared" si="1"/>
        <v>-1166.8582183082337</v>
      </c>
    </row>
    <row r="41" spans="1:7" x14ac:dyDescent="0.25">
      <c r="A41" s="136" t="s">
        <v>156</v>
      </c>
      <c r="B41" s="139">
        <v>64192</v>
      </c>
      <c r="D41" s="143" t="s">
        <v>156</v>
      </c>
      <c r="E41" s="144">
        <v>6367</v>
      </c>
      <c r="F41" s="145">
        <f t="shared" si="0"/>
        <v>57825</v>
      </c>
      <c r="G41" s="153">
        <f t="shared" si="1"/>
        <v>25269.525000000001</v>
      </c>
    </row>
    <row r="42" spans="1:7" x14ac:dyDescent="0.25">
      <c r="A42" s="136" t="s">
        <v>157</v>
      </c>
      <c r="B42" s="139">
        <v>99000</v>
      </c>
      <c r="D42" s="143" t="s">
        <v>157</v>
      </c>
      <c r="E42" s="144">
        <v>1360</v>
      </c>
      <c r="F42" s="145">
        <f t="shared" si="0"/>
        <v>97640</v>
      </c>
      <c r="G42" s="153">
        <f t="shared" si="1"/>
        <v>42668.68</v>
      </c>
    </row>
    <row r="43" spans="1:7" x14ac:dyDescent="0.25">
      <c r="A43" s="136" t="s">
        <v>158</v>
      </c>
      <c r="B43" s="139">
        <v>131525</v>
      </c>
      <c r="D43" s="143" t="s">
        <v>158</v>
      </c>
      <c r="E43" s="144">
        <v>57173</v>
      </c>
      <c r="F43" s="145">
        <f t="shared" si="0"/>
        <v>74352</v>
      </c>
      <c r="G43" s="153">
        <f t="shared" si="1"/>
        <v>32491.824000000001</v>
      </c>
    </row>
    <row r="44" spans="1:7" x14ac:dyDescent="0.25">
      <c r="A44" s="136" t="s">
        <v>159</v>
      </c>
      <c r="B44" s="139">
        <v>20395</v>
      </c>
      <c r="D44" s="143" t="s">
        <v>159</v>
      </c>
      <c r="E44" s="144">
        <v>13415</v>
      </c>
      <c r="F44" s="145">
        <f t="shared" si="0"/>
        <v>6980</v>
      </c>
      <c r="G44" s="153">
        <f t="shared" si="1"/>
        <v>3050.26</v>
      </c>
    </row>
    <row r="45" spans="1:7" x14ac:dyDescent="0.25">
      <c r="A45" s="136" t="s">
        <v>160</v>
      </c>
      <c r="B45" s="139">
        <v>30733</v>
      </c>
      <c r="D45" s="143" t="s">
        <v>160</v>
      </c>
      <c r="E45" s="144">
        <v>117376</v>
      </c>
      <c r="F45" s="145">
        <f t="shared" si="0"/>
        <v>-86643</v>
      </c>
      <c r="G45" s="153">
        <f t="shared" si="1"/>
        <v>-19442.326270938516</v>
      </c>
    </row>
    <row r="46" spans="1:7" x14ac:dyDescent="0.25">
      <c r="A46" s="136" t="s">
        <v>161</v>
      </c>
      <c r="B46" s="139">
        <v>40264</v>
      </c>
      <c r="D46" s="143" t="s">
        <v>161</v>
      </c>
      <c r="E46" s="144">
        <v>46504</v>
      </c>
      <c r="F46" s="145">
        <f t="shared" si="0"/>
        <v>-6240</v>
      </c>
      <c r="G46" s="153">
        <f t="shared" si="1"/>
        <v>-1400.2298619698804</v>
      </c>
    </row>
    <row r="47" spans="1:7" x14ac:dyDescent="0.25">
      <c r="A47" s="143" t="s">
        <v>220</v>
      </c>
      <c r="B47" s="139">
        <v>0</v>
      </c>
      <c r="D47" s="143" t="s">
        <v>220</v>
      </c>
      <c r="E47" s="144">
        <v>-1</v>
      </c>
      <c r="F47" s="145">
        <f t="shared" si="0"/>
        <v>1</v>
      </c>
      <c r="G47" s="153">
        <f t="shared" si="1"/>
        <v>0.437</v>
      </c>
    </row>
    <row r="48" spans="1:7" x14ac:dyDescent="0.25">
      <c r="A48" s="136" t="s">
        <v>163</v>
      </c>
      <c r="B48" s="139">
        <v>28</v>
      </c>
      <c r="D48" s="143" t="s">
        <v>163</v>
      </c>
      <c r="E48" s="144">
        <v>12199</v>
      </c>
      <c r="F48" s="145">
        <f t="shared" si="0"/>
        <v>-12171</v>
      </c>
      <c r="G48" s="153">
        <f t="shared" si="1"/>
        <v>-2731.1214182749059</v>
      </c>
    </row>
    <row r="49" spans="1:8" x14ac:dyDescent="0.25">
      <c r="A49" s="143" t="s">
        <v>221</v>
      </c>
      <c r="B49" s="139">
        <v>0</v>
      </c>
      <c r="D49" s="143" t="s">
        <v>221</v>
      </c>
      <c r="E49" s="144">
        <v>400</v>
      </c>
      <c r="F49" s="145">
        <f t="shared" si="0"/>
        <v>-400</v>
      </c>
      <c r="G49" s="153">
        <f t="shared" si="1"/>
        <v>-89.758324485248735</v>
      </c>
    </row>
    <row r="50" spans="1:8" x14ac:dyDescent="0.25">
      <c r="A50" s="136" t="s">
        <v>164</v>
      </c>
      <c r="B50" s="139">
        <v>50020</v>
      </c>
      <c r="D50" s="143" t="s">
        <v>164</v>
      </c>
      <c r="E50" s="144">
        <v>20749</v>
      </c>
      <c r="F50" s="145">
        <f t="shared" si="0"/>
        <v>29271</v>
      </c>
      <c r="G50" s="153">
        <f t="shared" si="1"/>
        <v>12791.427</v>
      </c>
    </row>
    <row r="51" spans="1:8" x14ac:dyDescent="0.25">
      <c r="A51" s="136" t="s">
        <v>165</v>
      </c>
      <c r="B51" s="139">
        <v>30400</v>
      </c>
      <c r="D51" s="136" t="s">
        <v>165</v>
      </c>
      <c r="E51" s="144">
        <v>0</v>
      </c>
      <c r="F51" s="145">
        <f t="shared" si="0"/>
        <v>30400</v>
      </c>
      <c r="G51" s="153">
        <f t="shared" si="1"/>
        <v>13284.8</v>
      </c>
    </row>
    <row r="52" spans="1:8" x14ac:dyDescent="0.25">
      <c r="A52" s="136" t="s">
        <v>166</v>
      </c>
      <c r="B52" s="139">
        <v>375598</v>
      </c>
      <c r="D52" s="143" t="s">
        <v>166</v>
      </c>
      <c r="E52" s="144">
        <v>400968</v>
      </c>
      <c r="F52" s="145">
        <f t="shared" si="0"/>
        <v>-25370</v>
      </c>
      <c r="G52" s="153">
        <f t="shared" si="1"/>
        <v>-5692.9217304769018</v>
      </c>
    </row>
    <row r="53" spans="1:8" x14ac:dyDescent="0.25">
      <c r="A53" s="136" t="s">
        <v>167</v>
      </c>
      <c r="B53" s="139">
        <v>225</v>
      </c>
      <c r="D53" s="143" t="s">
        <v>167</v>
      </c>
      <c r="E53" s="144">
        <v>36057</v>
      </c>
      <c r="F53" s="145">
        <f t="shared" si="0"/>
        <v>-35832</v>
      </c>
      <c r="G53" s="153">
        <f t="shared" si="1"/>
        <v>-8040.5507073885819</v>
      </c>
    </row>
    <row r="54" spans="1:8" x14ac:dyDescent="0.25">
      <c r="A54" s="136" t="s">
        <v>168</v>
      </c>
      <c r="B54" s="139">
        <v>600</v>
      </c>
      <c r="D54" s="143" t="s">
        <v>168</v>
      </c>
      <c r="E54" s="144">
        <v>678225</v>
      </c>
      <c r="F54" s="145">
        <f t="shared" si="0"/>
        <v>-677625</v>
      </c>
      <c r="G54" s="153">
        <f t="shared" si="1"/>
        <v>-152056.21157329169</v>
      </c>
    </row>
    <row r="55" spans="1:8" x14ac:dyDescent="0.25">
      <c r="A55" s="136" t="s">
        <v>169</v>
      </c>
      <c r="B55" s="139">
        <v>515</v>
      </c>
      <c r="D55" s="136" t="s">
        <v>169</v>
      </c>
      <c r="E55" s="144"/>
      <c r="F55" s="145">
        <f t="shared" si="0"/>
        <v>515</v>
      </c>
      <c r="G55" s="153">
        <f t="shared" si="1"/>
        <v>225.05500000000001</v>
      </c>
    </row>
    <row r="56" spans="1:8" x14ac:dyDescent="0.25">
      <c r="A56" s="136" t="s">
        <v>170</v>
      </c>
      <c r="B56" s="139">
        <v>6937</v>
      </c>
      <c r="D56" s="143" t="s">
        <v>170</v>
      </c>
      <c r="E56" s="144">
        <v>14159</v>
      </c>
      <c r="F56" s="145">
        <f t="shared" si="0"/>
        <v>-7222</v>
      </c>
      <c r="G56" s="153">
        <f t="shared" si="1"/>
        <v>-1620.586548581166</v>
      </c>
    </row>
    <row r="57" spans="1:8" x14ac:dyDescent="0.25">
      <c r="A57" s="136" t="s">
        <v>171</v>
      </c>
      <c r="B57" s="139">
        <v>39005</v>
      </c>
      <c r="D57" s="143" t="s">
        <v>171</v>
      </c>
      <c r="E57" s="144">
        <v>22742</v>
      </c>
      <c r="F57" s="145">
        <f t="shared" si="0"/>
        <v>16263</v>
      </c>
      <c r="G57" s="153">
        <f t="shared" si="1"/>
        <v>7106.9309999999996</v>
      </c>
    </row>
    <row r="58" spans="1:8" x14ac:dyDescent="0.25">
      <c r="A58" s="136" t="s">
        <v>172</v>
      </c>
      <c r="B58" s="139">
        <v>778874</v>
      </c>
      <c r="D58" s="143" t="s">
        <v>172</v>
      </c>
      <c r="E58" s="144">
        <v>124509</v>
      </c>
      <c r="F58" s="145">
        <f t="shared" si="0"/>
        <v>654365</v>
      </c>
      <c r="G58" s="153">
        <f t="shared" si="1"/>
        <v>285957.505</v>
      </c>
    </row>
    <row r="59" spans="1:8" x14ac:dyDescent="0.25">
      <c r="A59" s="136" t="s">
        <v>173</v>
      </c>
      <c r="B59" s="139">
        <v>800</v>
      </c>
      <c r="D59" s="143" t="s">
        <v>173</v>
      </c>
      <c r="E59" s="144">
        <v>1602</v>
      </c>
      <c r="F59" s="145">
        <f t="shared" si="0"/>
        <v>-802</v>
      </c>
      <c r="G59" s="153">
        <f t="shared" si="1"/>
        <v>-179.96544059292373</v>
      </c>
    </row>
    <row r="60" spans="1:8" x14ac:dyDescent="0.25">
      <c r="A60" s="136" t="s">
        <v>174</v>
      </c>
      <c r="B60" s="139">
        <v>201107</v>
      </c>
      <c r="D60" s="143" t="s">
        <v>174</v>
      </c>
      <c r="E60" s="144">
        <v>288545</v>
      </c>
      <c r="F60" s="145">
        <f t="shared" si="0"/>
        <v>-87438</v>
      </c>
      <c r="G60" s="153">
        <f t="shared" si="1"/>
        <v>-19620.720940852949</v>
      </c>
    </row>
    <row r="61" spans="1:8" x14ac:dyDescent="0.25">
      <c r="A61" s="143" t="s">
        <v>222</v>
      </c>
      <c r="B61" s="139">
        <v>0</v>
      </c>
      <c r="D61" s="143" t="s">
        <v>222</v>
      </c>
      <c r="E61" s="144">
        <v>998</v>
      </c>
      <c r="F61" s="145">
        <f t="shared" si="0"/>
        <v>-998</v>
      </c>
      <c r="G61" s="153">
        <f t="shared" si="1"/>
        <v>-223.94701959069562</v>
      </c>
    </row>
    <row r="62" spans="1:8" x14ac:dyDescent="0.25">
      <c r="A62" s="136" t="s">
        <v>175</v>
      </c>
      <c r="B62" s="139">
        <v>1</v>
      </c>
      <c r="D62" s="136" t="s">
        <v>175</v>
      </c>
      <c r="E62" s="145">
        <v>0</v>
      </c>
      <c r="F62" s="145">
        <f t="shared" si="0"/>
        <v>1</v>
      </c>
      <c r="G62" s="153">
        <f t="shared" si="1"/>
        <v>0.437</v>
      </c>
    </row>
    <row r="63" spans="1:8" x14ac:dyDescent="0.25">
      <c r="F63" s="145"/>
    </row>
    <row r="64" spans="1:8" x14ac:dyDescent="0.25">
      <c r="F64" s="145">
        <f>SUM(F5:F62)</f>
        <v>-54010</v>
      </c>
      <c r="G64" s="153">
        <f>SUM(G5:G62)/2000</f>
        <v>163.81051275052769</v>
      </c>
      <c r="H64" s="151"/>
    </row>
    <row r="65" spans="2:8" ht="45" x14ac:dyDescent="0.25">
      <c r="B65" s="145"/>
      <c r="F65" s="152" t="s">
        <v>226</v>
      </c>
      <c r="G65" s="155" t="s">
        <v>254</v>
      </c>
      <c r="H65" s="152"/>
    </row>
    <row r="73" spans="2:8" x14ac:dyDescent="0.25">
      <c r="F73" s="145"/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2021-06-07T07:00:00+00:00</OpenedDate>
    <Date1 xmlns="dc463f71-b30c-4ab2-9473-d307f9d35888">2021-06-07T07:00:00+00:00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210422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ECA645F23003C46B84054C42F9D5FA9" ma:contentTypeVersion="36" ma:contentTypeDescription="" ma:contentTypeScope="" ma:versionID="e8fbac2b32d769be8d2b20be1650dad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BE1F28-303A-4833-8A05-0A33588D1988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dc463f71-b30c-4ab2-9473-d307f9d35888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4D09221-3FA9-4501-81E2-6F6072FD60FD}"/>
</file>

<file path=customXml/itemProps3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6FDC1D6-EBC7-444C-9C51-1BA1AD22C0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dcterms:created xsi:type="dcterms:W3CDTF">2016-02-08T23:38:12Z</dcterms:created>
  <dcterms:modified xsi:type="dcterms:W3CDTF">2021-05-28T16:49:35Z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0x0101006E56B4D1795A2E4DB2F0B01679ED314A004ECA645F23003C46B84054C42F9D5FA9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