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drawings/drawing3.xml" ContentType="application/vnd.openxmlformats-officedocument.drawing+xml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lient Data\Peninsula Sanitation\Rate Filing 12-2020\"/>
    </mc:Choice>
  </mc:AlternateContent>
  <xr:revisionPtr revIDLastSave="0" documentId="13_ncr:1_{458B68A7-0215-4387-A6FC-D49855F606E2}" xr6:coauthVersionLast="45" xr6:coauthVersionMax="45" xr10:uidLastSave="{00000000-0000-0000-0000-000000000000}"/>
  <bookViews>
    <workbookView xWindow="-28920" yWindow="-120" windowWidth="29040" windowHeight="15840" tabRatio="1000" xr2:uid="{F093DF9B-40EE-4330-9D0E-49CC87FFC8D7}"/>
  </bookViews>
  <sheets>
    <sheet name="Lurito" sheetId="2" r:id="rId1"/>
    <sheet name="Balance Sheet 9-30-2020" sheetId="20" r:id="rId2"/>
    <sheet name="Monthly P&amp;L" sheetId="1" r:id="rId3"/>
    <sheet name="Pro Forma" sheetId="3" r:id="rId4"/>
    <sheet name="Restating Entries" sheetId="4" r:id="rId5"/>
    <sheet name="Restating Entry Explanation" sheetId="11" r:id="rId6"/>
    <sheet name="Pro Forma Entries" sheetId="5" r:id="rId7"/>
    <sheet name="Pro Forma Entry Explanation" sheetId="16" r:id="rId8"/>
    <sheet name="Disposal Cost" sheetId="17" r:id="rId9"/>
    <sheet name="Disposal Cost Increase" sheetId="21" r:id="rId10"/>
    <sheet name="Regulatory Depreciation" sheetId="7" r:id="rId11"/>
    <sheet name="Rents" sheetId="8" r:id="rId12"/>
    <sheet name="Revenue" sheetId="9" r:id="rId13"/>
    <sheet name="Price Out" sheetId="10" r:id="rId14"/>
    <sheet name="Advertising-Dues" sheetId="12" r:id="rId15"/>
    <sheet name="Meals-Entertainment &amp; Travel" sheetId="13" r:id="rId16"/>
    <sheet name="Fuel Cost" sheetId="14" r:id="rId17"/>
    <sheet name="Payroll 10-2019 to 9-2020" sheetId="15" r:id="rId18"/>
    <sheet name="Insurance Cost" sheetId="18" r:id="rId19"/>
    <sheet name="Rate Case Cost" sheetId="19" r:id="rId20"/>
    <sheet name="Affiliated Interest" sheetId="22" r:id="rId21"/>
  </sheets>
  <definedNames>
    <definedName name="Debt_Rate" localSheetId="0">Lurito!$K$27</definedName>
    <definedName name="debtP" localSheetId="0">Lurito!$I$27</definedName>
    <definedName name="Equity_percent" localSheetId="0">Lurito!$S$58</definedName>
    <definedName name="equityP" localSheetId="0">Lurito!$I$26</definedName>
    <definedName name="expenses" localSheetId="0">Lurito!$I$8</definedName>
    <definedName name="Investment" localSheetId="0">Lurito!$J$28</definedName>
    <definedName name="Pfd_weighted" localSheetId="0">Lurito!$U$57</definedName>
    <definedName name="_xlnm.Print_Area" localSheetId="0">Lurito!$A$1:$N$49</definedName>
    <definedName name="_xlnm.Print_Area" localSheetId="2">'Monthly P&amp;L'!$A$6:$P$61</definedName>
    <definedName name="_xlnm.Print_Area" localSheetId="13">'Price Out'!$A$6:$Q$121</definedName>
    <definedName name="_xlnm.Print_Area" localSheetId="3">'Pro Forma'!$A$8:$I$63</definedName>
    <definedName name="_xlnm.Print_Titles" localSheetId="2">'Monthly P&amp;L'!$1:$5</definedName>
    <definedName name="_xlnm.Print_Titles" localSheetId="13">'Price Out'!$1:$5</definedName>
    <definedName name="_xlnm.Print_Titles" localSheetId="3">'Pro Forma'!$1:$7</definedName>
    <definedName name="regDebt_weighted" localSheetId="0">Lurito!$U$56</definedName>
    <definedName name="Revenue" localSheetId="0">Lurito!$I$7</definedName>
    <definedName name="slope">Lurito!$Y$58</definedName>
    <definedName name="taxrate" localSheetId="0">Lurito!$J$38</definedName>
    <definedName name="y_inter1">Lurito!$X$55</definedName>
    <definedName name="y_inter2">Lurito!$X$56</definedName>
    <definedName name="y_inter3">Lurito!$Z$55</definedName>
    <definedName name="y_inter4">Lurito!$Z$56</definedName>
  </definedNames>
  <calcPr calcId="181029" iterate="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77" i="20" l="1"/>
  <c r="M70" i="20"/>
  <c r="M75" i="20"/>
  <c r="M77" i="10" l="1"/>
  <c r="M76" i="10"/>
  <c r="M7" i="10" l="1"/>
  <c r="O48" i="4" l="1"/>
  <c r="O53" i="4" s="1"/>
  <c r="O54" i="4" s="1"/>
  <c r="O21" i="4"/>
  <c r="P52" i="4"/>
  <c r="P51" i="4"/>
  <c r="P50" i="4"/>
  <c r="P49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0" i="4"/>
  <c r="P19" i="4"/>
  <c r="P18" i="4"/>
  <c r="P17" i="4"/>
  <c r="P16" i="4"/>
  <c r="P15" i="4"/>
  <c r="P14" i="4"/>
  <c r="P13" i="4"/>
  <c r="P12" i="4"/>
  <c r="P11" i="4"/>
  <c r="P10" i="4"/>
  <c r="P9" i="4"/>
  <c r="P48" i="4" l="1"/>
  <c r="H13" i="19" l="1"/>
  <c r="H15" i="19" s="1"/>
  <c r="M17" i="16" l="1"/>
  <c r="G39" i="5" s="1"/>
  <c r="K39" i="5" s="1"/>
  <c r="F39" i="3" s="1"/>
  <c r="H17" i="19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5" i="10"/>
  <c r="M34" i="10"/>
  <c r="M33" i="10"/>
  <c r="M32" i="10"/>
  <c r="M31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8" i="10"/>
  <c r="F48" i="3"/>
  <c r="F47" i="3"/>
  <c r="F46" i="3"/>
  <c r="F40" i="3"/>
  <c r="F38" i="3"/>
  <c r="F32" i="3"/>
  <c r="F31" i="3"/>
  <c r="F24" i="3"/>
  <c r="F20" i="3"/>
  <c r="F19" i="3"/>
  <c r="F13" i="3"/>
  <c r="F12" i="3"/>
  <c r="F11" i="3"/>
  <c r="E20" i="3"/>
  <c r="E19" i="3"/>
  <c r="E18" i="3"/>
  <c r="E17" i="3"/>
  <c r="E16" i="3"/>
  <c r="E15" i="3"/>
  <c r="E14" i="3"/>
  <c r="E13" i="3"/>
  <c r="E12" i="3"/>
  <c r="E11" i="3"/>
  <c r="F9" i="3"/>
  <c r="J54" i="5"/>
  <c r="I54" i="5"/>
  <c r="H54" i="5"/>
  <c r="J53" i="5"/>
  <c r="I53" i="5"/>
  <c r="H53" i="5"/>
  <c r="G53" i="5"/>
  <c r="J21" i="5"/>
  <c r="I21" i="5"/>
  <c r="H21" i="5"/>
  <c r="G21" i="5"/>
  <c r="F21" i="5"/>
  <c r="E21" i="5"/>
  <c r="D21" i="5"/>
  <c r="K52" i="5"/>
  <c r="F52" i="3" s="1"/>
  <c r="K51" i="5"/>
  <c r="F51" i="3" s="1"/>
  <c r="K50" i="5"/>
  <c r="F50" i="3" s="1"/>
  <c r="K49" i="5"/>
  <c r="F49" i="3" s="1"/>
  <c r="K48" i="5"/>
  <c r="K47" i="5"/>
  <c r="K46" i="5"/>
  <c r="K45" i="5"/>
  <c r="F45" i="3" s="1"/>
  <c r="K44" i="5"/>
  <c r="F44" i="3" s="1"/>
  <c r="K43" i="5"/>
  <c r="F43" i="3" s="1"/>
  <c r="K42" i="5"/>
  <c r="F42" i="3" s="1"/>
  <c r="K41" i="5"/>
  <c r="F41" i="3" s="1"/>
  <c r="K40" i="5"/>
  <c r="K38" i="5"/>
  <c r="K37" i="5"/>
  <c r="F37" i="3" s="1"/>
  <c r="K33" i="5"/>
  <c r="F33" i="3" s="1"/>
  <c r="K32" i="5"/>
  <c r="K31" i="5"/>
  <c r="K29" i="5"/>
  <c r="F29" i="3" s="1"/>
  <c r="K27" i="5"/>
  <c r="F27" i="3" s="1"/>
  <c r="K26" i="5"/>
  <c r="F26" i="3" s="1"/>
  <c r="K24" i="5"/>
  <c r="K20" i="5"/>
  <c r="K19" i="5"/>
  <c r="K18" i="5"/>
  <c r="F18" i="3" s="1"/>
  <c r="K17" i="5"/>
  <c r="F17" i="3" s="1"/>
  <c r="K16" i="5"/>
  <c r="F16" i="3" s="1"/>
  <c r="K15" i="5"/>
  <c r="F15" i="3" s="1"/>
  <c r="K14" i="5"/>
  <c r="F14" i="3" s="1"/>
  <c r="K13" i="5"/>
  <c r="K12" i="5"/>
  <c r="K11" i="5"/>
  <c r="K10" i="5"/>
  <c r="F10" i="3" s="1"/>
  <c r="K9" i="5"/>
  <c r="M15" i="16"/>
  <c r="F34" i="5" s="1"/>
  <c r="K10" i="18"/>
  <c r="N21" i="4"/>
  <c r="M21" i="4"/>
  <c r="M32" i="11"/>
  <c r="N30" i="4" s="1"/>
  <c r="O23" i="17"/>
  <c r="O27" i="17" s="1"/>
  <c r="M23" i="17"/>
  <c r="K23" i="17"/>
  <c r="G23" i="17"/>
  <c r="E23" i="17"/>
  <c r="F30" i="17" s="1"/>
  <c r="C23" i="17"/>
  <c r="D30" i="17" s="1"/>
  <c r="L22" i="17"/>
  <c r="I22" i="17"/>
  <c r="H22" i="17"/>
  <c r="F22" i="17"/>
  <c r="D22" i="17"/>
  <c r="L21" i="17"/>
  <c r="I21" i="17"/>
  <c r="H21" i="17"/>
  <c r="J21" i="17" s="1"/>
  <c r="F21" i="17"/>
  <c r="D21" i="17"/>
  <c r="N21" i="17" s="1"/>
  <c r="P21" i="17" s="1"/>
  <c r="L20" i="17"/>
  <c r="I20" i="17"/>
  <c r="H20" i="17"/>
  <c r="F20" i="17"/>
  <c r="D20" i="17"/>
  <c r="L19" i="17"/>
  <c r="I19" i="17"/>
  <c r="H19" i="17"/>
  <c r="F19" i="17"/>
  <c r="D19" i="17"/>
  <c r="N19" i="17" s="1"/>
  <c r="P19" i="17" s="1"/>
  <c r="L18" i="17"/>
  <c r="I18" i="17"/>
  <c r="H18" i="17"/>
  <c r="F18" i="17"/>
  <c r="D18" i="17"/>
  <c r="L17" i="17"/>
  <c r="I17" i="17"/>
  <c r="H17" i="17"/>
  <c r="J17" i="17" s="1"/>
  <c r="F17" i="17"/>
  <c r="D17" i="17"/>
  <c r="L16" i="17"/>
  <c r="I16" i="17"/>
  <c r="H16" i="17"/>
  <c r="F16" i="17"/>
  <c r="D16" i="17"/>
  <c r="N16" i="17" s="1"/>
  <c r="P16" i="17" s="1"/>
  <c r="L15" i="17"/>
  <c r="I15" i="17"/>
  <c r="H15" i="17"/>
  <c r="F15" i="17"/>
  <c r="D15" i="17"/>
  <c r="L14" i="17"/>
  <c r="I14" i="17"/>
  <c r="H14" i="17"/>
  <c r="F14" i="17"/>
  <c r="D14" i="17"/>
  <c r="L13" i="17"/>
  <c r="I13" i="17"/>
  <c r="H13" i="17"/>
  <c r="F13" i="17"/>
  <c r="D13" i="17"/>
  <c r="N13" i="17" s="1"/>
  <c r="P13" i="17" s="1"/>
  <c r="I12" i="17"/>
  <c r="H12" i="17"/>
  <c r="F12" i="17"/>
  <c r="D12" i="17"/>
  <c r="I11" i="17"/>
  <c r="H11" i="17"/>
  <c r="F11" i="17"/>
  <c r="D11" i="17"/>
  <c r="G54" i="5" l="1"/>
  <c r="N53" i="4"/>
  <c r="N54" i="4" s="1"/>
  <c r="G16" i="3"/>
  <c r="I16" i="3" s="1"/>
  <c r="K34" i="5"/>
  <c r="F34" i="3" s="1"/>
  <c r="F53" i="5"/>
  <c r="F54" i="5" s="1"/>
  <c r="J13" i="17"/>
  <c r="K21" i="5"/>
  <c r="J18" i="17"/>
  <c r="J12" i="17"/>
  <c r="N14" i="17"/>
  <c r="P14" i="17" s="1"/>
  <c r="J20" i="17"/>
  <c r="N22" i="17"/>
  <c r="P22" i="17" s="1"/>
  <c r="J14" i="17"/>
  <c r="D23" i="17"/>
  <c r="D31" i="17" s="1"/>
  <c r="J19" i="17"/>
  <c r="F23" i="17"/>
  <c r="F31" i="17" s="1"/>
  <c r="J16" i="17"/>
  <c r="N18" i="17"/>
  <c r="P18" i="17" s="1"/>
  <c r="J22" i="17"/>
  <c r="N15" i="17"/>
  <c r="P15" i="17" s="1"/>
  <c r="H23" i="17"/>
  <c r="I23" i="17"/>
  <c r="N20" i="17"/>
  <c r="P20" i="17" s="1"/>
  <c r="N12" i="17"/>
  <c r="P12" i="17" s="1"/>
  <c r="L23" i="17"/>
  <c r="L31" i="17" s="1"/>
  <c r="J15" i="17"/>
  <c r="N17" i="17"/>
  <c r="P17" i="17" s="1"/>
  <c r="N30" i="17"/>
  <c r="J30" i="17"/>
  <c r="J11" i="17"/>
  <c r="N11" i="17"/>
  <c r="M13" i="16" l="1"/>
  <c r="E30" i="5" s="1"/>
  <c r="O30" i="17"/>
  <c r="O31" i="17" s="1"/>
  <c r="J23" i="17"/>
  <c r="J31" i="17" s="1"/>
  <c r="P11" i="17"/>
  <c r="P23" i="17" s="1"/>
  <c r="P27" i="17" s="1"/>
  <c r="N23" i="17"/>
  <c r="E53" i="5" l="1"/>
  <c r="E54" i="5" s="1"/>
  <c r="K30" i="5"/>
  <c r="F30" i="3" s="1"/>
  <c r="N27" i="17"/>
  <c r="N31" i="17" s="1"/>
  <c r="B8" i="15" l="1"/>
  <c r="B9" i="15" s="1"/>
  <c r="B10" i="15" s="1"/>
  <c r="B11" i="15" s="1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AD30" i="15"/>
  <c r="AC30" i="15"/>
  <c r="AB30" i="15"/>
  <c r="AA30" i="15"/>
  <c r="Z30" i="15"/>
  <c r="Y30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AD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AD28" i="15"/>
  <c r="AC28" i="15"/>
  <c r="AB28" i="15"/>
  <c r="AA28" i="15"/>
  <c r="Z28" i="15"/>
  <c r="Y28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AD27" i="15"/>
  <c r="AC27" i="15"/>
  <c r="AB27" i="15"/>
  <c r="AA27" i="15"/>
  <c r="Z27" i="15"/>
  <c r="Y27" i="15"/>
  <c r="X27" i="15"/>
  <c r="W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AF22" i="15"/>
  <c r="AG22" i="15" s="1"/>
  <c r="AH22" i="15" s="1"/>
  <c r="AF21" i="15"/>
  <c r="AG21" i="15" s="1"/>
  <c r="AH21" i="15" s="1"/>
  <c r="AF20" i="15"/>
  <c r="AG20" i="15" s="1"/>
  <c r="AH20" i="15" s="1"/>
  <c r="AG19" i="15"/>
  <c r="AH19" i="15" s="1"/>
  <c r="AH18" i="15"/>
  <c r="AG17" i="15"/>
  <c r="AH17" i="15" s="1"/>
  <c r="AF16" i="15"/>
  <c r="AG16" i="15" s="1"/>
  <c r="AH16" i="15" s="1"/>
  <c r="AF15" i="15"/>
  <c r="AG15" i="15" s="1"/>
  <c r="AH15" i="15" s="1"/>
  <c r="AF14" i="15"/>
  <c r="AG14" i="15" s="1"/>
  <c r="AH14" i="15" s="1"/>
  <c r="AF13" i="15"/>
  <c r="AG13" i="15" s="1"/>
  <c r="AH13" i="15" s="1"/>
  <c r="AF12" i="15"/>
  <c r="AG12" i="15" s="1"/>
  <c r="AH12" i="15" s="1"/>
  <c r="AF11" i="15"/>
  <c r="AG11" i="15" s="1"/>
  <c r="AH11" i="15" s="1"/>
  <c r="AF10" i="15"/>
  <c r="AG10" i="15" s="1"/>
  <c r="AH10" i="15" s="1"/>
  <c r="AF9" i="15"/>
  <c r="AG9" i="15" s="1"/>
  <c r="AH9" i="15" s="1"/>
  <c r="AF8" i="15"/>
  <c r="AG8" i="15" s="1"/>
  <c r="AH8" i="15" s="1"/>
  <c r="AF7" i="15"/>
  <c r="AG7" i="15" s="1"/>
  <c r="AG28" i="15" s="1"/>
  <c r="M9" i="16" s="1"/>
  <c r="D28" i="5" s="1"/>
  <c r="K28" i="5" s="1"/>
  <c r="F28" i="3" s="1"/>
  <c r="AG27" i="15" l="1"/>
  <c r="AH27" i="15"/>
  <c r="AG29" i="15"/>
  <c r="M10" i="16" s="1"/>
  <c r="D35" i="5" s="1"/>
  <c r="K35" i="5" s="1"/>
  <c r="F35" i="3" s="1"/>
  <c r="AG30" i="15"/>
  <c r="M11" i="16" s="1"/>
  <c r="D36" i="5" s="1"/>
  <c r="K36" i="5" s="1"/>
  <c r="F36" i="3" s="1"/>
  <c r="AH30" i="15"/>
  <c r="I31" i="15"/>
  <c r="Q31" i="15"/>
  <c r="G31" i="15"/>
  <c r="O31" i="15"/>
  <c r="W31" i="15"/>
  <c r="Y31" i="15"/>
  <c r="H31" i="15"/>
  <c r="P31" i="15"/>
  <c r="X31" i="15"/>
  <c r="K31" i="15"/>
  <c r="S31" i="15"/>
  <c r="AA31" i="15"/>
  <c r="L31" i="15"/>
  <c r="T31" i="15"/>
  <c r="AB31" i="15"/>
  <c r="AC23" i="15"/>
  <c r="E31" i="15"/>
  <c r="M31" i="15"/>
  <c r="U31" i="15"/>
  <c r="AC31" i="15"/>
  <c r="AD23" i="15"/>
  <c r="F31" i="15"/>
  <c r="N31" i="15"/>
  <c r="V31" i="15"/>
  <c r="AD31" i="15"/>
  <c r="AG23" i="15"/>
  <c r="AH7" i="15"/>
  <c r="AH28" i="15" s="1"/>
  <c r="AH29" i="15"/>
  <c r="J31" i="15"/>
  <c r="R31" i="15"/>
  <c r="Z31" i="15"/>
  <c r="AH23" i="15" l="1"/>
  <c r="AG31" i="15"/>
  <c r="M8" i="16"/>
  <c r="D25" i="5" s="1"/>
  <c r="AH31" i="15"/>
  <c r="K25" i="5" l="1"/>
  <c r="D53" i="5"/>
  <c r="D54" i="5" s="1"/>
  <c r="K28" i="14"/>
  <c r="E24" i="14"/>
  <c r="E28" i="14" s="1"/>
  <c r="C24" i="14"/>
  <c r="C28" i="14" s="1"/>
  <c r="I23" i="14"/>
  <c r="J23" i="14" s="1"/>
  <c r="H23" i="14"/>
  <c r="G23" i="14"/>
  <c r="D23" i="14"/>
  <c r="F23" i="14" s="1"/>
  <c r="K22" i="14"/>
  <c r="I22" i="14"/>
  <c r="H22" i="14"/>
  <c r="H24" i="14" s="1"/>
  <c r="H28" i="14" s="1"/>
  <c r="G22" i="14"/>
  <c r="D22" i="14"/>
  <c r="F22" i="14" s="1"/>
  <c r="M19" i="14"/>
  <c r="L19" i="14"/>
  <c r="H17" i="14"/>
  <c r="J17" i="14" s="1"/>
  <c r="D17" i="14"/>
  <c r="C17" i="14"/>
  <c r="F17" i="14" s="1"/>
  <c r="I16" i="14"/>
  <c r="H16" i="14"/>
  <c r="G16" i="14"/>
  <c r="D16" i="14"/>
  <c r="I15" i="14"/>
  <c r="H15" i="14"/>
  <c r="G15" i="14"/>
  <c r="E15" i="14"/>
  <c r="F15" i="14" s="1"/>
  <c r="D15" i="14"/>
  <c r="C15" i="14"/>
  <c r="K14" i="14"/>
  <c r="I14" i="14"/>
  <c r="H14" i="14"/>
  <c r="G14" i="14"/>
  <c r="E14" i="14"/>
  <c r="D14" i="14"/>
  <c r="C14" i="14"/>
  <c r="I13" i="14"/>
  <c r="H13" i="14"/>
  <c r="G13" i="14"/>
  <c r="D13" i="14"/>
  <c r="F13" i="14" s="1"/>
  <c r="I12" i="14"/>
  <c r="H12" i="14"/>
  <c r="G12" i="14"/>
  <c r="E12" i="14"/>
  <c r="F12" i="14" s="1"/>
  <c r="D12" i="14"/>
  <c r="C12" i="14"/>
  <c r="I11" i="14"/>
  <c r="H11" i="14"/>
  <c r="G11" i="14"/>
  <c r="J11" i="14" s="1"/>
  <c r="F11" i="14"/>
  <c r="E11" i="14"/>
  <c r="D11" i="14"/>
  <c r="C11" i="14"/>
  <c r="K10" i="14"/>
  <c r="I10" i="14"/>
  <c r="H10" i="14"/>
  <c r="G10" i="14"/>
  <c r="E10" i="14"/>
  <c r="F10" i="14" s="1"/>
  <c r="D10" i="14"/>
  <c r="C10" i="14"/>
  <c r="I9" i="14"/>
  <c r="H9" i="14"/>
  <c r="G9" i="14"/>
  <c r="E9" i="14"/>
  <c r="D9" i="14"/>
  <c r="C9" i="14"/>
  <c r="N9" i="14" s="1"/>
  <c r="I8" i="14"/>
  <c r="J8" i="14" s="1"/>
  <c r="H8" i="14"/>
  <c r="G8" i="14"/>
  <c r="E8" i="14"/>
  <c r="D8" i="14"/>
  <c r="C8" i="14"/>
  <c r="F8" i="14" s="1"/>
  <c r="K7" i="14"/>
  <c r="K19" i="14" s="1"/>
  <c r="I7" i="14"/>
  <c r="H7" i="14"/>
  <c r="G7" i="14"/>
  <c r="E7" i="14"/>
  <c r="D7" i="14"/>
  <c r="D26" i="14" s="1"/>
  <c r="C7" i="14"/>
  <c r="I6" i="14"/>
  <c r="H6" i="14"/>
  <c r="H26" i="14" s="1"/>
  <c r="G6" i="14"/>
  <c r="E6" i="14"/>
  <c r="E26" i="14" s="1"/>
  <c r="D6" i="14"/>
  <c r="C6" i="14"/>
  <c r="F9" i="14" l="1"/>
  <c r="N22" i="14"/>
  <c r="J6" i="14"/>
  <c r="F14" i="14"/>
  <c r="F7" i="14"/>
  <c r="N12" i="14"/>
  <c r="N13" i="14"/>
  <c r="J14" i="14"/>
  <c r="N16" i="14"/>
  <c r="J22" i="14"/>
  <c r="D19" i="14"/>
  <c r="J9" i="14"/>
  <c r="N11" i="14"/>
  <c r="J12" i="14"/>
  <c r="J10" i="14"/>
  <c r="J15" i="14"/>
  <c r="C26" i="14"/>
  <c r="N15" i="14"/>
  <c r="G26" i="14"/>
  <c r="J7" i="14"/>
  <c r="N10" i="14"/>
  <c r="N14" i="14"/>
  <c r="J16" i="14"/>
  <c r="G24" i="14"/>
  <c r="G28" i="14" s="1"/>
  <c r="N23" i="14"/>
  <c r="K53" i="5"/>
  <c r="K54" i="5" s="1"/>
  <c r="F25" i="3"/>
  <c r="N7" i="14"/>
  <c r="G19" i="14"/>
  <c r="D24" i="14"/>
  <c r="D28" i="14" s="1"/>
  <c r="D29" i="14" s="1"/>
  <c r="H19" i="14"/>
  <c r="H29" i="14" s="1"/>
  <c r="E19" i="14"/>
  <c r="E29" i="14" s="1"/>
  <c r="E33" i="14" s="1"/>
  <c r="J13" i="14"/>
  <c r="I19" i="14"/>
  <c r="I26" i="14"/>
  <c r="N17" i="14"/>
  <c r="K26" i="14"/>
  <c r="K29" i="14" s="1"/>
  <c r="F16" i="14"/>
  <c r="N6" i="14"/>
  <c r="C19" i="14"/>
  <c r="I24" i="14"/>
  <c r="I28" i="14" s="1"/>
  <c r="F6" i="14"/>
  <c r="N8" i="14"/>
  <c r="N19" i="14" l="1"/>
  <c r="F19" i="14"/>
  <c r="C29" i="14"/>
  <c r="F29" i="14" s="1"/>
  <c r="E34" i="14" s="1"/>
  <c r="E35" i="14" s="1"/>
  <c r="E36" i="14"/>
  <c r="I36" i="14"/>
  <c r="J19" i="14"/>
  <c r="G29" i="14"/>
  <c r="I29" i="14"/>
  <c r="I33" i="14" s="1"/>
  <c r="E37" i="14" l="1"/>
  <c r="J29" i="14"/>
  <c r="I34" i="14" s="1"/>
  <c r="I35" i="14" s="1"/>
  <c r="I37" i="14" s="1"/>
  <c r="M30" i="11" l="1"/>
  <c r="M29" i="4" s="1"/>
  <c r="H53" i="3"/>
  <c r="F53" i="3"/>
  <c r="E51" i="3"/>
  <c r="E50" i="3"/>
  <c r="E49" i="3"/>
  <c r="E48" i="3"/>
  <c r="E46" i="3"/>
  <c r="E42" i="3"/>
  <c r="E41" i="3"/>
  <c r="E40" i="3"/>
  <c r="E39" i="3"/>
  <c r="E37" i="3"/>
  <c r="E36" i="3"/>
  <c r="E35" i="3"/>
  <c r="E34" i="3"/>
  <c r="E32" i="3"/>
  <c r="E31" i="3"/>
  <c r="E30" i="3"/>
  <c r="E28" i="3"/>
  <c r="E27" i="3"/>
  <c r="E26" i="3"/>
  <c r="E25" i="3"/>
  <c r="E24" i="3"/>
  <c r="F21" i="3"/>
  <c r="E10" i="3"/>
  <c r="E53" i="4"/>
  <c r="L21" i="4"/>
  <c r="K21" i="4"/>
  <c r="J21" i="4"/>
  <c r="I21" i="4"/>
  <c r="H21" i="4"/>
  <c r="G21" i="4"/>
  <c r="F21" i="4"/>
  <c r="D53" i="4"/>
  <c r="S25" i="13"/>
  <c r="S26" i="13" s="1"/>
  <c r="U21" i="13"/>
  <c r="U22" i="13" s="1"/>
  <c r="U23" i="13" s="1"/>
  <c r="U24" i="13" s="1"/>
  <c r="U25" i="13" s="1"/>
  <c r="U26" i="13" s="1"/>
  <c r="S16" i="13"/>
  <c r="S17" i="13" s="1"/>
  <c r="M24" i="11" s="1"/>
  <c r="K44" i="4" s="1"/>
  <c r="U8" i="13"/>
  <c r="U9" i="13" s="1"/>
  <c r="U10" i="13" s="1"/>
  <c r="U11" i="13" s="1"/>
  <c r="U12" i="13" s="1"/>
  <c r="U13" i="13" s="1"/>
  <c r="U14" i="13" s="1"/>
  <c r="U15" i="13" s="1"/>
  <c r="U16" i="13" s="1"/>
  <c r="U17" i="13" s="1"/>
  <c r="M26" i="11" l="1"/>
  <c r="K45" i="4" s="1"/>
  <c r="E29" i="3"/>
  <c r="M53" i="4"/>
  <c r="M54" i="4" s="1"/>
  <c r="K53" i="4"/>
  <c r="K54" i="4" s="1"/>
  <c r="E45" i="3"/>
  <c r="E44" i="3"/>
  <c r="F54" i="3"/>
  <c r="M22" i="11"/>
  <c r="J33" i="4" s="1"/>
  <c r="J53" i="4" s="1"/>
  <c r="J54" i="4" s="1"/>
  <c r="U61" i="12"/>
  <c r="U62" i="12" s="1"/>
  <c r="S61" i="12"/>
  <c r="S62" i="12" s="1"/>
  <c r="AA59" i="12"/>
  <c r="X58" i="12"/>
  <c r="W57" i="12"/>
  <c r="U57" i="12"/>
  <c r="U58" i="12" s="1"/>
  <c r="U59" i="12" s="1"/>
  <c r="Z55" i="12"/>
  <c r="X54" i="12"/>
  <c r="U54" i="12"/>
  <c r="U55" i="12" s="1"/>
  <c r="W53" i="12"/>
  <c r="U53" i="12"/>
  <c r="X51" i="12"/>
  <c r="W50" i="12"/>
  <c r="U50" i="12"/>
  <c r="U51" i="12" s="1"/>
  <c r="X48" i="12"/>
  <c r="AA47" i="12"/>
  <c r="W46" i="12"/>
  <c r="Z45" i="12"/>
  <c r="U45" i="12"/>
  <c r="U46" i="12" s="1"/>
  <c r="U47" i="12" s="1"/>
  <c r="U48" i="12" s="1"/>
  <c r="X43" i="12"/>
  <c r="W42" i="12"/>
  <c r="U42" i="12"/>
  <c r="U43" i="12" s="1"/>
  <c r="X40" i="12"/>
  <c r="Z39" i="12"/>
  <c r="AA38" i="12"/>
  <c r="W37" i="12"/>
  <c r="U37" i="12"/>
  <c r="U38" i="12" s="1"/>
  <c r="U39" i="12" s="1"/>
  <c r="U40" i="12" s="1"/>
  <c r="X35" i="12"/>
  <c r="W34" i="12"/>
  <c r="U34" i="12"/>
  <c r="U35" i="12" s="1"/>
  <c r="X32" i="12"/>
  <c r="Z31" i="12"/>
  <c r="Z30" i="12"/>
  <c r="Z29" i="12"/>
  <c r="Z28" i="12"/>
  <c r="U28" i="12"/>
  <c r="U29" i="12" s="1"/>
  <c r="U30" i="12" s="1"/>
  <c r="U31" i="12" s="1"/>
  <c r="U32" i="12" s="1"/>
  <c r="W27" i="12"/>
  <c r="U27" i="12"/>
  <c r="X25" i="12"/>
  <c r="W24" i="12"/>
  <c r="Z23" i="12"/>
  <c r="Z22" i="12"/>
  <c r="U22" i="12"/>
  <c r="U23" i="12" s="1"/>
  <c r="U24" i="12" s="1"/>
  <c r="U25" i="12" s="1"/>
  <c r="Z20" i="12"/>
  <c r="Z19" i="12"/>
  <c r="X18" i="12"/>
  <c r="W17" i="12"/>
  <c r="Z16" i="12"/>
  <c r="U16" i="12"/>
  <c r="U17" i="12" s="1"/>
  <c r="U18" i="12" s="1"/>
  <c r="U19" i="12" s="1"/>
  <c r="U20" i="12" s="1"/>
  <c r="AA14" i="12"/>
  <c r="AA62" i="12" s="1"/>
  <c r="AA64" i="12" s="1"/>
  <c r="X12" i="12"/>
  <c r="W11" i="12"/>
  <c r="U11" i="12"/>
  <c r="U12" i="12" s="1"/>
  <c r="U13" i="12" s="1"/>
  <c r="U14" i="12" s="1"/>
  <c r="Y9" i="12"/>
  <c r="Y62" i="12" s="1"/>
  <c r="Y64" i="12" s="1"/>
  <c r="X8" i="12"/>
  <c r="W7" i="12"/>
  <c r="U7" i="12"/>
  <c r="U8" i="12" s="1"/>
  <c r="U9" i="12" s="1"/>
  <c r="X62" i="12" l="1"/>
  <c r="X64" i="12" s="1"/>
  <c r="W62" i="12"/>
  <c r="Z62" i="12"/>
  <c r="Z64" i="12" s="1"/>
  <c r="W63" i="12"/>
  <c r="W64" i="12" l="1"/>
  <c r="S64" i="12" s="1"/>
  <c r="M20" i="11"/>
  <c r="I33" i="4" s="1"/>
  <c r="G38" i="4"/>
  <c r="E33" i="3" l="1"/>
  <c r="I53" i="4"/>
  <c r="I54" i="4" s="1"/>
  <c r="G53" i="4"/>
  <c r="G54" i="4" s="1"/>
  <c r="E38" i="3"/>
  <c r="F43" i="4"/>
  <c r="E9" i="4"/>
  <c r="E21" i="4" s="1"/>
  <c r="E54" i="4" s="1"/>
  <c r="D9" i="4"/>
  <c r="M18" i="9"/>
  <c r="M15" i="9"/>
  <c r="N15" i="9" s="1"/>
  <c r="M14" i="9"/>
  <c r="M11" i="9"/>
  <c r="M10" i="9"/>
  <c r="F18" i="9"/>
  <c r="N18" i="9" s="1"/>
  <c r="F17" i="9"/>
  <c r="F16" i="9"/>
  <c r="L17" i="9"/>
  <c r="M17" i="9" s="1"/>
  <c r="I16" i="9"/>
  <c r="M16" i="9" s="1"/>
  <c r="N16" i="9" l="1"/>
  <c r="N17" i="9"/>
  <c r="F53" i="4"/>
  <c r="F54" i="4" s="1"/>
  <c r="E43" i="3"/>
  <c r="D21" i="4"/>
  <c r="P21" i="4" s="1"/>
  <c r="J117" i="10"/>
  <c r="E40" i="10"/>
  <c r="D54" i="4" l="1"/>
  <c r="E9" i="3"/>
  <c r="E21" i="3" s="1"/>
  <c r="B11" i="9"/>
  <c r="F11" i="9" s="1"/>
  <c r="N11" i="9" s="1"/>
  <c r="B10" i="9"/>
  <c r="F10" i="9" s="1"/>
  <c r="N10" i="9" s="1"/>
  <c r="J119" i="10"/>
  <c r="H102" i="10"/>
  <c r="J102" i="10" s="1"/>
  <c r="Q102" i="10" s="1"/>
  <c r="H101" i="10"/>
  <c r="J101" i="10" s="1"/>
  <c r="Q101" i="10" s="1"/>
  <c r="H100" i="10"/>
  <c r="J100" i="10" s="1"/>
  <c r="Q100" i="10" s="1"/>
  <c r="H99" i="10"/>
  <c r="J99" i="10" s="1"/>
  <c r="Q99" i="10" s="1"/>
  <c r="H98" i="10"/>
  <c r="J98" i="10" s="1"/>
  <c r="Q98" i="10" s="1"/>
  <c r="H95" i="10"/>
  <c r="J95" i="10" s="1"/>
  <c r="H94" i="10"/>
  <c r="J94" i="10" s="1"/>
  <c r="H93" i="10"/>
  <c r="J93" i="10" s="1"/>
  <c r="H92" i="10"/>
  <c r="J92" i="10" s="1"/>
  <c r="H91" i="10"/>
  <c r="J91" i="10" s="1"/>
  <c r="H90" i="10"/>
  <c r="J90" i="10" s="1"/>
  <c r="H89" i="10"/>
  <c r="J89" i="10" s="1"/>
  <c r="H88" i="10"/>
  <c r="J88" i="10" s="1"/>
  <c r="H87" i="10"/>
  <c r="J87" i="10" s="1"/>
  <c r="H86" i="10"/>
  <c r="J86" i="10" s="1"/>
  <c r="H85" i="10"/>
  <c r="J85" i="10" s="1"/>
  <c r="H84" i="10"/>
  <c r="J84" i="10" s="1"/>
  <c r="H83" i="10"/>
  <c r="J83" i="10" s="1"/>
  <c r="H82" i="10"/>
  <c r="J82" i="10" s="1"/>
  <c r="H81" i="10"/>
  <c r="J81" i="10" s="1"/>
  <c r="H80" i="10"/>
  <c r="J80" i="10" s="1"/>
  <c r="H79" i="10"/>
  <c r="J79" i="10" s="1"/>
  <c r="H78" i="10"/>
  <c r="J78" i="10" s="1"/>
  <c r="H77" i="10"/>
  <c r="J77" i="10" s="1"/>
  <c r="H76" i="10"/>
  <c r="J76" i="10" s="1"/>
  <c r="H70" i="10"/>
  <c r="J70" i="10" s="1"/>
  <c r="H69" i="10"/>
  <c r="J69" i="10" s="1"/>
  <c r="H68" i="10"/>
  <c r="J68" i="10" s="1"/>
  <c r="H67" i="10"/>
  <c r="J67" i="10" s="1"/>
  <c r="H66" i="10"/>
  <c r="J66" i="10" s="1"/>
  <c r="H65" i="10"/>
  <c r="J65" i="10" s="1"/>
  <c r="H64" i="10"/>
  <c r="J64" i="10" s="1"/>
  <c r="H63" i="10"/>
  <c r="J63" i="10" s="1"/>
  <c r="H62" i="10"/>
  <c r="J62" i="10" s="1"/>
  <c r="H61" i="10"/>
  <c r="J61" i="10" s="1"/>
  <c r="H60" i="10"/>
  <c r="J60" i="10" s="1"/>
  <c r="H59" i="10"/>
  <c r="J59" i="10" s="1"/>
  <c r="H58" i="10"/>
  <c r="J58" i="10" s="1"/>
  <c r="H57" i="10"/>
  <c r="J57" i="10" s="1"/>
  <c r="H56" i="10"/>
  <c r="J56" i="10" s="1"/>
  <c r="H55" i="10"/>
  <c r="J55" i="10" s="1"/>
  <c r="H54" i="10"/>
  <c r="J54" i="10" s="1"/>
  <c r="H53" i="10"/>
  <c r="J53" i="10" s="1"/>
  <c r="H52" i="10"/>
  <c r="J52" i="10" s="1"/>
  <c r="H51" i="10"/>
  <c r="J51" i="10" s="1"/>
  <c r="H50" i="10"/>
  <c r="J50" i="10" s="1"/>
  <c r="H49" i="10"/>
  <c r="J49" i="10" s="1"/>
  <c r="H48" i="10"/>
  <c r="J48" i="10" s="1"/>
  <c r="H47" i="10"/>
  <c r="J47" i="10" s="1"/>
  <c r="H46" i="10"/>
  <c r="J46" i="10" s="1"/>
  <c r="H45" i="10"/>
  <c r="J45" i="10" s="1"/>
  <c r="H44" i="10"/>
  <c r="J44" i="10" s="1"/>
  <c r="H43" i="10"/>
  <c r="J43" i="10" s="1"/>
  <c r="H42" i="10"/>
  <c r="J42" i="10" s="1"/>
  <c r="H41" i="10"/>
  <c r="J41" i="10" s="1"/>
  <c r="H40" i="10"/>
  <c r="J40" i="10" s="1"/>
  <c r="H35" i="10"/>
  <c r="J35" i="10" s="1"/>
  <c r="H34" i="10"/>
  <c r="J34" i="10" s="1"/>
  <c r="H33" i="10"/>
  <c r="J33" i="10" s="1"/>
  <c r="H32" i="10"/>
  <c r="J32" i="10" s="1"/>
  <c r="H31" i="10"/>
  <c r="J31" i="10" s="1"/>
  <c r="H30" i="10"/>
  <c r="J30" i="10" s="1"/>
  <c r="H29" i="10"/>
  <c r="J29" i="10" s="1"/>
  <c r="H28" i="10"/>
  <c r="J28" i="10" s="1"/>
  <c r="H27" i="10"/>
  <c r="J27" i="10" s="1"/>
  <c r="H26" i="10"/>
  <c r="J26" i="10" s="1"/>
  <c r="H25" i="10"/>
  <c r="J25" i="10" s="1"/>
  <c r="H24" i="10"/>
  <c r="J24" i="10" s="1"/>
  <c r="H23" i="10"/>
  <c r="J23" i="10" s="1"/>
  <c r="H22" i="10"/>
  <c r="J22" i="10" s="1"/>
  <c r="H21" i="10"/>
  <c r="J21" i="10" s="1"/>
  <c r="H20" i="10"/>
  <c r="J20" i="10" s="1"/>
  <c r="H19" i="10"/>
  <c r="J19" i="10" s="1"/>
  <c r="H18" i="10"/>
  <c r="J18" i="10" s="1"/>
  <c r="H17" i="10"/>
  <c r="J17" i="10" s="1"/>
  <c r="H16" i="10"/>
  <c r="J16" i="10" s="1"/>
  <c r="H15" i="10"/>
  <c r="J15" i="10" s="1"/>
  <c r="H14" i="10"/>
  <c r="J14" i="10" s="1"/>
  <c r="H13" i="10"/>
  <c r="J13" i="10" s="1"/>
  <c r="H12" i="10"/>
  <c r="J12" i="10" s="1"/>
  <c r="H11" i="10"/>
  <c r="J11" i="10" s="1"/>
  <c r="H10" i="10"/>
  <c r="J10" i="10" s="1"/>
  <c r="H9" i="10"/>
  <c r="J9" i="10" s="1"/>
  <c r="H8" i="10"/>
  <c r="J8" i="10" s="1"/>
  <c r="H7" i="10"/>
  <c r="J7" i="10" s="1"/>
  <c r="Q103" i="10" l="1"/>
  <c r="J71" i="10"/>
  <c r="J36" i="10"/>
  <c r="J96" i="10"/>
  <c r="J103" i="10"/>
  <c r="J104" i="10" l="1"/>
  <c r="J121" i="10" l="1"/>
  <c r="L29" i="10" s="1"/>
  <c r="L63" i="10"/>
  <c r="L55" i="10"/>
  <c r="L80" i="10"/>
  <c r="L51" i="10"/>
  <c r="L46" i="10"/>
  <c r="L34" i="10"/>
  <c r="L68" i="10"/>
  <c r="L82" i="10"/>
  <c r="L69" i="10"/>
  <c r="L17" i="10"/>
  <c r="L52" i="10"/>
  <c r="W177" i="7"/>
  <c r="T177" i="7"/>
  <c r="R177" i="7"/>
  <c r="L177" i="7"/>
  <c r="K177" i="7"/>
  <c r="AH176" i="7"/>
  <c r="AG176" i="7"/>
  <c r="AE176" i="7"/>
  <c r="AD176" i="7"/>
  <c r="AC176" i="7"/>
  <c r="AB176" i="7"/>
  <c r="AA176" i="7"/>
  <c r="P176" i="7"/>
  <c r="M176" i="7"/>
  <c r="N176" i="7" s="1"/>
  <c r="H176" i="7"/>
  <c r="AF176" i="7" s="1"/>
  <c r="AH175" i="7"/>
  <c r="AG175" i="7"/>
  <c r="AE175" i="7"/>
  <c r="AD175" i="7"/>
  <c r="AB175" i="7"/>
  <c r="O175" i="7" s="1"/>
  <c r="S175" i="7" s="1"/>
  <c r="AA175" i="7"/>
  <c r="P175" i="7"/>
  <c r="M175" i="7"/>
  <c r="H175" i="7"/>
  <c r="AC175" i="7" s="1"/>
  <c r="AH174" i="7"/>
  <c r="AG174" i="7"/>
  <c r="AE174" i="7"/>
  <c r="AD174" i="7"/>
  <c r="AC174" i="7"/>
  <c r="AB174" i="7"/>
  <c r="AA174" i="7"/>
  <c r="P174" i="7"/>
  <c r="N174" i="7"/>
  <c r="M174" i="7"/>
  <c r="H174" i="7"/>
  <c r="AF174" i="7" s="1"/>
  <c r="AH173" i="7"/>
  <c r="AG173" i="7"/>
  <c r="AE173" i="7"/>
  <c r="AD173" i="7"/>
  <c r="AB173" i="7"/>
  <c r="AA173" i="7"/>
  <c r="O173" i="7" s="1"/>
  <c r="S173" i="7" s="1"/>
  <c r="P173" i="7"/>
  <c r="N173" i="7"/>
  <c r="M173" i="7"/>
  <c r="H173" i="7"/>
  <c r="AC173" i="7" s="1"/>
  <c r="AH172" i="7"/>
  <c r="AG172" i="7"/>
  <c r="AE172" i="7"/>
  <c r="AD172" i="7"/>
  <c r="AB172" i="7"/>
  <c r="AA172" i="7"/>
  <c r="P172" i="7"/>
  <c r="M172" i="7"/>
  <c r="N172" i="7" s="1"/>
  <c r="H172" i="7"/>
  <c r="AF172" i="7" s="1"/>
  <c r="AH171" i="7"/>
  <c r="AG171" i="7"/>
  <c r="AF171" i="7"/>
  <c r="AE171" i="7"/>
  <c r="AD171" i="7"/>
  <c r="AB171" i="7"/>
  <c r="AA171" i="7"/>
  <c r="O171" i="7" s="1"/>
  <c r="S171" i="7" s="1"/>
  <c r="P171" i="7"/>
  <c r="M171" i="7"/>
  <c r="N171" i="7" s="1"/>
  <c r="H171" i="7"/>
  <c r="AC171" i="7" s="1"/>
  <c r="AH170" i="7"/>
  <c r="AG170" i="7"/>
  <c r="AE170" i="7"/>
  <c r="AD170" i="7"/>
  <c r="AC170" i="7"/>
  <c r="AB170" i="7"/>
  <c r="AA170" i="7"/>
  <c r="P170" i="7"/>
  <c r="M170" i="7"/>
  <c r="N170" i="7" s="1"/>
  <c r="H170" i="7"/>
  <c r="AF170" i="7" s="1"/>
  <c r="AH169" i="7"/>
  <c r="AG169" i="7"/>
  <c r="AE169" i="7"/>
  <c r="AD169" i="7"/>
  <c r="AB169" i="7"/>
  <c r="AA169" i="7"/>
  <c r="P169" i="7"/>
  <c r="M169" i="7"/>
  <c r="N169" i="7" s="1"/>
  <c r="H169" i="7"/>
  <c r="AC169" i="7" s="1"/>
  <c r="AH168" i="7"/>
  <c r="AG168" i="7"/>
  <c r="AE168" i="7"/>
  <c r="AD168" i="7"/>
  <c r="AC168" i="7"/>
  <c r="AB168" i="7"/>
  <c r="AA168" i="7"/>
  <c r="O168" i="7" s="1"/>
  <c r="S168" i="7" s="1"/>
  <c r="P168" i="7"/>
  <c r="N168" i="7"/>
  <c r="M168" i="7"/>
  <c r="H168" i="7"/>
  <c r="AF168" i="7" s="1"/>
  <c r="AH167" i="7"/>
  <c r="AG167" i="7"/>
  <c r="AE167" i="7"/>
  <c r="AD167" i="7"/>
  <c r="AB167" i="7"/>
  <c r="AA167" i="7"/>
  <c r="P167" i="7"/>
  <c r="M167" i="7"/>
  <c r="N167" i="7" s="1"/>
  <c r="H167" i="7"/>
  <c r="AC167" i="7" s="1"/>
  <c r="O167" i="7" s="1"/>
  <c r="S167" i="7" s="1"/>
  <c r="AH166" i="7"/>
  <c r="AG166" i="7"/>
  <c r="AE166" i="7"/>
  <c r="AD166" i="7"/>
  <c r="AB166" i="7"/>
  <c r="AA166" i="7"/>
  <c r="P166" i="7"/>
  <c r="M166" i="7"/>
  <c r="N166" i="7" s="1"/>
  <c r="H166" i="7"/>
  <c r="AF166" i="7" s="1"/>
  <c r="AH165" i="7"/>
  <c r="AG165" i="7"/>
  <c r="AE165" i="7"/>
  <c r="AD165" i="7"/>
  <c r="AB165" i="7"/>
  <c r="AA165" i="7"/>
  <c r="P165" i="7"/>
  <c r="N165" i="7"/>
  <c r="M165" i="7"/>
  <c r="H165" i="7"/>
  <c r="AC165" i="7" s="1"/>
  <c r="AH164" i="7"/>
  <c r="AG164" i="7"/>
  <c r="AE164" i="7"/>
  <c r="AD164" i="7"/>
  <c r="AC164" i="7"/>
  <c r="AB164" i="7"/>
  <c r="AA164" i="7"/>
  <c r="U164" i="7"/>
  <c r="V164" i="7" s="1"/>
  <c r="X164" i="7" s="1"/>
  <c r="P164" i="7"/>
  <c r="N164" i="7"/>
  <c r="M164" i="7"/>
  <c r="H164" i="7"/>
  <c r="AF164" i="7" s="1"/>
  <c r="AH163" i="7"/>
  <c r="AG163" i="7"/>
  <c r="AE163" i="7"/>
  <c r="AD163" i="7"/>
  <c r="AB163" i="7"/>
  <c r="AA163" i="7"/>
  <c r="P163" i="7"/>
  <c r="M163" i="7"/>
  <c r="N163" i="7" s="1"/>
  <c r="H163" i="7"/>
  <c r="AH162" i="7"/>
  <c r="AG162" i="7"/>
  <c r="AE162" i="7"/>
  <c r="AD162" i="7"/>
  <c r="AB162" i="7"/>
  <c r="AA162" i="7"/>
  <c r="P162" i="7"/>
  <c r="M162" i="7"/>
  <c r="N162" i="7" s="1"/>
  <c r="H162" i="7"/>
  <c r="AF162" i="7" s="1"/>
  <c r="AH161" i="7"/>
  <c r="AG161" i="7"/>
  <c r="AE161" i="7"/>
  <c r="AD161" i="7"/>
  <c r="AB161" i="7"/>
  <c r="AA161" i="7"/>
  <c r="P161" i="7"/>
  <c r="N161" i="7"/>
  <c r="M161" i="7"/>
  <c r="H161" i="7"/>
  <c r="AH160" i="7"/>
  <c r="AG160" i="7"/>
  <c r="AE160" i="7"/>
  <c r="AD160" i="7"/>
  <c r="AC160" i="7"/>
  <c r="AB160" i="7"/>
  <c r="AA160" i="7"/>
  <c r="P160" i="7"/>
  <c r="M160" i="7"/>
  <c r="N160" i="7" s="1"/>
  <c r="H160" i="7"/>
  <c r="AF160" i="7" s="1"/>
  <c r="AH159" i="7"/>
  <c r="AG159" i="7"/>
  <c r="AE159" i="7"/>
  <c r="AD159" i="7"/>
  <c r="AB159" i="7"/>
  <c r="AA159" i="7"/>
  <c r="O159" i="7" s="1"/>
  <c r="S159" i="7" s="1"/>
  <c r="P159" i="7"/>
  <c r="M159" i="7"/>
  <c r="H159" i="7"/>
  <c r="AC159" i="7" s="1"/>
  <c r="AH158" i="7"/>
  <c r="AG158" i="7"/>
  <c r="AE158" i="7"/>
  <c r="AD158" i="7"/>
  <c r="AB158" i="7"/>
  <c r="AA158" i="7"/>
  <c r="P158" i="7"/>
  <c r="M158" i="7"/>
  <c r="N158" i="7" s="1"/>
  <c r="H158" i="7"/>
  <c r="AF158" i="7" s="1"/>
  <c r="W155" i="7"/>
  <c r="T155" i="7"/>
  <c r="R155" i="7"/>
  <c r="K155" i="7"/>
  <c r="AH154" i="7"/>
  <c r="AG154" i="7"/>
  <c r="AE154" i="7"/>
  <c r="AD154" i="7"/>
  <c r="AB154" i="7"/>
  <c r="AA154" i="7"/>
  <c r="P154" i="7"/>
  <c r="N154" i="7"/>
  <c r="M154" i="7"/>
  <c r="H154" i="7"/>
  <c r="AC154" i="7" s="1"/>
  <c r="AH153" i="7"/>
  <c r="AG153" i="7"/>
  <c r="AE153" i="7"/>
  <c r="AD153" i="7"/>
  <c r="AB153" i="7"/>
  <c r="AA153" i="7"/>
  <c r="P153" i="7"/>
  <c r="N153" i="7"/>
  <c r="M153" i="7"/>
  <c r="H153" i="7"/>
  <c r="AC153" i="7" s="1"/>
  <c r="AH152" i="7"/>
  <c r="AG152" i="7"/>
  <c r="AE152" i="7"/>
  <c r="AD152" i="7"/>
  <c r="AB152" i="7"/>
  <c r="AA152" i="7"/>
  <c r="P152" i="7"/>
  <c r="M152" i="7"/>
  <c r="N152" i="7" s="1"/>
  <c r="H152" i="7"/>
  <c r="AH151" i="7"/>
  <c r="AG151" i="7"/>
  <c r="AE151" i="7"/>
  <c r="AD151" i="7"/>
  <c r="AB151" i="7"/>
  <c r="AA151" i="7"/>
  <c r="P151" i="7"/>
  <c r="M151" i="7"/>
  <c r="N151" i="7" s="1"/>
  <c r="H151" i="7"/>
  <c r="AF151" i="7" s="1"/>
  <c r="AH150" i="7"/>
  <c r="AG150" i="7"/>
  <c r="AE150" i="7"/>
  <c r="AD150" i="7"/>
  <c r="AB150" i="7"/>
  <c r="AA150" i="7"/>
  <c r="P150" i="7"/>
  <c r="M150" i="7"/>
  <c r="N150" i="7" s="1"/>
  <c r="H150" i="7"/>
  <c r="AC150" i="7" s="1"/>
  <c r="AH149" i="7"/>
  <c r="AG149" i="7"/>
  <c r="AE149" i="7"/>
  <c r="AD149" i="7"/>
  <c r="AB149" i="7"/>
  <c r="AA149" i="7"/>
  <c r="P149" i="7"/>
  <c r="M149" i="7"/>
  <c r="N149" i="7" s="1"/>
  <c r="H149" i="7"/>
  <c r="AF149" i="7" s="1"/>
  <c r="AH148" i="7"/>
  <c r="AG148" i="7"/>
  <c r="AE148" i="7"/>
  <c r="AD148" i="7"/>
  <c r="AB148" i="7"/>
  <c r="AA148" i="7"/>
  <c r="P148" i="7"/>
  <c r="M148" i="7"/>
  <c r="N148" i="7" s="1"/>
  <c r="H148" i="7"/>
  <c r="AC148" i="7" s="1"/>
  <c r="U148" i="7" s="1"/>
  <c r="V148" i="7" s="1"/>
  <c r="X148" i="7" s="1"/>
  <c r="AH147" i="7"/>
  <c r="AG147" i="7"/>
  <c r="AE147" i="7"/>
  <c r="AD147" i="7"/>
  <c r="AB147" i="7"/>
  <c r="AA147" i="7"/>
  <c r="P147" i="7"/>
  <c r="M147" i="7"/>
  <c r="N147" i="7" s="1"/>
  <c r="H147" i="7"/>
  <c r="AF147" i="7" s="1"/>
  <c r="AH146" i="7"/>
  <c r="AG146" i="7"/>
  <c r="AE146" i="7"/>
  <c r="AD146" i="7"/>
  <c r="AB146" i="7"/>
  <c r="AA146" i="7"/>
  <c r="P146" i="7"/>
  <c r="N146" i="7"/>
  <c r="M146" i="7"/>
  <c r="H146" i="7"/>
  <c r="AH145" i="7"/>
  <c r="AG145" i="7"/>
  <c r="AF145" i="7"/>
  <c r="AE145" i="7"/>
  <c r="AD145" i="7"/>
  <c r="AC145" i="7"/>
  <c r="AB145" i="7"/>
  <c r="AA145" i="7"/>
  <c r="P145" i="7"/>
  <c r="N145" i="7"/>
  <c r="M145" i="7"/>
  <c r="H145" i="7"/>
  <c r="AH144" i="7"/>
  <c r="AG144" i="7"/>
  <c r="AE144" i="7"/>
  <c r="AD144" i="7"/>
  <c r="AB144" i="7"/>
  <c r="AA144" i="7"/>
  <c r="P144" i="7"/>
  <c r="M144" i="7"/>
  <c r="H144" i="7"/>
  <c r="P142" i="7"/>
  <c r="S142" i="7" s="1"/>
  <c r="W141" i="7"/>
  <c r="T141" i="7"/>
  <c r="R141" i="7"/>
  <c r="K141" i="7"/>
  <c r="AH140" i="7"/>
  <c r="AG140" i="7"/>
  <c r="AE140" i="7"/>
  <c r="AD140" i="7"/>
  <c r="AB140" i="7"/>
  <c r="AA140" i="7"/>
  <c r="P140" i="7"/>
  <c r="M140" i="7"/>
  <c r="N140" i="7" s="1"/>
  <c r="H140" i="7"/>
  <c r="AH139" i="7"/>
  <c r="AG139" i="7"/>
  <c r="AE139" i="7"/>
  <c r="AD139" i="7"/>
  <c r="AB139" i="7"/>
  <c r="AA139" i="7"/>
  <c r="P139" i="7"/>
  <c r="N139" i="7"/>
  <c r="M139" i="7"/>
  <c r="H139" i="7"/>
  <c r="AC139" i="7" s="1"/>
  <c r="AH137" i="7"/>
  <c r="AG137" i="7"/>
  <c r="AE137" i="7"/>
  <c r="AD137" i="7"/>
  <c r="AB137" i="7"/>
  <c r="AA137" i="7"/>
  <c r="P137" i="7"/>
  <c r="M137" i="7"/>
  <c r="H137" i="7"/>
  <c r="AF137" i="7" s="1"/>
  <c r="AH136" i="7"/>
  <c r="AG136" i="7"/>
  <c r="AE136" i="7"/>
  <c r="AD136" i="7"/>
  <c r="AB136" i="7"/>
  <c r="AA136" i="7"/>
  <c r="P136" i="7"/>
  <c r="N136" i="7"/>
  <c r="O136" i="7" s="1"/>
  <c r="S136" i="7" s="1"/>
  <c r="M136" i="7"/>
  <c r="H136" i="7"/>
  <c r="AC136" i="7" s="1"/>
  <c r="AH135" i="7"/>
  <c r="AG135" i="7"/>
  <c r="AE135" i="7"/>
  <c r="AD135" i="7"/>
  <c r="AC135" i="7"/>
  <c r="AB135" i="7"/>
  <c r="AA135" i="7"/>
  <c r="P135" i="7"/>
  <c r="M135" i="7"/>
  <c r="N135" i="7" s="1"/>
  <c r="H135" i="7"/>
  <c r="AF135" i="7" s="1"/>
  <c r="AH134" i="7"/>
  <c r="AG134" i="7"/>
  <c r="AE134" i="7"/>
  <c r="AD134" i="7"/>
  <c r="AB134" i="7"/>
  <c r="AA134" i="7"/>
  <c r="P134" i="7"/>
  <c r="M134" i="7"/>
  <c r="N134" i="7" s="1"/>
  <c r="H134" i="7"/>
  <c r="AH133" i="7"/>
  <c r="AG133" i="7"/>
  <c r="AE133" i="7"/>
  <c r="AD133" i="7"/>
  <c r="AB133" i="7"/>
  <c r="AA133" i="7"/>
  <c r="P133" i="7"/>
  <c r="M133" i="7"/>
  <c r="N133" i="7" s="1"/>
  <c r="H133" i="7"/>
  <c r="AH132" i="7"/>
  <c r="AG132" i="7"/>
  <c r="AE132" i="7"/>
  <c r="AD132" i="7"/>
  <c r="AB132" i="7"/>
  <c r="AA132" i="7"/>
  <c r="P132" i="7"/>
  <c r="M132" i="7"/>
  <c r="N132" i="7" s="1"/>
  <c r="H132" i="7"/>
  <c r="AH131" i="7"/>
  <c r="AG131" i="7"/>
  <c r="AE131" i="7"/>
  <c r="AD131" i="7"/>
  <c r="AB131" i="7"/>
  <c r="AA131" i="7"/>
  <c r="P131" i="7"/>
  <c r="M131" i="7"/>
  <c r="N131" i="7" s="1"/>
  <c r="H131" i="7"/>
  <c r="AH130" i="7"/>
  <c r="AG130" i="7"/>
  <c r="AE130" i="7"/>
  <c r="AD130" i="7"/>
  <c r="AB130" i="7"/>
  <c r="AA130" i="7"/>
  <c r="P130" i="7"/>
  <c r="N130" i="7"/>
  <c r="M130" i="7"/>
  <c r="H130" i="7"/>
  <c r="AH129" i="7"/>
  <c r="AG129" i="7"/>
  <c r="AE129" i="7"/>
  <c r="AD129" i="7"/>
  <c r="AB129" i="7"/>
  <c r="AA129" i="7"/>
  <c r="P129" i="7"/>
  <c r="M129" i="7"/>
  <c r="N129" i="7" s="1"/>
  <c r="H129" i="7"/>
  <c r="AC129" i="7" s="1"/>
  <c r="AH128" i="7"/>
  <c r="AG128" i="7"/>
  <c r="AF128" i="7"/>
  <c r="AE128" i="7"/>
  <c r="AD128" i="7"/>
  <c r="AB128" i="7"/>
  <c r="AA128" i="7"/>
  <c r="P128" i="7"/>
  <c r="M128" i="7"/>
  <c r="N128" i="7" s="1"/>
  <c r="H128" i="7"/>
  <c r="AC128" i="7" s="1"/>
  <c r="AH127" i="7"/>
  <c r="AG127" i="7"/>
  <c r="AE127" i="7"/>
  <c r="AD127" i="7"/>
  <c r="AB127" i="7"/>
  <c r="AA127" i="7"/>
  <c r="P127" i="7"/>
  <c r="M127" i="7"/>
  <c r="N127" i="7" s="1"/>
  <c r="H127" i="7"/>
  <c r="AC127" i="7" s="1"/>
  <c r="AH126" i="7"/>
  <c r="AG126" i="7"/>
  <c r="AE126" i="7"/>
  <c r="AD126" i="7"/>
  <c r="AB126" i="7"/>
  <c r="AA126" i="7"/>
  <c r="P126" i="7"/>
  <c r="N126" i="7"/>
  <c r="M126" i="7"/>
  <c r="H126" i="7"/>
  <c r="AH125" i="7"/>
  <c r="AG125" i="7"/>
  <c r="AE125" i="7"/>
  <c r="AD125" i="7"/>
  <c r="AB125" i="7"/>
  <c r="AA125" i="7"/>
  <c r="P125" i="7"/>
  <c r="M125" i="7"/>
  <c r="N125" i="7" s="1"/>
  <c r="H125" i="7"/>
  <c r="AF125" i="7" s="1"/>
  <c r="AH124" i="7"/>
  <c r="AG124" i="7"/>
  <c r="AE124" i="7"/>
  <c r="AD124" i="7"/>
  <c r="AB124" i="7"/>
  <c r="AA124" i="7"/>
  <c r="P124" i="7"/>
  <c r="M124" i="7"/>
  <c r="N124" i="7" s="1"/>
  <c r="H124" i="7"/>
  <c r="AH123" i="7"/>
  <c r="AG123" i="7"/>
  <c r="AE123" i="7"/>
  <c r="AD123" i="7"/>
  <c r="AB123" i="7"/>
  <c r="AA123" i="7"/>
  <c r="P123" i="7"/>
  <c r="M123" i="7"/>
  <c r="N123" i="7" s="1"/>
  <c r="H123" i="7"/>
  <c r="AH122" i="7"/>
  <c r="AG122" i="7"/>
  <c r="AE122" i="7"/>
  <c r="AD122" i="7"/>
  <c r="AB122" i="7"/>
  <c r="AA122" i="7"/>
  <c r="P122" i="7"/>
  <c r="M122" i="7"/>
  <c r="N122" i="7" s="1"/>
  <c r="H122" i="7"/>
  <c r="AC122" i="7" s="1"/>
  <c r="AH121" i="7"/>
  <c r="AG121" i="7"/>
  <c r="AE121" i="7"/>
  <c r="AD121" i="7"/>
  <c r="AB121" i="7"/>
  <c r="AA121" i="7"/>
  <c r="P121" i="7"/>
  <c r="M121" i="7"/>
  <c r="N121" i="7" s="1"/>
  <c r="H121" i="7"/>
  <c r="AF121" i="7" s="1"/>
  <c r="AH120" i="7"/>
  <c r="AG120" i="7"/>
  <c r="AE120" i="7"/>
  <c r="AD120" i="7"/>
  <c r="AB120" i="7"/>
  <c r="AA120" i="7"/>
  <c r="P120" i="7"/>
  <c r="M120" i="7"/>
  <c r="N120" i="7" s="1"/>
  <c r="H120" i="7"/>
  <c r="AC120" i="7" s="1"/>
  <c r="AH119" i="7"/>
  <c r="AG119" i="7"/>
  <c r="AE119" i="7"/>
  <c r="AD119" i="7"/>
  <c r="AB119" i="7"/>
  <c r="AA119" i="7"/>
  <c r="P119" i="7"/>
  <c r="M119" i="7"/>
  <c r="N119" i="7" s="1"/>
  <c r="H119" i="7"/>
  <c r="AF119" i="7" s="1"/>
  <c r="AH118" i="7"/>
  <c r="AG118" i="7"/>
  <c r="AE118" i="7"/>
  <c r="AD118" i="7"/>
  <c r="AB118" i="7"/>
  <c r="AA118" i="7"/>
  <c r="P118" i="7"/>
  <c r="N118" i="7"/>
  <c r="M118" i="7"/>
  <c r="H118" i="7"/>
  <c r="AC118" i="7" s="1"/>
  <c r="AH117" i="7"/>
  <c r="AG117" i="7"/>
  <c r="AE117" i="7"/>
  <c r="AD117" i="7"/>
  <c r="AC117" i="7"/>
  <c r="AB117" i="7"/>
  <c r="AA117" i="7"/>
  <c r="P117" i="7"/>
  <c r="M117" i="7"/>
  <c r="N117" i="7" s="1"/>
  <c r="H117" i="7"/>
  <c r="AF117" i="7" s="1"/>
  <c r="AH116" i="7"/>
  <c r="AG116" i="7"/>
  <c r="AE116" i="7"/>
  <c r="AD116" i="7"/>
  <c r="AB116" i="7"/>
  <c r="AA116" i="7"/>
  <c r="P116" i="7"/>
  <c r="M116" i="7"/>
  <c r="N116" i="7" s="1"/>
  <c r="H116" i="7"/>
  <c r="AH115" i="7"/>
  <c r="AG115" i="7"/>
  <c r="AE115" i="7"/>
  <c r="AD115" i="7"/>
  <c r="AC115" i="7"/>
  <c r="AB115" i="7"/>
  <c r="AA115" i="7"/>
  <c r="P115" i="7"/>
  <c r="M115" i="7"/>
  <c r="N115" i="7" s="1"/>
  <c r="H115" i="7"/>
  <c r="AF115" i="7" s="1"/>
  <c r="AH114" i="7"/>
  <c r="AG114" i="7"/>
  <c r="AE114" i="7"/>
  <c r="AD114" i="7"/>
  <c r="AB114" i="7"/>
  <c r="AA114" i="7"/>
  <c r="P114" i="7"/>
  <c r="M114" i="7"/>
  <c r="N114" i="7" s="1"/>
  <c r="H114" i="7"/>
  <c r="AH113" i="7"/>
  <c r="AG113" i="7"/>
  <c r="AE113" i="7"/>
  <c r="AD113" i="7"/>
  <c r="AC113" i="7"/>
  <c r="AB113" i="7"/>
  <c r="AA113" i="7"/>
  <c r="P113" i="7"/>
  <c r="M113" i="7"/>
  <c r="N113" i="7" s="1"/>
  <c r="H113" i="7"/>
  <c r="AF113" i="7" s="1"/>
  <c r="AH112" i="7"/>
  <c r="AG112" i="7"/>
  <c r="AE112" i="7"/>
  <c r="AD112" i="7"/>
  <c r="AB112" i="7"/>
  <c r="AA112" i="7"/>
  <c r="P112" i="7"/>
  <c r="M112" i="7"/>
  <c r="N112" i="7" s="1"/>
  <c r="H112" i="7"/>
  <c r="AH111" i="7"/>
  <c r="AG111" i="7"/>
  <c r="AF111" i="7"/>
  <c r="AE111" i="7"/>
  <c r="AD111" i="7"/>
  <c r="AC111" i="7"/>
  <c r="AB111" i="7"/>
  <c r="AA111" i="7"/>
  <c r="P111" i="7"/>
  <c r="O111" i="7"/>
  <c r="S111" i="7" s="1"/>
  <c r="M111" i="7"/>
  <c r="N111" i="7" s="1"/>
  <c r="H111" i="7"/>
  <c r="AH110" i="7"/>
  <c r="AG110" i="7"/>
  <c r="AE110" i="7"/>
  <c r="AD110" i="7"/>
  <c r="AB110" i="7"/>
  <c r="AA110" i="7"/>
  <c r="P110" i="7"/>
  <c r="M110" i="7"/>
  <c r="N110" i="7" s="1"/>
  <c r="H110" i="7"/>
  <c r="AH109" i="7"/>
  <c r="AG109" i="7"/>
  <c r="AE109" i="7"/>
  <c r="AD109" i="7"/>
  <c r="AB109" i="7"/>
  <c r="AA109" i="7"/>
  <c r="P109" i="7"/>
  <c r="M109" i="7"/>
  <c r="N109" i="7" s="1"/>
  <c r="H109" i="7"/>
  <c r="AC109" i="7" s="1"/>
  <c r="O109" i="7" s="1"/>
  <c r="AH108" i="7"/>
  <c r="AG108" i="7"/>
  <c r="AE108" i="7"/>
  <c r="AD108" i="7"/>
  <c r="AB108" i="7"/>
  <c r="AA108" i="7"/>
  <c r="P108" i="7"/>
  <c r="M108" i="7"/>
  <c r="N108" i="7" s="1"/>
  <c r="H108" i="7"/>
  <c r="AH107" i="7"/>
  <c r="AG107" i="7"/>
  <c r="AE107" i="7"/>
  <c r="AD107" i="7"/>
  <c r="AB107" i="7"/>
  <c r="AA107" i="7"/>
  <c r="P107" i="7"/>
  <c r="M107" i="7"/>
  <c r="N107" i="7" s="1"/>
  <c r="H107" i="7"/>
  <c r="AF107" i="7" s="1"/>
  <c r="AH106" i="7"/>
  <c r="AG106" i="7"/>
  <c r="AE106" i="7"/>
  <c r="AD106" i="7"/>
  <c r="AB106" i="7"/>
  <c r="AA106" i="7"/>
  <c r="U106" i="7" s="1"/>
  <c r="V106" i="7" s="1"/>
  <c r="X106" i="7" s="1"/>
  <c r="P106" i="7"/>
  <c r="N106" i="7"/>
  <c r="M106" i="7"/>
  <c r="H106" i="7"/>
  <c r="AC106" i="7" s="1"/>
  <c r="AH105" i="7"/>
  <c r="AG105" i="7"/>
  <c r="AF105" i="7"/>
  <c r="AE105" i="7"/>
  <c r="AD105" i="7"/>
  <c r="AC105" i="7"/>
  <c r="AB105" i="7"/>
  <c r="AA105" i="7"/>
  <c r="P105" i="7"/>
  <c r="O105" i="7"/>
  <c r="S105" i="7" s="1"/>
  <c r="M105" i="7"/>
  <c r="N105" i="7" s="1"/>
  <c r="H105" i="7"/>
  <c r="AH104" i="7"/>
  <c r="AG104" i="7"/>
  <c r="AE104" i="7"/>
  <c r="AD104" i="7"/>
  <c r="AB104" i="7"/>
  <c r="AA104" i="7"/>
  <c r="P104" i="7"/>
  <c r="M104" i="7"/>
  <c r="N104" i="7" s="1"/>
  <c r="H104" i="7"/>
  <c r="AH103" i="7"/>
  <c r="AG103" i="7"/>
  <c r="AE103" i="7"/>
  <c r="AD103" i="7"/>
  <c r="AB103" i="7"/>
  <c r="AA103" i="7"/>
  <c r="P103" i="7"/>
  <c r="M103" i="7"/>
  <c r="N103" i="7" s="1"/>
  <c r="H103" i="7"/>
  <c r="AC103" i="7" s="1"/>
  <c r="AH102" i="7"/>
  <c r="AG102" i="7"/>
  <c r="AE102" i="7"/>
  <c r="AD102" i="7"/>
  <c r="AB102" i="7"/>
  <c r="AA102" i="7"/>
  <c r="P102" i="7"/>
  <c r="M102" i="7"/>
  <c r="N102" i="7" s="1"/>
  <c r="H102" i="7"/>
  <c r="AH101" i="7"/>
  <c r="AG101" i="7"/>
  <c r="AE101" i="7"/>
  <c r="AD101" i="7"/>
  <c r="AC101" i="7"/>
  <c r="AB101" i="7"/>
  <c r="AA101" i="7"/>
  <c r="O101" i="7" s="1"/>
  <c r="U101" i="7"/>
  <c r="V101" i="7" s="1"/>
  <c r="X101" i="7" s="1"/>
  <c r="P101" i="7"/>
  <c r="M101" i="7"/>
  <c r="N101" i="7" s="1"/>
  <c r="H101" i="7"/>
  <c r="AF101" i="7" s="1"/>
  <c r="AH100" i="7"/>
  <c r="AG100" i="7"/>
  <c r="AE100" i="7"/>
  <c r="AD100" i="7"/>
  <c r="U100" i="7" s="1"/>
  <c r="V100" i="7" s="1"/>
  <c r="X100" i="7" s="1"/>
  <c r="AB100" i="7"/>
  <c r="AA100" i="7"/>
  <c r="P100" i="7"/>
  <c r="M100" i="7"/>
  <c r="N100" i="7" s="1"/>
  <c r="H100" i="7"/>
  <c r="AC100" i="7" s="1"/>
  <c r="AH99" i="7"/>
  <c r="AG99" i="7"/>
  <c r="AF99" i="7"/>
  <c r="AE99" i="7"/>
  <c r="AD99" i="7"/>
  <c r="AB99" i="7"/>
  <c r="AA99" i="7"/>
  <c r="P99" i="7"/>
  <c r="Q99" i="7" s="1"/>
  <c r="O99" i="7"/>
  <c r="M99" i="7"/>
  <c r="N99" i="7" s="1"/>
  <c r="H99" i="7"/>
  <c r="AC99" i="7" s="1"/>
  <c r="AH98" i="7"/>
  <c r="AG98" i="7"/>
  <c r="AE98" i="7"/>
  <c r="AD98" i="7"/>
  <c r="AB98" i="7"/>
  <c r="AA98" i="7"/>
  <c r="P98" i="7"/>
  <c r="M98" i="7"/>
  <c r="N98" i="7" s="1"/>
  <c r="H98" i="7"/>
  <c r="AH97" i="7"/>
  <c r="AG97" i="7"/>
  <c r="AE97" i="7"/>
  <c r="AD97" i="7"/>
  <c r="AB97" i="7"/>
  <c r="AA97" i="7"/>
  <c r="P97" i="7"/>
  <c r="M97" i="7"/>
  <c r="N97" i="7" s="1"/>
  <c r="H97" i="7"/>
  <c r="AH96" i="7"/>
  <c r="AG96" i="7"/>
  <c r="AF96" i="7"/>
  <c r="AE96" i="7"/>
  <c r="AD96" i="7"/>
  <c r="AB96" i="7"/>
  <c r="AA96" i="7"/>
  <c r="P96" i="7"/>
  <c r="M96" i="7"/>
  <c r="N96" i="7" s="1"/>
  <c r="H96" i="7"/>
  <c r="AC96" i="7" s="1"/>
  <c r="AH95" i="7"/>
  <c r="AG95" i="7"/>
  <c r="AF95" i="7"/>
  <c r="AE95" i="7"/>
  <c r="AD95" i="7"/>
  <c r="AB95" i="7"/>
  <c r="AA95" i="7"/>
  <c r="P95" i="7"/>
  <c r="Q95" i="7" s="1"/>
  <c r="O95" i="7"/>
  <c r="M95" i="7"/>
  <c r="N95" i="7" s="1"/>
  <c r="H95" i="7"/>
  <c r="AC95" i="7" s="1"/>
  <c r="AH94" i="7"/>
  <c r="AG94" i="7"/>
  <c r="AE94" i="7"/>
  <c r="AD94" i="7"/>
  <c r="AB94" i="7"/>
  <c r="AA94" i="7"/>
  <c r="U94" i="7" s="1"/>
  <c r="V94" i="7" s="1"/>
  <c r="X94" i="7" s="1"/>
  <c r="P94" i="7"/>
  <c r="M94" i="7"/>
  <c r="N94" i="7" s="1"/>
  <c r="H94" i="7"/>
  <c r="AC94" i="7" s="1"/>
  <c r="AH93" i="7"/>
  <c r="AG93" i="7"/>
  <c r="AE93" i="7"/>
  <c r="AD93" i="7"/>
  <c r="AB93" i="7"/>
  <c r="AA93" i="7"/>
  <c r="P93" i="7"/>
  <c r="M93" i="7"/>
  <c r="N93" i="7" s="1"/>
  <c r="H93" i="7"/>
  <c r="AH92" i="7"/>
  <c r="AG92" i="7"/>
  <c r="AE92" i="7"/>
  <c r="AD92" i="7"/>
  <c r="AB92" i="7"/>
  <c r="AA92" i="7"/>
  <c r="P92" i="7"/>
  <c r="M92" i="7"/>
  <c r="N92" i="7" s="1"/>
  <c r="H92" i="7"/>
  <c r="AH91" i="7"/>
  <c r="AG91" i="7"/>
  <c r="AE91" i="7"/>
  <c r="AD91" i="7"/>
  <c r="AB91" i="7"/>
  <c r="AA91" i="7"/>
  <c r="P91" i="7"/>
  <c r="M91" i="7"/>
  <c r="N91" i="7" s="1"/>
  <c r="H91" i="7"/>
  <c r="AH90" i="7"/>
  <c r="AG90" i="7"/>
  <c r="AE90" i="7"/>
  <c r="AD90" i="7"/>
  <c r="AB90" i="7"/>
  <c r="AA90" i="7"/>
  <c r="P90" i="7"/>
  <c r="M90" i="7"/>
  <c r="N90" i="7" s="1"/>
  <c r="H90" i="7"/>
  <c r="AH89" i="7"/>
  <c r="AG89" i="7"/>
  <c r="AE89" i="7"/>
  <c r="AD89" i="7"/>
  <c r="AB89" i="7"/>
  <c r="AA89" i="7"/>
  <c r="P89" i="7"/>
  <c r="M89" i="7"/>
  <c r="N89" i="7" s="1"/>
  <c r="H89" i="7"/>
  <c r="AH88" i="7"/>
  <c r="AG88" i="7"/>
  <c r="AE88" i="7"/>
  <c r="AD88" i="7"/>
  <c r="AB88" i="7"/>
  <c r="AA88" i="7"/>
  <c r="P88" i="7"/>
  <c r="M88" i="7"/>
  <c r="N88" i="7" s="1"/>
  <c r="H88" i="7"/>
  <c r="AH87" i="7"/>
  <c r="AG87" i="7"/>
  <c r="AE87" i="7"/>
  <c r="AD87" i="7"/>
  <c r="AB87" i="7"/>
  <c r="AA87" i="7"/>
  <c r="P87" i="7"/>
  <c r="M87" i="7"/>
  <c r="N87" i="7" s="1"/>
  <c r="H87" i="7"/>
  <c r="AH86" i="7"/>
  <c r="AG86" i="7"/>
  <c r="AE86" i="7"/>
  <c r="AD86" i="7"/>
  <c r="AB86" i="7"/>
  <c r="AA86" i="7"/>
  <c r="P86" i="7"/>
  <c r="M86" i="7"/>
  <c r="N86" i="7" s="1"/>
  <c r="H86" i="7"/>
  <c r="AH85" i="7"/>
  <c r="AG85" i="7"/>
  <c r="AE85" i="7"/>
  <c r="AD85" i="7"/>
  <c r="AB85" i="7"/>
  <c r="AA85" i="7"/>
  <c r="P85" i="7"/>
  <c r="M85" i="7"/>
  <c r="N85" i="7" s="1"/>
  <c r="H85" i="7"/>
  <c r="AH84" i="7"/>
  <c r="AG84" i="7"/>
  <c r="AE84" i="7"/>
  <c r="AD84" i="7"/>
  <c r="AB84" i="7"/>
  <c r="AA84" i="7"/>
  <c r="P84" i="7"/>
  <c r="M84" i="7"/>
  <c r="N84" i="7" s="1"/>
  <c r="H84" i="7"/>
  <c r="AH83" i="7"/>
  <c r="AG83" i="7"/>
  <c r="AE83" i="7"/>
  <c r="AD83" i="7"/>
  <c r="AB83" i="7"/>
  <c r="AA83" i="7"/>
  <c r="P83" i="7"/>
  <c r="M83" i="7"/>
  <c r="N83" i="7" s="1"/>
  <c r="H83" i="7"/>
  <c r="AH82" i="7"/>
  <c r="AG82" i="7"/>
  <c r="AE82" i="7"/>
  <c r="AD82" i="7"/>
  <c r="AB82" i="7"/>
  <c r="AA82" i="7"/>
  <c r="P82" i="7"/>
  <c r="M82" i="7"/>
  <c r="N82" i="7" s="1"/>
  <c r="H82" i="7"/>
  <c r="AH81" i="7"/>
  <c r="AG81" i="7"/>
  <c r="AE81" i="7"/>
  <c r="AD81" i="7"/>
  <c r="AB81" i="7"/>
  <c r="AA81" i="7"/>
  <c r="P81" i="7"/>
  <c r="M81" i="7"/>
  <c r="N81" i="7" s="1"/>
  <c r="H81" i="7"/>
  <c r="AH80" i="7"/>
  <c r="AG80" i="7"/>
  <c r="AE80" i="7"/>
  <c r="AD80" i="7"/>
  <c r="AB80" i="7"/>
  <c r="AA80" i="7"/>
  <c r="P80" i="7"/>
  <c r="M80" i="7"/>
  <c r="N80" i="7" s="1"/>
  <c r="H80" i="7"/>
  <c r="AH79" i="7"/>
  <c r="AG79" i="7"/>
  <c r="AE79" i="7"/>
  <c r="AD79" i="7"/>
  <c r="AB79" i="7"/>
  <c r="AA79" i="7"/>
  <c r="P79" i="7"/>
  <c r="M79" i="7"/>
  <c r="N79" i="7" s="1"/>
  <c r="H79" i="7"/>
  <c r="AH78" i="7"/>
  <c r="AG78" i="7"/>
  <c r="AE78" i="7"/>
  <c r="AD78" i="7"/>
  <c r="AB78" i="7"/>
  <c r="AA78" i="7"/>
  <c r="P78" i="7"/>
  <c r="M78" i="7"/>
  <c r="N78" i="7" s="1"/>
  <c r="H78" i="7"/>
  <c r="AH77" i="7"/>
  <c r="AG77" i="7"/>
  <c r="AE77" i="7"/>
  <c r="AD77" i="7"/>
  <c r="AB77" i="7"/>
  <c r="AA77" i="7"/>
  <c r="P77" i="7"/>
  <c r="M77" i="7"/>
  <c r="N77" i="7" s="1"/>
  <c r="H77" i="7"/>
  <c r="AH76" i="7"/>
  <c r="AG76" i="7"/>
  <c r="AE76" i="7"/>
  <c r="AD76" i="7"/>
  <c r="AB76" i="7"/>
  <c r="AA76" i="7"/>
  <c r="P76" i="7"/>
  <c r="M76" i="7"/>
  <c r="N76" i="7" s="1"/>
  <c r="H76" i="7"/>
  <c r="AH75" i="7"/>
  <c r="AG75" i="7"/>
  <c r="AE75" i="7"/>
  <c r="AD75" i="7"/>
  <c r="AB75" i="7"/>
  <c r="AA75" i="7"/>
  <c r="P75" i="7"/>
  <c r="M75" i="7"/>
  <c r="H75" i="7"/>
  <c r="W72" i="7"/>
  <c r="T72" i="7"/>
  <c r="R72" i="7"/>
  <c r="K72" i="7"/>
  <c r="AH71" i="7"/>
  <c r="AG71" i="7"/>
  <c r="AE71" i="7"/>
  <c r="AD71" i="7"/>
  <c r="AB71" i="7"/>
  <c r="AA71" i="7"/>
  <c r="P71" i="7"/>
  <c r="M71" i="7"/>
  <c r="N71" i="7" s="1"/>
  <c r="H71" i="7"/>
  <c r="AF71" i="7" s="1"/>
  <c r="AH70" i="7"/>
  <c r="AG70" i="7"/>
  <c r="AE70" i="7"/>
  <c r="AD70" i="7"/>
  <c r="AB70" i="7"/>
  <c r="AA70" i="7"/>
  <c r="P70" i="7"/>
  <c r="M70" i="7"/>
  <c r="N70" i="7" s="1"/>
  <c r="H70" i="7"/>
  <c r="AF70" i="7" s="1"/>
  <c r="AH69" i="7"/>
  <c r="AG69" i="7"/>
  <c r="AE69" i="7"/>
  <c r="AD69" i="7"/>
  <c r="AB69" i="7"/>
  <c r="AA69" i="7"/>
  <c r="P69" i="7"/>
  <c r="N69" i="7"/>
  <c r="M69" i="7"/>
  <c r="H69" i="7"/>
  <c r="AH68" i="7"/>
  <c r="AG68" i="7"/>
  <c r="AE68" i="7"/>
  <c r="AD68" i="7"/>
  <c r="AB68" i="7"/>
  <c r="AA68" i="7"/>
  <c r="P68" i="7"/>
  <c r="M68" i="7"/>
  <c r="H68" i="7"/>
  <c r="AF68" i="7" s="1"/>
  <c r="W65" i="7"/>
  <c r="T65" i="7"/>
  <c r="R65" i="7"/>
  <c r="AH64" i="7"/>
  <c r="AG64" i="7"/>
  <c r="AE64" i="7"/>
  <c r="AD64" i="7"/>
  <c r="AB64" i="7"/>
  <c r="AA64" i="7"/>
  <c r="P64" i="7"/>
  <c r="M64" i="7"/>
  <c r="N64" i="7" s="1"/>
  <c r="H64" i="7"/>
  <c r="AC64" i="7" s="1"/>
  <c r="AH63" i="7"/>
  <c r="AG63" i="7"/>
  <c r="AE63" i="7"/>
  <c r="AD63" i="7"/>
  <c r="AC63" i="7"/>
  <c r="AB63" i="7"/>
  <c r="AA63" i="7"/>
  <c r="U63" i="7" s="1"/>
  <c r="V63" i="7" s="1"/>
  <c r="X63" i="7" s="1"/>
  <c r="P63" i="7"/>
  <c r="M63" i="7"/>
  <c r="N63" i="7" s="1"/>
  <c r="H63" i="7"/>
  <c r="AF63" i="7" s="1"/>
  <c r="AH62" i="7"/>
  <c r="AG62" i="7"/>
  <c r="AF62" i="7"/>
  <c r="AE62" i="7"/>
  <c r="AD62" i="7"/>
  <c r="AC62" i="7"/>
  <c r="AB62" i="7"/>
  <c r="AA62" i="7"/>
  <c r="P62" i="7"/>
  <c r="M62" i="7"/>
  <c r="N62" i="7" s="1"/>
  <c r="H62" i="7"/>
  <c r="AH60" i="7"/>
  <c r="AG60" i="7"/>
  <c r="AE60" i="7"/>
  <c r="AD60" i="7"/>
  <c r="AB60" i="7"/>
  <c r="AA60" i="7"/>
  <c r="P60" i="7"/>
  <c r="M60" i="7"/>
  <c r="N60" i="7" s="1"/>
  <c r="O60" i="7" s="1"/>
  <c r="H60" i="7"/>
  <c r="AF60" i="7" s="1"/>
  <c r="AH59" i="7"/>
  <c r="AG59" i="7"/>
  <c r="AE59" i="7"/>
  <c r="AD59" i="7"/>
  <c r="AB59" i="7"/>
  <c r="AA59" i="7"/>
  <c r="P59" i="7"/>
  <c r="M59" i="7"/>
  <c r="N59" i="7" s="1"/>
  <c r="O59" i="7" s="1"/>
  <c r="H59" i="7"/>
  <c r="AF59" i="7" s="1"/>
  <c r="AH58" i="7"/>
  <c r="AG58" i="7"/>
  <c r="AE58" i="7"/>
  <c r="AD58" i="7"/>
  <c r="AB58" i="7"/>
  <c r="AA58" i="7"/>
  <c r="P58" i="7"/>
  <c r="Q58" i="7" s="1"/>
  <c r="O58" i="7"/>
  <c r="S58" i="7" s="1"/>
  <c r="M58" i="7"/>
  <c r="N58" i="7" s="1"/>
  <c r="H58" i="7"/>
  <c r="AF58" i="7" s="1"/>
  <c r="AH57" i="7"/>
  <c r="AG57" i="7"/>
  <c r="AE57" i="7"/>
  <c r="AD57" i="7"/>
  <c r="AC57" i="7"/>
  <c r="AB57" i="7"/>
  <c r="AA57" i="7"/>
  <c r="P57" i="7"/>
  <c r="M57" i="7"/>
  <c r="H57" i="7"/>
  <c r="AF57" i="7" s="1"/>
  <c r="AH56" i="7"/>
  <c r="AG56" i="7"/>
  <c r="AE56" i="7"/>
  <c r="AD56" i="7"/>
  <c r="AB56" i="7"/>
  <c r="AA56" i="7"/>
  <c r="P56" i="7"/>
  <c r="N56" i="7"/>
  <c r="O56" i="7" s="1"/>
  <c r="M56" i="7"/>
  <c r="H56" i="7"/>
  <c r="AH55" i="7"/>
  <c r="AG55" i="7"/>
  <c r="AE55" i="7"/>
  <c r="AD55" i="7"/>
  <c r="AB55" i="7"/>
  <c r="AA55" i="7"/>
  <c r="P55" i="7"/>
  <c r="M55" i="7"/>
  <c r="H55" i="7"/>
  <c r="AC55" i="7" s="1"/>
  <c r="AH54" i="7"/>
  <c r="AG54" i="7"/>
  <c r="AE54" i="7"/>
  <c r="AD54" i="7"/>
  <c r="AB54" i="7"/>
  <c r="AA54" i="7"/>
  <c r="U54" i="7" s="1"/>
  <c r="V54" i="7" s="1"/>
  <c r="X54" i="7" s="1"/>
  <c r="P54" i="7"/>
  <c r="O54" i="7"/>
  <c r="N54" i="7"/>
  <c r="M54" i="7"/>
  <c r="H54" i="7"/>
  <c r="AC54" i="7" s="1"/>
  <c r="AH53" i="7"/>
  <c r="AG53" i="7"/>
  <c r="AE53" i="7"/>
  <c r="AD53" i="7"/>
  <c r="AB53" i="7"/>
  <c r="AA53" i="7"/>
  <c r="P53" i="7"/>
  <c r="M53" i="7"/>
  <c r="N53" i="7" s="1"/>
  <c r="H53" i="7"/>
  <c r="AC53" i="7" s="1"/>
  <c r="O53" i="7" s="1"/>
  <c r="S53" i="7" s="1"/>
  <c r="AH52" i="7"/>
  <c r="AG52" i="7"/>
  <c r="AE52" i="7"/>
  <c r="AD52" i="7"/>
  <c r="AB52" i="7"/>
  <c r="AA52" i="7"/>
  <c r="P52" i="7"/>
  <c r="K52" i="7"/>
  <c r="M52" i="7" s="1"/>
  <c r="N52" i="7" s="1"/>
  <c r="H52" i="7"/>
  <c r="AC52" i="7" s="1"/>
  <c r="AH51" i="7"/>
  <c r="AG51" i="7"/>
  <c r="AE51" i="7"/>
  <c r="AD51" i="7"/>
  <c r="AB51" i="7"/>
  <c r="AA51" i="7"/>
  <c r="P51" i="7"/>
  <c r="M51" i="7"/>
  <c r="N51" i="7" s="1"/>
  <c r="H51" i="7"/>
  <c r="AF51" i="7" s="1"/>
  <c r="AH50" i="7"/>
  <c r="AG50" i="7"/>
  <c r="AE50" i="7"/>
  <c r="AD50" i="7"/>
  <c r="AB50" i="7"/>
  <c r="AA50" i="7"/>
  <c r="P50" i="7"/>
  <c r="K50" i="7"/>
  <c r="M50" i="7" s="1"/>
  <c r="N50" i="7" s="1"/>
  <c r="H50" i="7"/>
  <c r="AC50" i="7" s="1"/>
  <c r="AH49" i="7"/>
  <c r="AG49" i="7"/>
  <c r="AF49" i="7"/>
  <c r="AE49" i="7"/>
  <c r="AD49" i="7"/>
  <c r="AC49" i="7"/>
  <c r="AB49" i="7"/>
  <c r="AA49" i="7"/>
  <c r="U49" i="7"/>
  <c r="V49" i="7" s="1"/>
  <c r="X49" i="7" s="1"/>
  <c r="P49" i="7"/>
  <c r="M49" i="7"/>
  <c r="N49" i="7" s="1"/>
  <c r="H49" i="7"/>
  <c r="AH48" i="7"/>
  <c r="AG48" i="7"/>
  <c r="AE48" i="7"/>
  <c r="AD48" i="7"/>
  <c r="AC48" i="7"/>
  <c r="O48" i="7" s="1"/>
  <c r="S48" i="7" s="1"/>
  <c r="AB48" i="7"/>
  <c r="AA48" i="7"/>
  <c r="P48" i="7"/>
  <c r="K48" i="7"/>
  <c r="M48" i="7" s="1"/>
  <c r="N48" i="7" s="1"/>
  <c r="H48" i="7"/>
  <c r="AF48" i="7" s="1"/>
  <c r="AH47" i="7"/>
  <c r="AG47" i="7"/>
  <c r="AE47" i="7"/>
  <c r="AD47" i="7"/>
  <c r="AB47" i="7"/>
  <c r="AA47" i="7"/>
  <c r="P47" i="7"/>
  <c r="M47" i="7"/>
  <c r="N47" i="7" s="1"/>
  <c r="U47" i="7" s="1"/>
  <c r="V47" i="7" s="1"/>
  <c r="X47" i="7" s="1"/>
  <c r="H47" i="7"/>
  <c r="AC47" i="7" s="1"/>
  <c r="AH46" i="7"/>
  <c r="AG46" i="7"/>
  <c r="AE46" i="7"/>
  <c r="AD46" i="7"/>
  <c r="AB46" i="7"/>
  <c r="AA46" i="7"/>
  <c r="P46" i="7"/>
  <c r="K46" i="7"/>
  <c r="M46" i="7" s="1"/>
  <c r="N46" i="7" s="1"/>
  <c r="H46" i="7"/>
  <c r="AF46" i="7" s="1"/>
  <c r="AH45" i="7"/>
  <c r="AG45" i="7"/>
  <c r="AE45" i="7"/>
  <c r="AD45" i="7"/>
  <c r="AB45" i="7"/>
  <c r="AA45" i="7"/>
  <c r="P45" i="7"/>
  <c r="M45" i="7"/>
  <c r="N45" i="7" s="1"/>
  <c r="H45" i="7"/>
  <c r="AF45" i="7" s="1"/>
  <c r="AH44" i="7"/>
  <c r="AG44" i="7"/>
  <c r="AE44" i="7"/>
  <c r="AD44" i="7"/>
  <c r="AB44" i="7"/>
  <c r="AA44" i="7"/>
  <c r="P44" i="7"/>
  <c r="K44" i="7"/>
  <c r="M44" i="7" s="1"/>
  <c r="N44" i="7" s="1"/>
  <c r="H44" i="7"/>
  <c r="AH43" i="7"/>
  <c r="AG43" i="7"/>
  <c r="AE43" i="7"/>
  <c r="AD43" i="7"/>
  <c r="AB43" i="7"/>
  <c r="AA43" i="7"/>
  <c r="P43" i="7"/>
  <c r="M43" i="7"/>
  <c r="N43" i="7" s="1"/>
  <c r="H43" i="7"/>
  <c r="AH42" i="7"/>
  <c r="AG42" i="7"/>
  <c r="AE42" i="7"/>
  <c r="AD42" i="7"/>
  <c r="AB42" i="7"/>
  <c r="AA42" i="7"/>
  <c r="P42" i="7"/>
  <c r="K42" i="7"/>
  <c r="M42" i="7" s="1"/>
  <c r="N42" i="7" s="1"/>
  <c r="H42" i="7"/>
  <c r="AF42" i="7" s="1"/>
  <c r="AH41" i="7"/>
  <c r="AG41" i="7"/>
  <c r="AE41" i="7"/>
  <c r="AD41" i="7"/>
  <c r="AB41" i="7"/>
  <c r="AA41" i="7"/>
  <c r="P41" i="7"/>
  <c r="M41" i="7"/>
  <c r="N41" i="7" s="1"/>
  <c r="H41" i="7"/>
  <c r="AH40" i="7"/>
  <c r="AG40" i="7"/>
  <c r="AE40" i="7"/>
  <c r="AD40" i="7"/>
  <c r="AB40" i="7"/>
  <c r="AA40" i="7"/>
  <c r="P40" i="7"/>
  <c r="K40" i="7"/>
  <c r="M40" i="7" s="1"/>
  <c r="N40" i="7" s="1"/>
  <c r="H40" i="7"/>
  <c r="AF40" i="7" s="1"/>
  <c r="AH39" i="7"/>
  <c r="AG39" i="7"/>
  <c r="AE39" i="7"/>
  <c r="AD39" i="7"/>
  <c r="AC39" i="7"/>
  <c r="AB39" i="7"/>
  <c r="AA39" i="7"/>
  <c r="P39" i="7"/>
  <c r="M39" i="7"/>
  <c r="N39" i="7" s="1"/>
  <c r="H39" i="7"/>
  <c r="AF39" i="7" s="1"/>
  <c r="AH38" i="7"/>
  <c r="AG38" i="7"/>
  <c r="AE38" i="7"/>
  <c r="AD38" i="7"/>
  <c r="AB38" i="7"/>
  <c r="AA38" i="7"/>
  <c r="P38" i="7"/>
  <c r="N38" i="7"/>
  <c r="K38" i="7"/>
  <c r="M38" i="7" s="1"/>
  <c r="H38" i="7"/>
  <c r="AC38" i="7" s="1"/>
  <c r="AH37" i="7"/>
  <c r="AG37" i="7"/>
  <c r="AE37" i="7"/>
  <c r="AD37" i="7"/>
  <c r="AC37" i="7"/>
  <c r="AB37" i="7"/>
  <c r="AA37" i="7"/>
  <c r="P37" i="7"/>
  <c r="M37" i="7"/>
  <c r="N37" i="7" s="1"/>
  <c r="H37" i="7"/>
  <c r="AF37" i="7" s="1"/>
  <c r="AH36" i="7"/>
  <c r="AG36" i="7"/>
  <c r="AE36" i="7"/>
  <c r="AD36" i="7"/>
  <c r="AB36" i="7"/>
  <c r="AA36" i="7"/>
  <c r="P36" i="7"/>
  <c r="K36" i="7"/>
  <c r="M36" i="7" s="1"/>
  <c r="N36" i="7" s="1"/>
  <c r="H36" i="7"/>
  <c r="AC36" i="7" s="1"/>
  <c r="AH35" i="7"/>
  <c r="AG35" i="7"/>
  <c r="AE35" i="7"/>
  <c r="AD35" i="7"/>
  <c r="AB35" i="7"/>
  <c r="AA35" i="7"/>
  <c r="P35" i="7"/>
  <c r="M35" i="7"/>
  <c r="N35" i="7" s="1"/>
  <c r="H35" i="7"/>
  <c r="AF35" i="7" s="1"/>
  <c r="AH34" i="7"/>
  <c r="AG34" i="7"/>
  <c r="AE34" i="7"/>
  <c r="AD34" i="7"/>
  <c r="AB34" i="7"/>
  <c r="AA34" i="7"/>
  <c r="P34" i="7"/>
  <c r="K34" i="7"/>
  <c r="H34" i="7"/>
  <c r="AC34" i="7" s="1"/>
  <c r="AH33" i="7"/>
  <c r="AG33" i="7"/>
  <c r="AE33" i="7"/>
  <c r="AD33" i="7"/>
  <c r="AB33" i="7"/>
  <c r="AA33" i="7"/>
  <c r="P33" i="7"/>
  <c r="M33" i="7"/>
  <c r="N33" i="7" s="1"/>
  <c r="H33" i="7"/>
  <c r="AF33" i="7" s="1"/>
  <c r="AH32" i="7"/>
  <c r="AG32" i="7"/>
  <c r="AE32" i="7"/>
  <c r="AD32" i="7"/>
  <c r="AC32" i="7"/>
  <c r="AB32" i="7"/>
  <c r="AA32" i="7"/>
  <c r="P32" i="7"/>
  <c r="K32" i="7"/>
  <c r="M32" i="7" s="1"/>
  <c r="N32" i="7" s="1"/>
  <c r="H32" i="7"/>
  <c r="AF32" i="7" s="1"/>
  <c r="AH31" i="7"/>
  <c r="AG31" i="7"/>
  <c r="AE31" i="7"/>
  <c r="AD31" i="7"/>
  <c r="AB31" i="7"/>
  <c r="AA31" i="7"/>
  <c r="P31" i="7"/>
  <c r="M31" i="7"/>
  <c r="N31" i="7" s="1"/>
  <c r="H31" i="7"/>
  <c r="AC31" i="7" s="1"/>
  <c r="AH30" i="7"/>
  <c r="AG30" i="7"/>
  <c r="AF30" i="7"/>
  <c r="AE30" i="7"/>
  <c r="AD30" i="7"/>
  <c r="AC30" i="7"/>
  <c r="AB30" i="7"/>
  <c r="AA30" i="7"/>
  <c r="O30" i="7" s="1"/>
  <c r="S30" i="7" s="1"/>
  <c r="P30" i="7"/>
  <c r="K30" i="7"/>
  <c r="M30" i="7" s="1"/>
  <c r="N30" i="7" s="1"/>
  <c r="H30" i="7"/>
  <c r="AH29" i="7"/>
  <c r="AG29" i="7"/>
  <c r="AE29" i="7"/>
  <c r="AD29" i="7"/>
  <c r="AB29" i="7"/>
  <c r="AA29" i="7"/>
  <c r="P29" i="7"/>
  <c r="M29" i="7"/>
  <c r="N29" i="7" s="1"/>
  <c r="H29" i="7"/>
  <c r="AF29" i="7" s="1"/>
  <c r="AH28" i="7"/>
  <c r="AG28" i="7"/>
  <c r="AE28" i="7"/>
  <c r="AD28" i="7"/>
  <c r="AB28" i="7"/>
  <c r="AA28" i="7"/>
  <c r="P28" i="7"/>
  <c r="N28" i="7"/>
  <c r="M28" i="7"/>
  <c r="H28" i="7"/>
  <c r="AF28" i="7" s="1"/>
  <c r="AH27" i="7"/>
  <c r="AG27" i="7"/>
  <c r="AF27" i="7"/>
  <c r="AE27" i="7"/>
  <c r="AD27" i="7"/>
  <c r="AB27" i="7"/>
  <c r="AA27" i="7"/>
  <c r="P27" i="7"/>
  <c r="K27" i="7"/>
  <c r="H27" i="7"/>
  <c r="AC27" i="7" s="1"/>
  <c r="AH26" i="7"/>
  <c r="AG26" i="7"/>
  <c r="AE26" i="7"/>
  <c r="AD26" i="7"/>
  <c r="AC26" i="7"/>
  <c r="AB26" i="7"/>
  <c r="AA26" i="7"/>
  <c r="P26" i="7"/>
  <c r="M26" i="7"/>
  <c r="N26" i="7" s="1"/>
  <c r="H26" i="7"/>
  <c r="AF26" i="7" s="1"/>
  <c r="AH25" i="7"/>
  <c r="AG25" i="7"/>
  <c r="AE25" i="7"/>
  <c r="AD25" i="7"/>
  <c r="AB25" i="7"/>
  <c r="AA25" i="7"/>
  <c r="P25" i="7"/>
  <c r="K25" i="7"/>
  <c r="M25" i="7" s="1"/>
  <c r="N25" i="7" s="1"/>
  <c r="H25" i="7"/>
  <c r="AC25" i="7" s="1"/>
  <c r="AH24" i="7"/>
  <c r="AG24" i="7"/>
  <c r="AE24" i="7"/>
  <c r="AD24" i="7"/>
  <c r="AB24" i="7"/>
  <c r="AA24" i="7"/>
  <c r="P24" i="7"/>
  <c r="M24" i="7"/>
  <c r="N24" i="7" s="1"/>
  <c r="H24" i="7"/>
  <c r="AC24" i="7" s="1"/>
  <c r="AH23" i="7"/>
  <c r="AG23" i="7"/>
  <c r="AE23" i="7"/>
  <c r="AD23" i="7"/>
  <c r="AC23" i="7"/>
  <c r="AB23" i="7"/>
  <c r="AA23" i="7"/>
  <c r="O23" i="7" s="1"/>
  <c r="P23" i="7"/>
  <c r="K23" i="7"/>
  <c r="M23" i="7" s="1"/>
  <c r="N23" i="7" s="1"/>
  <c r="H23" i="7"/>
  <c r="AF23" i="7" s="1"/>
  <c r="AH22" i="7"/>
  <c r="AG22" i="7"/>
  <c r="AE22" i="7"/>
  <c r="AD22" i="7"/>
  <c r="AB22" i="7"/>
  <c r="AA22" i="7"/>
  <c r="P22" i="7"/>
  <c r="M22" i="7"/>
  <c r="N22" i="7" s="1"/>
  <c r="H22" i="7"/>
  <c r="AH21" i="7"/>
  <c r="AG21" i="7"/>
  <c r="AE21" i="7"/>
  <c r="AD21" i="7"/>
  <c r="AC21" i="7"/>
  <c r="AB21" i="7"/>
  <c r="AA21" i="7"/>
  <c r="P21" i="7"/>
  <c r="K21" i="7"/>
  <c r="M21" i="7" s="1"/>
  <c r="N21" i="7" s="1"/>
  <c r="H21" i="7"/>
  <c r="AF21" i="7" s="1"/>
  <c r="AH20" i="7"/>
  <c r="AG20" i="7"/>
  <c r="AE20" i="7"/>
  <c r="AD20" i="7"/>
  <c r="AB20" i="7"/>
  <c r="AA20" i="7"/>
  <c r="P20" i="7"/>
  <c r="M20" i="7"/>
  <c r="N20" i="7" s="1"/>
  <c r="H20" i="7"/>
  <c r="AC20" i="7" s="1"/>
  <c r="AH19" i="7"/>
  <c r="AG19" i="7"/>
  <c r="AE19" i="7"/>
  <c r="AD19" i="7"/>
  <c r="AB19" i="7"/>
  <c r="AA19" i="7"/>
  <c r="P19" i="7"/>
  <c r="K19" i="7"/>
  <c r="M19" i="7" s="1"/>
  <c r="N19" i="7" s="1"/>
  <c r="H19" i="7"/>
  <c r="AH18" i="7"/>
  <c r="AG18" i="7"/>
  <c r="AE18" i="7"/>
  <c r="AD18" i="7"/>
  <c r="AB18" i="7"/>
  <c r="AA18" i="7"/>
  <c r="P18" i="7"/>
  <c r="M18" i="7"/>
  <c r="N18" i="7" s="1"/>
  <c r="O18" i="7" s="1"/>
  <c r="S18" i="7" s="1"/>
  <c r="H18" i="7"/>
  <c r="AC18" i="7" s="1"/>
  <c r="AH17" i="7"/>
  <c r="AG17" i="7"/>
  <c r="AE17" i="7"/>
  <c r="AD17" i="7"/>
  <c r="AB17" i="7"/>
  <c r="AA17" i="7"/>
  <c r="P17" i="7"/>
  <c r="K17" i="7"/>
  <c r="M17" i="7" s="1"/>
  <c r="N17" i="7" s="1"/>
  <c r="H17" i="7"/>
  <c r="AF17" i="7" s="1"/>
  <c r="AH16" i="7"/>
  <c r="AG16" i="7"/>
  <c r="AE16" i="7"/>
  <c r="AD16" i="7"/>
  <c r="AB16" i="7"/>
  <c r="AA16" i="7"/>
  <c r="P16" i="7"/>
  <c r="M16" i="7"/>
  <c r="N16" i="7" s="1"/>
  <c r="H16" i="7"/>
  <c r="AC16" i="7" s="1"/>
  <c r="AH15" i="7"/>
  <c r="AG15" i="7"/>
  <c r="AE15" i="7"/>
  <c r="AD15" i="7"/>
  <c r="AC15" i="7"/>
  <c r="AB15" i="7"/>
  <c r="AA15" i="7"/>
  <c r="P15" i="7"/>
  <c r="K15" i="7"/>
  <c r="M15" i="7" s="1"/>
  <c r="N15" i="7" s="1"/>
  <c r="H15" i="7"/>
  <c r="AF15" i="7" s="1"/>
  <c r="AH14" i="7"/>
  <c r="AG14" i="7"/>
  <c r="AE14" i="7"/>
  <c r="AD14" i="7"/>
  <c r="AB14" i="7"/>
  <c r="AA14" i="7"/>
  <c r="P14" i="7"/>
  <c r="M14" i="7"/>
  <c r="N14" i="7" s="1"/>
  <c r="H14" i="7"/>
  <c r="AC14" i="7" s="1"/>
  <c r="AH13" i="7"/>
  <c r="AG13" i="7"/>
  <c r="AE13" i="7"/>
  <c r="AD13" i="7"/>
  <c r="AB13" i="7"/>
  <c r="AA13" i="7"/>
  <c r="P13" i="7"/>
  <c r="K13" i="7"/>
  <c r="H13" i="7"/>
  <c r="AC13" i="7" s="1"/>
  <c r="O13" i="7" s="1"/>
  <c r="I13" i="8"/>
  <c r="D13" i="8"/>
  <c r="C13" i="8"/>
  <c r="O11" i="8"/>
  <c r="N11" i="8"/>
  <c r="N13" i="8" s="1"/>
  <c r="M11" i="8"/>
  <c r="M13" i="8" s="1"/>
  <c r="L11" i="8"/>
  <c r="L13" i="8" s="1"/>
  <c r="K11" i="8"/>
  <c r="K13" i="8" s="1"/>
  <c r="J11" i="8"/>
  <c r="J13" i="8" s="1"/>
  <c r="I11" i="8"/>
  <c r="H11" i="8"/>
  <c r="H13" i="8" s="1"/>
  <c r="G11" i="8"/>
  <c r="G13" i="8" s="1"/>
  <c r="F11" i="8"/>
  <c r="F13" i="8" s="1"/>
  <c r="E11" i="8"/>
  <c r="E13" i="8" s="1"/>
  <c r="D11" i="8"/>
  <c r="C11" i="8"/>
  <c r="O10" i="8"/>
  <c r="O9" i="8"/>
  <c r="O7" i="8"/>
  <c r="L60" i="10" l="1"/>
  <c r="L20" i="10"/>
  <c r="L85" i="10"/>
  <c r="S23" i="7"/>
  <c r="Q23" i="7"/>
  <c r="Q48" i="7"/>
  <c r="S59" i="7"/>
  <c r="Q59" i="7"/>
  <c r="Q60" i="7"/>
  <c r="S60" i="7"/>
  <c r="O151" i="7"/>
  <c r="AF159" i="7"/>
  <c r="O13" i="8"/>
  <c r="M18" i="11" s="1"/>
  <c r="H52" i="4" s="1"/>
  <c r="AC59" i="7"/>
  <c r="U59" i="7" s="1"/>
  <c r="V59" i="7" s="1"/>
  <c r="X59" i="7" s="1"/>
  <c r="Y59" i="7" s="1"/>
  <c r="Z59" i="7" s="1"/>
  <c r="AF139" i="7"/>
  <c r="AF148" i="7"/>
  <c r="AF150" i="7"/>
  <c r="O166" i="7"/>
  <c r="AF14" i="7"/>
  <c r="AC29" i="7"/>
  <c r="O29" i="7" s="1"/>
  <c r="S29" i="7" s="1"/>
  <c r="AF31" i="7"/>
  <c r="O32" i="7"/>
  <c r="S32" i="7" s="1"/>
  <c r="AF34" i="7"/>
  <c r="AF38" i="7"/>
  <c r="AC46" i="7"/>
  <c r="O46" i="7" s="1"/>
  <c r="S46" i="7" s="1"/>
  <c r="AF53" i="7"/>
  <c r="AF55" i="7"/>
  <c r="AC58" i="7"/>
  <c r="AF64" i="7"/>
  <c r="P72" i="7"/>
  <c r="AC70" i="7"/>
  <c r="U70" i="7" s="1"/>
  <c r="V70" i="7" s="1"/>
  <c r="X70" i="7" s="1"/>
  <c r="AF100" i="7"/>
  <c r="AF103" i="7"/>
  <c r="AC107" i="7"/>
  <c r="O107" i="7" s="1"/>
  <c r="AF109" i="7"/>
  <c r="AF120" i="7"/>
  <c r="AC121" i="7"/>
  <c r="U121" i="7" s="1"/>
  <c r="V121" i="7" s="1"/>
  <c r="X121" i="7" s="1"/>
  <c r="Y121" i="7" s="1"/>
  <c r="O128" i="7"/>
  <c r="S128" i="7" s="1"/>
  <c r="AF129" i="7"/>
  <c r="Q142" i="7"/>
  <c r="AC147" i="7"/>
  <c r="AC149" i="7"/>
  <c r="O149" i="7" s="1"/>
  <c r="S149" i="7" s="1"/>
  <c r="AC151" i="7"/>
  <c r="AF153" i="7"/>
  <c r="O164" i="7"/>
  <c r="S164" i="7" s="1"/>
  <c r="AF167" i="7"/>
  <c r="O170" i="7"/>
  <c r="U171" i="7"/>
  <c r="V171" i="7" s="1"/>
  <c r="X171" i="7" s="1"/>
  <c r="U31" i="7"/>
  <c r="V31" i="7" s="1"/>
  <c r="X31" i="7" s="1"/>
  <c r="AC42" i="7"/>
  <c r="U42" i="7" s="1"/>
  <c r="V42" i="7" s="1"/>
  <c r="X42" i="7" s="1"/>
  <c r="AF94" i="7"/>
  <c r="U105" i="7"/>
  <c r="V105" i="7" s="1"/>
  <c r="X105" i="7" s="1"/>
  <c r="Y105" i="7" s="1"/>
  <c r="O118" i="7"/>
  <c r="S118" i="7" s="1"/>
  <c r="AC158" i="7"/>
  <c r="O158" i="7" s="1"/>
  <c r="AC166" i="7"/>
  <c r="U166" i="7" s="1"/>
  <c r="V166" i="7" s="1"/>
  <c r="X166" i="7" s="1"/>
  <c r="U167" i="7"/>
  <c r="V167" i="7" s="1"/>
  <c r="X167" i="7" s="1"/>
  <c r="U169" i="7"/>
  <c r="V169" i="7" s="1"/>
  <c r="X169" i="7" s="1"/>
  <c r="M72" i="7"/>
  <c r="AF24" i="7"/>
  <c r="U20" i="7"/>
  <c r="V20" i="7" s="1"/>
  <c r="X20" i="7" s="1"/>
  <c r="O38" i="7"/>
  <c r="S38" i="7" s="1"/>
  <c r="O37" i="7"/>
  <c r="S37" i="7" s="1"/>
  <c r="AF52" i="7"/>
  <c r="AC119" i="7"/>
  <c r="U119" i="7" s="1"/>
  <c r="V119" i="7" s="1"/>
  <c r="X119" i="7" s="1"/>
  <c r="M155" i="7"/>
  <c r="AF154" i="7"/>
  <c r="O162" i="7"/>
  <c r="S162" i="7" s="1"/>
  <c r="Y162" i="7" s="1"/>
  <c r="Z162" i="7" s="1"/>
  <c r="U175" i="7"/>
  <c r="V175" i="7" s="1"/>
  <c r="X175" i="7" s="1"/>
  <c r="U147" i="7"/>
  <c r="V147" i="7" s="1"/>
  <c r="X147" i="7" s="1"/>
  <c r="AC33" i="7"/>
  <c r="AF47" i="7"/>
  <c r="AC60" i="7"/>
  <c r="U60" i="7" s="1"/>
  <c r="V60" i="7" s="1"/>
  <c r="X60" i="7" s="1"/>
  <c r="Y60" i="7" s="1"/>
  <c r="Z60" i="7" s="1"/>
  <c r="T178" i="7"/>
  <c r="AF127" i="7"/>
  <c r="N144" i="7"/>
  <c r="N155" i="7" s="1"/>
  <c r="AF173" i="7"/>
  <c r="N175" i="7"/>
  <c r="Q109" i="7"/>
  <c r="AC40" i="7"/>
  <c r="AC17" i="7"/>
  <c r="O17" i="7" s="1"/>
  <c r="AF13" i="7"/>
  <c r="O16" i="7"/>
  <c r="U24" i="7"/>
  <c r="V24" i="7" s="1"/>
  <c r="X24" i="7" s="1"/>
  <c r="AC28" i="7"/>
  <c r="Q29" i="7"/>
  <c r="AC45" i="7"/>
  <c r="AF54" i="7"/>
  <c r="AC71" i="7"/>
  <c r="AF122" i="7"/>
  <c r="AC162" i="7"/>
  <c r="U162" i="7" s="1"/>
  <c r="V162" i="7" s="1"/>
  <c r="X162" i="7" s="1"/>
  <c r="L24" i="10"/>
  <c r="L91" i="10"/>
  <c r="L93" i="10"/>
  <c r="Q168" i="7"/>
  <c r="AF169" i="7"/>
  <c r="AC172" i="7"/>
  <c r="O172" i="7" s="1"/>
  <c r="U14" i="7"/>
  <c r="V14" i="7" s="1"/>
  <c r="X14" i="7" s="1"/>
  <c r="Q173" i="7"/>
  <c r="L89" i="10"/>
  <c r="L90" i="10"/>
  <c r="L70" i="10"/>
  <c r="L16" i="10"/>
  <c r="L76" i="10"/>
  <c r="L50" i="10"/>
  <c r="L9" i="10"/>
  <c r="L66" i="10"/>
  <c r="L83" i="10"/>
  <c r="L32" i="10"/>
  <c r="L12" i="10"/>
  <c r="L87" i="10"/>
  <c r="L15" i="10"/>
  <c r="L42" i="10"/>
  <c r="L25" i="10"/>
  <c r="L10" i="10"/>
  <c r="L14" i="10"/>
  <c r="L81" i="10"/>
  <c r="L40" i="10"/>
  <c r="L44" i="10"/>
  <c r="L79" i="10"/>
  <c r="L53" i="10"/>
  <c r="L18" i="10"/>
  <c r="L30" i="10"/>
  <c r="L27" i="10"/>
  <c r="L48" i="10"/>
  <c r="L21" i="10"/>
  <c r="L7" i="10"/>
  <c r="L61" i="10"/>
  <c r="L26" i="10"/>
  <c r="L58" i="10"/>
  <c r="L35" i="10"/>
  <c r="L56" i="10"/>
  <c r="L47" i="10"/>
  <c r="L28" i="10"/>
  <c r="L22" i="10"/>
  <c r="L41" i="10"/>
  <c r="L49" i="10"/>
  <c r="L57" i="10"/>
  <c r="L65" i="10"/>
  <c r="L31" i="10"/>
  <c r="L33" i="10"/>
  <c r="L67" i="10"/>
  <c r="L54" i="10"/>
  <c r="L95" i="10"/>
  <c r="L11" i="10"/>
  <c r="L84" i="10"/>
  <c r="L64" i="10"/>
  <c r="L43" i="10"/>
  <c r="L78" i="10"/>
  <c r="L59" i="10"/>
  <c r="L45" i="10"/>
  <c r="L8" i="10"/>
  <c r="L62" i="10"/>
  <c r="L23" i="10"/>
  <c r="L19" i="10"/>
  <c r="L92" i="10"/>
  <c r="L77" i="10"/>
  <c r="L88" i="10"/>
  <c r="L86" i="10"/>
  <c r="L13" i="10"/>
  <c r="L94" i="10"/>
  <c r="S13" i="7"/>
  <c r="O15" i="7"/>
  <c r="S15" i="7" s="1"/>
  <c r="U15" i="7"/>
  <c r="V15" i="7" s="1"/>
  <c r="X15" i="7" s="1"/>
  <c r="O27" i="7"/>
  <c r="S27" i="7" s="1"/>
  <c r="AC102" i="7"/>
  <c r="AF102" i="7"/>
  <c r="AF19" i="7"/>
  <c r="AC19" i="7"/>
  <c r="M27" i="7"/>
  <c r="N27" i="7" s="1"/>
  <c r="K65" i="7"/>
  <c r="K178" i="7" s="1"/>
  <c r="U21" i="7"/>
  <c r="V21" i="7" s="1"/>
  <c r="X21" i="7" s="1"/>
  <c r="O21" i="7"/>
  <c r="S21" i="7" s="1"/>
  <c r="U33" i="7"/>
  <c r="V33" i="7" s="1"/>
  <c r="X33" i="7" s="1"/>
  <c r="M34" i="7"/>
  <c r="N34" i="7" s="1"/>
  <c r="U39" i="7"/>
  <c r="V39" i="7" s="1"/>
  <c r="X39" i="7" s="1"/>
  <c r="Q53" i="7"/>
  <c r="O62" i="7"/>
  <c r="S62" i="7" s="1"/>
  <c r="AF16" i="7"/>
  <c r="O25" i="7"/>
  <c r="S25" i="7" s="1"/>
  <c r="U25" i="7"/>
  <c r="V25" i="7" s="1"/>
  <c r="X25" i="7" s="1"/>
  <c r="Y25" i="7" s="1"/>
  <c r="U18" i="7"/>
  <c r="V18" i="7" s="1"/>
  <c r="X18" i="7" s="1"/>
  <c r="O20" i="7"/>
  <c r="S20" i="7" s="1"/>
  <c r="Y20" i="7" s="1"/>
  <c r="Z20" i="7" s="1"/>
  <c r="U28" i="7"/>
  <c r="V28" i="7" s="1"/>
  <c r="X28" i="7" s="1"/>
  <c r="O28" i="7"/>
  <c r="O39" i="7"/>
  <c r="S39" i="7" s="1"/>
  <c r="AF69" i="7"/>
  <c r="AC69" i="7"/>
  <c r="U69" i="7" s="1"/>
  <c r="V69" i="7" s="1"/>
  <c r="X69" i="7" s="1"/>
  <c r="Q18" i="7"/>
  <c r="Q37" i="7"/>
  <c r="AF41" i="7"/>
  <c r="AC41" i="7"/>
  <c r="O41" i="7" s="1"/>
  <c r="O45" i="7"/>
  <c r="S45" i="7" s="1"/>
  <c r="U45" i="7"/>
  <c r="V45" i="7" s="1"/>
  <c r="X45" i="7" s="1"/>
  <c r="Q13" i="7"/>
  <c r="O14" i="7"/>
  <c r="S14" i="7" s="1"/>
  <c r="Q30" i="7"/>
  <c r="O40" i="7"/>
  <c r="S40" i="7" s="1"/>
  <c r="AF44" i="7"/>
  <c r="AC44" i="7"/>
  <c r="U53" i="7"/>
  <c r="V53" i="7" s="1"/>
  <c r="X53" i="7" s="1"/>
  <c r="Y53" i="7" s="1"/>
  <c r="S16" i="7"/>
  <c r="Q16" i="7"/>
  <c r="AF22" i="7"/>
  <c r="AC22" i="7"/>
  <c r="U22" i="7" s="1"/>
  <c r="V22" i="7" s="1"/>
  <c r="X22" i="7" s="1"/>
  <c r="U26" i="7"/>
  <c r="V26" i="7" s="1"/>
  <c r="X26" i="7" s="1"/>
  <c r="O26" i="7"/>
  <c r="S26" i="7" s="1"/>
  <c r="U52" i="7"/>
  <c r="V52" i="7" s="1"/>
  <c r="X52" i="7" s="1"/>
  <c r="O36" i="7"/>
  <c r="S36" i="7" s="1"/>
  <c r="S54" i="7"/>
  <c r="Y54" i="7" s="1"/>
  <c r="Z54" i="7" s="1"/>
  <c r="Q54" i="7"/>
  <c r="S56" i="7"/>
  <c r="Q56" i="7"/>
  <c r="U16" i="7"/>
  <c r="V16" i="7" s="1"/>
  <c r="X16" i="7" s="1"/>
  <c r="O34" i="7"/>
  <c r="S34" i="7" s="1"/>
  <c r="Q46" i="7"/>
  <c r="AC75" i="7"/>
  <c r="O75" i="7" s="1"/>
  <c r="AF75" i="7"/>
  <c r="AC79" i="7"/>
  <c r="O79" i="7" s="1"/>
  <c r="AF79" i="7"/>
  <c r="AC83" i="7"/>
  <c r="AF83" i="7"/>
  <c r="AC87" i="7"/>
  <c r="O87" i="7" s="1"/>
  <c r="S87" i="7" s="1"/>
  <c r="AF87" i="7"/>
  <c r="AC91" i="7"/>
  <c r="O91" i="7" s="1"/>
  <c r="AF91" i="7"/>
  <c r="O96" i="7"/>
  <c r="U96" i="7"/>
  <c r="V96" i="7" s="1"/>
  <c r="X96" i="7" s="1"/>
  <c r="AC98" i="7"/>
  <c r="AF98" i="7"/>
  <c r="U50" i="7"/>
  <c r="V50" i="7" s="1"/>
  <c r="X50" i="7" s="1"/>
  <c r="Q101" i="7"/>
  <c r="S101" i="7"/>
  <c r="Y101" i="7" s="1"/>
  <c r="Z101" i="7" s="1"/>
  <c r="AF165" i="7"/>
  <c r="AF20" i="7"/>
  <c r="U29" i="7"/>
  <c r="V29" i="7" s="1"/>
  <c r="X29" i="7" s="1"/>
  <c r="Y29" i="7" s="1"/>
  <c r="AF36" i="7"/>
  <c r="AC43" i="7"/>
  <c r="U43" i="7" s="1"/>
  <c r="V43" i="7" s="1"/>
  <c r="X43" i="7" s="1"/>
  <c r="AF43" i="7"/>
  <c r="AC97" i="7"/>
  <c r="O97" i="7" s="1"/>
  <c r="AF97" i="7"/>
  <c r="AF25" i="7"/>
  <c r="Q27" i="7"/>
  <c r="AC35" i="7"/>
  <c r="O35" i="7" s="1"/>
  <c r="U37" i="7"/>
  <c r="V37" i="7" s="1"/>
  <c r="X37" i="7" s="1"/>
  <c r="Y37" i="7" s="1"/>
  <c r="O52" i="7"/>
  <c r="S52" i="7" s="1"/>
  <c r="M141" i="7"/>
  <c r="N75" i="7"/>
  <c r="S109" i="7"/>
  <c r="U30" i="7"/>
  <c r="V30" i="7" s="1"/>
  <c r="X30" i="7" s="1"/>
  <c r="Q78" i="7"/>
  <c r="AF18" i="7"/>
  <c r="U23" i="7"/>
  <c r="V23" i="7" s="1"/>
  <c r="X23" i="7" s="1"/>
  <c r="Y23" i="7" s="1"/>
  <c r="O24" i="7"/>
  <c r="O31" i="7"/>
  <c r="O43" i="7"/>
  <c r="S43" i="7" s="1"/>
  <c r="O50" i="7"/>
  <c r="S50" i="7" s="1"/>
  <c r="O69" i="7"/>
  <c r="S69" i="7" s="1"/>
  <c r="U103" i="7"/>
  <c r="V103" i="7" s="1"/>
  <c r="X103" i="7" s="1"/>
  <c r="O103" i="7"/>
  <c r="AC104" i="7"/>
  <c r="U104" i="7" s="1"/>
  <c r="V104" i="7" s="1"/>
  <c r="X104" i="7" s="1"/>
  <c r="AF104" i="7"/>
  <c r="P65" i="7"/>
  <c r="Q20" i="7"/>
  <c r="U46" i="7"/>
  <c r="V46" i="7" s="1"/>
  <c r="X46" i="7" s="1"/>
  <c r="Y46" i="7" s="1"/>
  <c r="Q50" i="7"/>
  <c r="Q80" i="7"/>
  <c r="AC93" i="7"/>
  <c r="O93" i="7" s="1"/>
  <c r="S93" i="7" s="1"/>
  <c r="AF93" i="7"/>
  <c r="U165" i="7"/>
  <c r="V165" i="7" s="1"/>
  <c r="X165" i="7" s="1"/>
  <c r="O165" i="7"/>
  <c r="S165" i="7" s="1"/>
  <c r="M13" i="7"/>
  <c r="O33" i="7"/>
  <c r="S33" i="7" s="1"/>
  <c r="AC51" i="7"/>
  <c r="O51" i="7" s="1"/>
  <c r="S51" i="7" s="1"/>
  <c r="U64" i="7"/>
  <c r="V64" i="7" s="1"/>
  <c r="X64" i="7" s="1"/>
  <c r="Y64" i="7" s="1"/>
  <c r="O64" i="7"/>
  <c r="S64" i="7" s="1"/>
  <c r="AC77" i="7"/>
  <c r="U77" i="7" s="1"/>
  <c r="V77" i="7" s="1"/>
  <c r="X77" i="7" s="1"/>
  <c r="AF77" i="7"/>
  <c r="AC81" i="7"/>
  <c r="U81" i="7" s="1"/>
  <c r="V81" i="7" s="1"/>
  <c r="X81" i="7" s="1"/>
  <c r="AF81" i="7"/>
  <c r="AC85" i="7"/>
  <c r="U85" i="7" s="1"/>
  <c r="V85" i="7" s="1"/>
  <c r="X85" i="7" s="1"/>
  <c r="AF85" i="7"/>
  <c r="AC89" i="7"/>
  <c r="AF89" i="7"/>
  <c r="U41" i="7"/>
  <c r="V41" i="7" s="1"/>
  <c r="X41" i="7" s="1"/>
  <c r="O47" i="7"/>
  <c r="U80" i="7"/>
  <c r="V80" i="7" s="1"/>
  <c r="X80" i="7" s="1"/>
  <c r="O81" i="7"/>
  <c r="S81" i="7" s="1"/>
  <c r="O83" i="7"/>
  <c r="S83" i="7" s="1"/>
  <c r="O89" i="7"/>
  <c r="S89" i="7" s="1"/>
  <c r="AC123" i="7"/>
  <c r="U123" i="7" s="1"/>
  <c r="V123" i="7" s="1"/>
  <c r="X123" i="7" s="1"/>
  <c r="AF123" i="7"/>
  <c r="AC130" i="7"/>
  <c r="U130" i="7" s="1"/>
  <c r="V130" i="7" s="1"/>
  <c r="X130" i="7" s="1"/>
  <c r="AF130" i="7"/>
  <c r="S170" i="7"/>
  <c r="Q170" i="7"/>
  <c r="Y171" i="7"/>
  <c r="Z171" i="7" s="1"/>
  <c r="AF50" i="7"/>
  <c r="N68" i="7"/>
  <c r="N72" i="7" s="1"/>
  <c r="O70" i="7"/>
  <c r="S70" i="7" s="1"/>
  <c r="Q105" i="7"/>
  <c r="U48" i="7"/>
  <c r="V48" i="7" s="1"/>
  <c r="X48" i="7" s="1"/>
  <c r="Y48" i="7" s="1"/>
  <c r="O49" i="7"/>
  <c r="AF56" i="7"/>
  <c r="AC56" i="7"/>
  <c r="U56" i="7" s="1"/>
  <c r="V56" i="7" s="1"/>
  <c r="X56" i="7" s="1"/>
  <c r="Y56" i="7" s="1"/>
  <c r="Z56" i="7" s="1"/>
  <c r="U58" i="7"/>
  <c r="V58" i="7" s="1"/>
  <c r="X58" i="7" s="1"/>
  <c r="Y58" i="7" s="1"/>
  <c r="Z58" i="7" s="1"/>
  <c r="U62" i="7"/>
  <c r="V62" i="7" s="1"/>
  <c r="X62" i="7" s="1"/>
  <c r="O63" i="7"/>
  <c r="AC76" i="7"/>
  <c r="O76" i="7" s="1"/>
  <c r="S76" i="7" s="1"/>
  <c r="AF76" i="7"/>
  <c r="AC78" i="7"/>
  <c r="O78" i="7" s="1"/>
  <c r="S78" i="7" s="1"/>
  <c r="AF78" i="7"/>
  <c r="AC80" i="7"/>
  <c r="O80" i="7" s="1"/>
  <c r="S80" i="7" s="1"/>
  <c r="AF80" i="7"/>
  <c r="AC82" i="7"/>
  <c r="O82" i="7" s="1"/>
  <c r="S82" i="7" s="1"/>
  <c r="AF82" i="7"/>
  <c r="AC84" i="7"/>
  <c r="O84" i="7" s="1"/>
  <c r="S84" i="7" s="1"/>
  <c r="AF84" i="7"/>
  <c r="AC86" i="7"/>
  <c r="O86" i="7" s="1"/>
  <c r="S86" i="7" s="1"/>
  <c r="AF86" i="7"/>
  <c r="AC88" i="7"/>
  <c r="O88" i="7" s="1"/>
  <c r="S88" i="7" s="1"/>
  <c r="AF88" i="7"/>
  <c r="AC90" i="7"/>
  <c r="O90" i="7" s="1"/>
  <c r="S90" i="7" s="1"/>
  <c r="AF90" i="7"/>
  <c r="AC92" i="7"/>
  <c r="O92" i="7" s="1"/>
  <c r="AF92" i="7"/>
  <c r="U98" i="7"/>
  <c r="V98" i="7" s="1"/>
  <c r="X98" i="7" s="1"/>
  <c r="S99" i="7"/>
  <c r="AF140" i="7"/>
  <c r="AC140" i="7"/>
  <c r="U140" i="7" s="1"/>
  <c r="V140" i="7" s="1"/>
  <c r="X140" i="7" s="1"/>
  <c r="N57" i="7"/>
  <c r="U107" i="7"/>
  <c r="V107" i="7" s="1"/>
  <c r="X107" i="7" s="1"/>
  <c r="AC108" i="7"/>
  <c r="U108" i="7" s="1"/>
  <c r="V108" i="7" s="1"/>
  <c r="X108" i="7" s="1"/>
  <c r="AF108" i="7"/>
  <c r="U83" i="7"/>
  <c r="V83" i="7" s="1"/>
  <c r="X83" i="7" s="1"/>
  <c r="U87" i="7"/>
  <c r="V87" i="7" s="1"/>
  <c r="X87" i="7" s="1"/>
  <c r="U89" i="7"/>
  <c r="V89" i="7" s="1"/>
  <c r="X89" i="7" s="1"/>
  <c r="W178" i="7"/>
  <c r="AC68" i="7"/>
  <c r="P141" i="7"/>
  <c r="U102" i="7"/>
  <c r="V102" i="7" s="1"/>
  <c r="X102" i="7" s="1"/>
  <c r="Q111" i="7"/>
  <c r="O113" i="7"/>
  <c r="S113" i="7" s="1"/>
  <c r="AC126" i="7"/>
  <c r="U126" i="7" s="1"/>
  <c r="V126" i="7" s="1"/>
  <c r="X126" i="7" s="1"/>
  <c r="AF126" i="7"/>
  <c r="Z129" i="7"/>
  <c r="O129" i="7"/>
  <c r="S129" i="7" s="1"/>
  <c r="U129" i="7"/>
  <c r="V129" i="7" s="1"/>
  <c r="X129" i="7" s="1"/>
  <c r="Y129" i="7" s="1"/>
  <c r="U135" i="7"/>
  <c r="V135" i="7" s="1"/>
  <c r="X135" i="7" s="1"/>
  <c r="Y169" i="7"/>
  <c r="Z169" i="7" s="1"/>
  <c r="U176" i="7"/>
  <c r="V176" i="7" s="1"/>
  <c r="X176" i="7" s="1"/>
  <c r="O176" i="7"/>
  <c r="S176" i="7" s="1"/>
  <c r="N55" i="7"/>
  <c r="O55" i="7" s="1"/>
  <c r="U95" i="7"/>
  <c r="V95" i="7" s="1"/>
  <c r="X95" i="7" s="1"/>
  <c r="O100" i="7"/>
  <c r="U109" i="7"/>
  <c r="V109" i="7" s="1"/>
  <c r="X109" i="7" s="1"/>
  <c r="Y109" i="7" s="1"/>
  <c r="AC110" i="7"/>
  <c r="O110" i="7" s="1"/>
  <c r="AF110" i="7"/>
  <c r="O115" i="7"/>
  <c r="S115" i="7" s="1"/>
  <c r="U120" i="7"/>
  <c r="V120" i="7" s="1"/>
  <c r="X120" i="7" s="1"/>
  <c r="O120" i="7"/>
  <c r="U127" i="7"/>
  <c r="V127" i="7" s="1"/>
  <c r="X127" i="7" s="1"/>
  <c r="O150" i="7"/>
  <c r="U150" i="7"/>
  <c r="V150" i="7" s="1"/>
  <c r="X150" i="7" s="1"/>
  <c r="O94" i="7"/>
  <c r="O102" i="7"/>
  <c r="S102" i="7" s="1"/>
  <c r="U111" i="7"/>
  <c r="V111" i="7" s="1"/>
  <c r="X111" i="7" s="1"/>
  <c r="Y111" i="7" s="1"/>
  <c r="AC112" i="7"/>
  <c r="O112" i="7" s="1"/>
  <c r="AF112" i="7"/>
  <c r="AC124" i="7"/>
  <c r="O124" i="7" s="1"/>
  <c r="AF124" i="7"/>
  <c r="AC134" i="7"/>
  <c r="U134" i="7" s="1"/>
  <c r="V134" i="7" s="1"/>
  <c r="X134" i="7" s="1"/>
  <c r="AF134" i="7"/>
  <c r="Z167" i="7"/>
  <c r="Y167" i="7"/>
  <c r="U174" i="7"/>
  <c r="V174" i="7" s="1"/>
  <c r="X174" i="7" s="1"/>
  <c r="O174" i="7"/>
  <c r="Y175" i="7"/>
  <c r="Z175" i="7" s="1"/>
  <c r="R178" i="7"/>
  <c r="S95" i="7"/>
  <c r="U99" i="7"/>
  <c r="V99" i="7" s="1"/>
  <c r="X99" i="7" s="1"/>
  <c r="O106" i="7"/>
  <c r="U113" i="7"/>
  <c r="V113" i="7" s="1"/>
  <c r="X113" i="7" s="1"/>
  <c r="Y113" i="7" s="1"/>
  <c r="AC114" i="7"/>
  <c r="O114" i="7" s="1"/>
  <c r="AF114" i="7"/>
  <c r="AF131" i="7"/>
  <c r="AC131" i="7"/>
  <c r="U131" i="7" s="1"/>
  <c r="V131" i="7" s="1"/>
  <c r="X131" i="7" s="1"/>
  <c r="U145" i="7"/>
  <c r="V145" i="7" s="1"/>
  <c r="X145" i="7" s="1"/>
  <c r="O145" i="7"/>
  <c r="AC146" i="7"/>
  <c r="AF146" i="7"/>
  <c r="S151" i="7"/>
  <c r="Q151" i="7"/>
  <c r="O98" i="7"/>
  <c r="S98" i="7" s="1"/>
  <c r="U115" i="7"/>
  <c r="V115" i="7" s="1"/>
  <c r="X115" i="7" s="1"/>
  <c r="AC116" i="7"/>
  <c r="O116" i="7" s="1"/>
  <c r="AF116" i="7"/>
  <c r="AF118" i="7"/>
  <c r="AF133" i="7"/>
  <c r="AC133" i="7"/>
  <c r="O133" i="7" s="1"/>
  <c r="U168" i="7"/>
  <c r="V168" i="7" s="1"/>
  <c r="X168" i="7" s="1"/>
  <c r="Y168" i="7" s="1"/>
  <c r="U170" i="7"/>
  <c r="V170" i="7" s="1"/>
  <c r="X170" i="7" s="1"/>
  <c r="Y170" i="7" s="1"/>
  <c r="Q171" i="7"/>
  <c r="U151" i="7"/>
  <c r="V151" i="7" s="1"/>
  <c r="X151" i="7" s="1"/>
  <c r="AF152" i="7"/>
  <c r="AC152" i="7"/>
  <c r="U122" i="7"/>
  <c r="V122" i="7" s="1"/>
  <c r="X122" i="7" s="1"/>
  <c r="O122" i="7"/>
  <c r="S122" i="7" s="1"/>
  <c r="AC132" i="7"/>
  <c r="AF132" i="7"/>
  <c r="U153" i="7"/>
  <c r="V153" i="7" s="1"/>
  <c r="X153" i="7" s="1"/>
  <c r="O153" i="7"/>
  <c r="O154" i="7"/>
  <c r="U154" i="7"/>
  <c r="V154" i="7" s="1"/>
  <c r="X154" i="7" s="1"/>
  <c r="U158" i="7"/>
  <c r="M177" i="7"/>
  <c r="U159" i="7"/>
  <c r="V159" i="7" s="1"/>
  <c r="X159" i="7" s="1"/>
  <c r="AC161" i="7"/>
  <c r="AF161" i="7"/>
  <c r="AF106" i="7"/>
  <c r="U118" i="7"/>
  <c r="V118" i="7" s="1"/>
  <c r="X118" i="7" s="1"/>
  <c r="Q136" i="7"/>
  <c r="P155" i="7"/>
  <c r="O148" i="7"/>
  <c r="N159" i="7"/>
  <c r="U160" i="7"/>
  <c r="V160" i="7" s="1"/>
  <c r="X160" i="7" s="1"/>
  <c r="O160" i="7"/>
  <c r="S160" i="7" s="1"/>
  <c r="AC163" i="7"/>
  <c r="AF163" i="7"/>
  <c r="O169" i="7"/>
  <c r="S169" i="7" s="1"/>
  <c r="U173" i="7"/>
  <c r="V173" i="7" s="1"/>
  <c r="X173" i="7" s="1"/>
  <c r="Y173" i="7" s="1"/>
  <c r="Q176" i="7"/>
  <c r="O117" i="7"/>
  <c r="U117" i="7"/>
  <c r="V117" i="7" s="1"/>
  <c r="X117" i="7" s="1"/>
  <c r="O121" i="7"/>
  <c r="S121" i="7" s="1"/>
  <c r="AC125" i="7"/>
  <c r="O125" i="7" s="1"/>
  <c r="AF144" i="7"/>
  <c r="AC144" i="7"/>
  <c r="Y164" i="7"/>
  <c r="Z164" i="7" s="1"/>
  <c r="O127" i="7"/>
  <c r="O131" i="7"/>
  <c r="S131" i="7" s="1"/>
  <c r="U132" i="7"/>
  <c r="V132" i="7" s="1"/>
  <c r="X132" i="7" s="1"/>
  <c r="AF136" i="7"/>
  <c r="P177" i="7"/>
  <c r="Q159" i="7"/>
  <c r="Q175" i="7"/>
  <c r="U128" i="7"/>
  <c r="V128" i="7" s="1"/>
  <c r="X128" i="7" s="1"/>
  <c r="O132" i="7"/>
  <c r="S132" i="7" s="1"/>
  <c r="U139" i="7"/>
  <c r="V139" i="7" s="1"/>
  <c r="X139" i="7" s="1"/>
  <c r="AF175" i="7"/>
  <c r="O147" i="7"/>
  <c r="U149" i="7"/>
  <c r="V149" i="7" s="1"/>
  <c r="X149" i="7" s="1"/>
  <c r="Y149" i="7" s="1"/>
  <c r="Q165" i="7"/>
  <c r="O135" i="7"/>
  <c r="S135" i="7" s="1"/>
  <c r="U136" i="7"/>
  <c r="V136" i="7" s="1"/>
  <c r="X136" i="7" s="1"/>
  <c r="Y136" i="7" s="1"/>
  <c r="Z136" i="7" s="1"/>
  <c r="AC137" i="7"/>
  <c r="O139" i="7"/>
  <c r="S139" i="7" s="1"/>
  <c r="Q167" i="7"/>
  <c r="N137" i="7"/>
  <c r="O63" i="1"/>
  <c r="N63" i="1"/>
  <c r="M63" i="1"/>
  <c r="L63" i="1"/>
  <c r="K63" i="1"/>
  <c r="J63" i="1"/>
  <c r="I63" i="1"/>
  <c r="H63" i="1"/>
  <c r="G63" i="1"/>
  <c r="F63" i="1"/>
  <c r="E63" i="1"/>
  <c r="D63" i="1"/>
  <c r="S172" i="7" l="1"/>
  <c r="Q172" i="7"/>
  <c r="Q158" i="7"/>
  <c r="S158" i="7"/>
  <c r="Q118" i="7"/>
  <c r="Q102" i="7"/>
  <c r="Q32" i="7"/>
  <c r="U32" i="7" s="1"/>
  <c r="V32" i="7" s="1"/>
  <c r="X32" i="7" s="1"/>
  <c r="O130" i="7"/>
  <c r="O119" i="7"/>
  <c r="U172" i="7"/>
  <c r="V172" i="7" s="1"/>
  <c r="X172" i="7" s="1"/>
  <c r="Q128" i="7"/>
  <c r="Z105" i="7"/>
  <c r="Q83" i="7"/>
  <c r="O85" i="7"/>
  <c r="Q84" i="7"/>
  <c r="Y26" i="7"/>
  <c r="U92" i="7"/>
  <c r="V92" i="7" s="1"/>
  <c r="X92" i="7" s="1"/>
  <c r="Q38" i="7"/>
  <c r="U38" i="7" s="1"/>
  <c r="V38" i="7" s="1"/>
  <c r="X38" i="7" s="1"/>
  <c r="Q164" i="7"/>
  <c r="Y83" i="7"/>
  <c r="Z83" i="7" s="1"/>
  <c r="Y62" i="7"/>
  <c r="Z62" i="7" s="1"/>
  <c r="O104" i="7"/>
  <c r="U17" i="7"/>
  <c r="V17" i="7" s="1"/>
  <c r="X17" i="7" s="1"/>
  <c r="Q33" i="7"/>
  <c r="E52" i="3"/>
  <c r="H53" i="4"/>
  <c r="H54" i="4" s="1"/>
  <c r="U71" i="7"/>
  <c r="V71" i="7" s="1"/>
  <c r="X71" i="7" s="1"/>
  <c r="O71" i="7"/>
  <c r="Q162" i="7"/>
  <c r="N177" i="7"/>
  <c r="O137" i="7"/>
  <c r="Y151" i="7"/>
  <c r="Q115" i="7"/>
  <c r="U68" i="7"/>
  <c r="Q98" i="7"/>
  <c r="Q93" i="7"/>
  <c r="Q90" i="7"/>
  <c r="O22" i="7"/>
  <c r="Y14" i="7"/>
  <c r="Z14" i="7" s="1"/>
  <c r="Q14" i="7"/>
  <c r="Y87" i="7"/>
  <c r="Y70" i="7"/>
  <c r="Z70" i="7" s="1"/>
  <c r="Q166" i="7"/>
  <c r="S166" i="7"/>
  <c r="Y166" i="7" s="1"/>
  <c r="Z166" i="7" s="1"/>
  <c r="Y115" i="7"/>
  <c r="Z115" i="7" s="1"/>
  <c r="Y99" i="7"/>
  <c r="Q131" i="7"/>
  <c r="U93" i="7"/>
  <c r="V93" i="7" s="1"/>
  <c r="X93" i="7" s="1"/>
  <c r="U88" i="7"/>
  <c r="V88" i="7" s="1"/>
  <c r="X88" i="7" s="1"/>
  <c r="Y118" i="7"/>
  <c r="Z118" i="7" s="1"/>
  <c r="Q149" i="7"/>
  <c r="Z99" i="7"/>
  <c r="O42" i="7"/>
  <c r="S35" i="7"/>
  <c r="Q35" i="7"/>
  <c r="Y32" i="7"/>
  <c r="Z32" i="7" s="1"/>
  <c r="U72" i="7"/>
  <c r="V68" i="7"/>
  <c r="S79" i="7"/>
  <c r="Q79" i="7"/>
  <c r="Y81" i="7"/>
  <c r="Z81" i="7" s="1"/>
  <c r="S125" i="7"/>
  <c r="Q125" i="7"/>
  <c r="Y131" i="7"/>
  <c r="Z131" i="7"/>
  <c r="S137" i="7"/>
  <c r="Q137" i="7"/>
  <c r="S133" i="7"/>
  <c r="Q133" i="7"/>
  <c r="S92" i="7"/>
  <c r="Y92" i="7" s="1"/>
  <c r="Z92" i="7" s="1"/>
  <c r="Q92" i="7"/>
  <c r="S91" i="7"/>
  <c r="Q91" i="7"/>
  <c r="S75" i="7"/>
  <c r="Q75" i="7"/>
  <c r="Y43" i="7"/>
  <c r="Z43" i="7" s="1"/>
  <c r="S97" i="7"/>
  <c r="Q97" i="7"/>
  <c r="O146" i="7"/>
  <c r="U146" i="7"/>
  <c r="V146" i="7" s="1"/>
  <c r="X146" i="7" s="1"/>
  <c r="S110" i="7"/>
  <c r="Q110" i="7"/>
  <c r="S107" i="7"/>
  <c r="Y107" i="7" s="1"/>
  <c r="Z107" i="7" s="1"/>
  <c r="Q107" i="7"/>
  <c r="S31" i="7"/>
  <c r="Y31" i="7" s="1"/>
  <c r="Z31" i="7" s="1"/>
  <c r="Q31" i="7"/>
  <c r="Q82" i="7"/>
  <c r="Z26" i="7"/>
  <c r="Y132" i="7"/>
  <c r="Z132" i="7"/>
  <c r="Z173" i="7"/>
  <c r="O123" i="7"/>
  <c r="S106" i="7"/>
  <c r="Y106" i="7" s="1"/>
  <c r="Z106" i="7" s="1"/>
  <c r="Q106" i="7"/>
  <c r="U97" i="7"/>
  <c r="V97" i="7" s="1"/>
  <c r="X97" i="7" s="1"/>
  <c r="Z111" i="7"/>
  <c r="Z37" i="7"/>
  <c r="U35" i="7"/>
  <c r="V35" i="7" s="1"/>
  <c r="X35" i="7" s="1"/>
  <c r="Q148" i="7"/>
  <c r="S148" i="7"/>
  <c r="Y148" i="7" s="1"/>
  <c r="Z148" i="7" s="1"/>
  <c r="U137" i="7"/>
  <c r="V137" i="7" s="1"/>
  <c r="X137" i="7" s="1"/>
  <c r="Y137" i="7" s="1"/>
  <c r="Z137" i="7" s="1"/>
  <c r="Q121" i="7"/>
  <c r="Y135" i="7"/>
  <c r="Z135" i="7" s="1"/>
  <c r="Q135" i="7"/>
  <c r="O126" i="7"/>
  <c r="U86" i="7"/>
  <c r="V86" i="7" s="1"/>
  <c r="X86" i="7" s="1"/>
  <c r="U78" i="7"/>
  <c r="V78" i="7" s="1"/>
  <c r="X78" i="7" s="1"/>
  <c r="N141" i="7"/>
  <c r="Q34" i="7"/>
  <c r="U34" i="7" s="1"/>
  <c r="V34" i="7" s="1"/>
  <c r="X34" i="7" s="1"/>
  <c r="O68" i="7"/>
  <c r="Q25" i="7"/>
  <c r="Q69" i="7"/>
  <c r="Q86" i="7"/>
  <c r="Z29" i="7"/>
  <c r="Q40" i="7"/>
  <c r="U40" i="7" s="1"/>
  <c r="V40" i="7" s="1"/>
  <c r="X40" i="7" s="1"/>
  <c r="Z23" i="7"/>
  <c r="Z25" i="7"/>
  <c r="S153" i="7"/>
  <c r="Q153" i="7"/>
  <c r="S114" i="7"/>
  <c r="Q114" i="7"/>
  <c r="S174" i="7"/>
  <c r="Y174" i="7" s="1"/>
  <c r="Z174" i="7" s="1"/>
  <c r="Q174" i="7"/>
  <c r="Q45" i="7"/>
  <c r="S41" i="7"/>
  <c r="Q41" i="7"/>
  <c r="Y122" i="7"/>
  <c r="Z122" i="7" s="1"/>
  <c r="Q81" i="7"/>
  <c r="S24" i="7"/>
  <c r="Y24" i="7" s="1"/>
  <c r="Z24" i="7" s="1"/>
  <c r="Q24" i="7"/>
  <c r="Y50" i="7"/>
  <c r="Z50" i="7" s="1"/>
  <c r="S147" i="7"/>
  <c r="Y147" i="7" s="1"/>
  <c r="Z147" i="7" s="1"/>
  <c r="Q147" i="7"/>
  <c r="Z121" i="7"/>
  <c r="V158" i="7"/>
  <c r="Q160" i="7"/>
  <c r="Z168" i="7"/>
  <c r="Y172" i="7"/>
  <c r="S94" i="7"/>
  <c r="Y94" i="7" s="1"/>
  <c r="Z94" i="7" s="1"/>
  <c r="Q94" i="7"/>
  <c r="Y95" i="7"/>
  <c r="Z95" i="7" s="1"/>
  <c r="U110" i="7"/>
  <c r="V110" i="7" s="1"/>
  <c r="X110" i="7" s="1"/>
  <c r="Z109" i="7"/>
  <c r="U79" i="7"/>
  <c r="V79" i="7" s="1"/>
  <c r="X79" i="7" s="1"/>
  <c r="O134" i="7"/>
  <c r="Q169" i="7"/>
  <c r="O77" i="7"/>
  <c r="Q76" i="7"/>
  <c r="Q43" i="7"/>
  <c r="O108" i="7"/>
  <c r="Q70" i="7"/>
  <c r="Q51" i="7"/>
  <c r="Z48" i="7"/>
  <c r="Z53" i="7"/>
  <c r="Y52" i="7"/>
  <c r="Z52" i="7" s="1"/>
  <c r="Y17" i="7"/>
  <c r="Z17" i="7" s="1"/>
  <c r="Z46" i="7"/>
  <c r="Y21" i="7"/>
  <c r="Z21" i="7" s="1"/>
  <c r="Y165" i="7"/>
  <c r="Z165" i="7" s="1"/>
  <c r="Y139" i="7"/>
  <c r="Z139" i="7"/>
  <c r="Y153" i="7"/>
  <c r="Z153" i="7" s="1"/>
  <c r="S145" i="7"/>
  <c r="Y145" i="7" s="1"/>
  <c r="Z145" i="7" s="1"/>
  <c r="Q145" i="7"/>
  <c r="Y80" i="7"/>
  <c r="Z80" i="7"/>
  <c r="Q139" i="7"/>
  <c r="S120" i="7"/>
  <c r="Y120" i="7" s="1"/>
  <c r="Z120" i="7" s="1"/>
  <c r="Q120" i="7"/>
  <c r="Z16" i="7"/>
  <c r="Y16" i="7"/>
  <c r="Y128" i="7"/>
  <c r="Z128" i="7"/>
  <c r="S127" i="7"/>
  <c r="Y127" i="7" s="1"/>
  <c r="Z127" i="7" s="1"/>
  <c r="Q127" i="7"/>
  <c r="O144" i="7"/>
  <c r="U144" i="7"/>
  <c r="Y117" i="7"/>
  <c r="Z117" i="7" s="1"/>
  <c r="O152" i="7"/>
  <c r="U152" i="7"/>
  <c r="V152" i="7" s="1"/>
  <c r="X152" i="7" s="1"/>
  <c r="Q113" i="7"/>
  <c r="Y102" i="7"/>
  <c r="Z102" i="7"/>
  <c r="Y98" i="7"/>
  <c r="Z98" i="7" s="1"/>
  <c r="U84" i="7"/>
  <c r="V84" i="7" s="1"/>
  <c r="X84" i="7" s="1"/>
  <c r="U76" i="7"/>
  <c r="V76" i="7" s="1"/>
  <c r="X76" i="7" s="1"/>
  <c r="M65" i="7"/>
  <c r="M178" i="7" s="1"/>
  <c r="N13" i="7"/>
  <c r="N65" i="7" s="1"/>
  <c r="N178" i="7" s="1"/>
  <c r="Q36" i="7"/>
  <c r="U36" i="7" s="1"/>
  <c r="V36" i="7" s="1"/>
  <c r="X36" i="7" s="1"/>
  <c r="Q62" i="7"/>
  <c r="S17" i="7"/>
  <c r="Q17" i="7"/>
  <c r="O44" i="7"/>
  <c r="U44" i="7"/>
  <c r="V44" i="7" s="1"/>
  <c r="X44" i="7" s="1"/>
  <c r="Y69" i="7"/>
  <c r="Z69" i="7" s="1"/>
  <c r="Y18" i="7"/>
  <c r="Z18" i="7"/>
  <c r="Y39" i="7"/>
  <c r="Z39" i="7" s="1"/>
  <c r="S119" i="7"/>
  <c r="Y119" i="7" s="1"/>
  <c r="Z119" i="7" s="1"/>
  <c r="Q119" i="7"/>
  <c r="S112" i="7"/>
  <c r="Q112" i="7"/>
  <c r="Y41" i="7"/>
  <c r="Z41" i="7" s="1"/>
  <c r="Q103" i="7"/>
  <c r="S103" i="7"/>
  <c r="U161" i="7"/>
  <c r="V161" i="7" s="1"/>
  <c r="X161" i="7" s="1"/>
  <c r="O161" i="7"/>
  <c r="S63" i="7"/>
  <c r="Y63" i="7" s="1"/>
  <c r="Z63" i="7" s="1"/>
  <c r="Q63" i="7"/>
  <c r="Y103" i="7"/>
  <c r="Z103" i="7" s="1"/>
  <c r="Q132" i="7"/>
  <c r="S117" i="7"/>
  <c r="Q117" i="7"/>
  <c r="U163" i="7"/>
  <c r="V163" i="7" s="1"/>
  <c r="X163" i="7" s="1"/>
  <c r="O163" i="7"/>
  <c r="U133" i="7"/>
  <c r="V133" i="7" s="1"/>
  <c r="X133" i="7" s="1"/>
  <c r="Y154" i="7"/>
  <c r="Z154" i="7" s="1"/>
  <c r="U125" i="7"/>
  <c r="V125" i="7" s="1"/>
  <c r="X125" i="7" s="1"/>
  <c r="Z149" i="7"/>
  <c r="Z170" i="7"/>
  <c r="U116" i="7"/>
  <c r="V116" i="7" s="1"/>
  <c r="X116" i="7" s="1"/>
  <c r="U114" i="7"/>
  <c r="V114" i="7" s="1"/>
  <c r="X114" i="7" s="1"/>
  <c r="U112" i="7"/>
  <c r="V112" i="7" s="1"/>
  <c r="X112" i="7" s="1"/>
  <c r="Q55" i="7"/>
  <c r="S55" i="7"/>
  <c r="U91" i="7"/>
  <c r="V91" i="7" s="1"/>
  <c r="X91" i="7" s="1"/>
  <c r="U75" i="7"/>
  <c r="O57" i="7"/>
  <c r="U57" i="7"/>
  <c r="V57" i="7" s="1"/>
  <c r="X57" i="7" s="1"/>
  <c r="S49" i="7"/>
  <c r="Y49" i="7" s="1"/>
  <c r="Z49" i="7" s="1"/>
  <c r="Q49" i="7"/>
  <c r="Y104" i="7"/>
  <c r="Z104" i="7" s="1"/>
  <c r="Q89" i="7"/>
  <c r="Q88" i="7"/>
  <c r="U51" i="7"/>
  <c r="V51" i="7" s="1"/>
  <c r="X51" i="7" s="1"/>
  <c r="Y30" i="7"/>
  <c r="Z30" i="7" s="1"/>
  <c r="Q64" i="7"/>
  <c r="U55" i="7"/>
  <c r="V55" i="7" s="1"/>
  <c r="X55" i="7" s="1"/>
  <c r="Y38" i="7"/>
  <c r="Z38" i="7" s="1"/>
  <c r="Z113" i="7"/>
  <c r="Q39" i="7"/>
  <c r="Q26" i="7"/>
  <c r="Q15" i="7"/>
  <c r="U27" i="7"/>
  <c r="V27" i="7" s="1"/>
  <c r="X27" i="7" s="1"/>
  <c r="S116" i="7"/>
  <c r="Q116" i="7"/>
  <c r="U19" i="7"/>
  <c r="V19" i="7" s="1"/>
  <c r="X19" i="7" s="1"/>
  <c r="O19" i="7"/>
  <c r="O65" i="7" s="1"/>
  <c r="Y160" i="7"/>
  <c r="Z160" i="7" s="1"/>
  <c r="Y176" i="7"/>
  <c r="Y88" i="7"/>
  <c r="Z88" i="7" s="1"/>
  <c r="S22" i="7"/>
  <c r="Y22" i="7" s="1"/>
  <c r="Z22" i="7" s="1"/>
  <c r="Q22" i="7"/>
  <c r="Y33" i="7"/>
  <c r="Z33" i="7" s="1"/>
  <c r="Y159" i="7"/>
  <c r="Z159" i="7" s="1"/>
  <c r="S124" i="7"/>
  <c r="Q124" i="7"/>
  <c r="S100" i="7"/>
  <c r="Y100" i="7" s="1"/>
  <c r="Z100" i="7" s="1"/>
  <c r="Q100" i="7"/>
  <c r="Q122" i="7"/>
  <c r="S28" i="7"/>
  <c r="Y28" i="7" s="1"/>
  <c r="Z28" i="7" s="1"/>
  <c r="Q28" i="7"/>
  <c r="O140" i="7"/>
  <c r="U124" i="7"/>
  <c r="V124" i="7" s="1"/>
  <c r="X124" i="7" s="1"/>
  <c r="Q154" i="7"/>
  <c r="S154" i="7"/>
  <c r="Z151" i="7"/>
  <c r="Q150" i="7"/>
  <c r="S150" i="7"/>
  <c r="Y150" i="7" s="1"/>
  <c r="Z150" i="7" s="1"/>
  <c r="Z176" i="7"/>
  <c r="Y89" i="7"/>
  <c r="Z89" i="7" s="1"/>
  <c r="S104" i="7"/>
  <c r="Q104" i="7"/>
  <c r="Q87" i="7"/>
  <c r="Q52" i="7"/>
  <c r="U90" i="7"/>
  <c r="V90" i="7" s="1"/>
  <c r="X90" i="7" s="1"/>
  <c r="U82" i="7"/>
  <c r="V82" i="7" s="1"/>
  <c r="X82" i="7" s="1"/>
  <c r="S47" i="7"/>
  <c r="Y47" i="7" s="1"/>
  <c r="Z47" i="7" s="1"/>
  <c r="Q47" i="7"/>
  <c r="Z87" i="7"/>
  <c r="P178" i="7"/>
  <c r="Z172" i="7"/>
  <c r="Q129" i="7"/>
  <c r="S96" i="7"/>
  <c r="Y96" i="7" s="1"/>
  <c r="Z96" i="7" s="1"/>
  <c r="Q96" i="7"/>
  <c r="Z64" i="7"/>
  <c r="U13" i="7"/>
  <c r="Y45" i="7"/>
  <c r="Z45" i="7" s="1"/>
  <c r="Q21" i="7"/>
  <c r="Y15" i="7"/>
  <c r="Z15" i="7" s="1"/>
  <c r="P63" i="1"/>
  <c r="S85" i="7" l="1"/>
  <c r="Y85" i="7" s="1"/>
  <c r="Z85" i="7" s="1"/>
  <c r="Q85" i="7"/>
  <c r="Q71" i="7"/>
  <c r="S71" i="7"/>
  <c r="S42" i="7"/>
  <c r="Y42" i="7" s="1"/>
  <c r="Z42" i="7" s="1"/>
  <c r="Q42" i="7"/>
  <c r="Y71" i="7"/>
  <c r="Z71" i="7" s="1"/>
  <c r="Y93" i="7"/>
  <c r="Z93" i="7" s="1"/>
  <c r="S130" i="7"/>
  <c r="Y130" i="7" s="1"/>
  <c r="Z130" i="7" s="1"/>
  <c r="Q130" i="7"/>
  <c r="Y34" i="7"/>
  <c r="Z34" i="7"/>
  <c r="X158" i="7"/>
  <c r="V177" i="7"/>
  <c r="Y90" i="7"/>
  <c r="Z90" i="7" s="1"/>
  <c r="S19" i="7"/>
  <c r="Y19" i="7" s="1"/>
  <c r="Z19" i="7" s="1"/>
  <c r="Q19" i="7"/>
  <c r="S163" i="7"/>
  <c r="Q163" i="7"/>
  <c r="Y152" i="7"/>
  <c r="Z152" i="7" s="1"/>
  <c r="Y40" i="7"/>
  <c r="Z40" i="7" s="1"/>
  <c r="Y97" i="7"/>
  <c r="Z97" i="7"/>
  <c r="Y125" i="7"/>
  <c r="Z125" i="7"/>
  <c r="Y36" i="7"/>
  <c r="Z36" i="7"/>
  <c r="S77" i="7"/>
  <c r="Y77" i="7" s="1"/>
  <c r="Z77" i="7" s="1"/>
  <c r="Q77" i="7"/>
  <c r="Y114" i="7"/>
  <c r="Z114" i="7" s="1"/>
  <c r="Y163" i="7"/>
  <c r="Z163" i="7"/>
  <c r="S161" i="7"/>
  <c r="S177" i="7" s="1"/>
  <c r="Q161" i="7"/>
  <c r="Q152" i="7"/>
  <c r="S152" i="7"/>
  <c r="O177" i="7"/>
  <c r="S134" i="7"/>
  <c r="Y134" i="7" s="1"/>
  <c r="Z134" i="7" s="1"/>
  <c r="Q134" i="7"/>
  <c r="Y78" i="7"/>
  <c r="Z78" i="7" s="1"/>
  <c r="Q146" i="7"/>
  <c r="S146" i="7"/>
  <c r="Y146" i="7" s="1"/>
  <c r="Z146" i="7" s="1"/>
  <c r="O141" i="7"/>
  <c r="Y82" i="7"/>
  <c r="Z82" i="7"/>
  <c r="Y27" i="7"/>
  <c r="Z27" i="7" s="1"/>
  <c r="S68" i="7"/>
  <c r="S72" i="7" s="1"/>
  <c r="O72" i="7"/>
  <c r="Q68" i="7"/>
  <c r="Q72" i="7" s="1"/>
  <c r="Y133" i="7"/>
  <c r="Z133" i="7"/>
  <c r="S57" i="7"/>
  <c r="Y57" i="7" s="1"/>
  <c r="Z57" i="7" s="1"/>
  <c r="Q57" i="7"/>
  <c r="Y116" i="7"/>
  <c r="Z116" i="7" s="1"/>
  <c r="Q44" i="7"/>
  <c r="S44" i="7"/>
  <c r="Y44" i="7" s="1"/>
  <c r="Z44" i="7" s="1"/>
  <c r="Y76" i="7"/>
  <c r="Z76" i="7" s="1"/>
  <c r="Y79" i="7"/>
  <c r="Z79" i="7" s="1"/>
  <c r="Y86" i="7"/>
  <c r="Z86" i="7" s="1"/>
  <c r="Y112" i="7"/>
  <c r="Z112" i="7" s="1"/>
  <c r="Y124" i="7"/>
  <c r="Z124" i="7" s="1"/>
  <c r="Y51" i="7"/>
  <c r="Z51" i="7"/>
  <c r="U141" i="7"/>
  <c r="V75" i="7"/>
  <c r="Y84" i="7"/>
  <c r="Z84" i="7"/>
  <c r="U155" i="7"/>
  <c r="V144" i="7"/>
  <c r="S126" i="7"/>
  <c r="Y126" i="7" s="1"/>
  <c r="Z126" i="7" s="1"/>
  <c r="Q126" i="7"/>
  <c r="S123" i="7"/>
  <c r="Y123" i="7" s="1"/>
  <c r="Z123" i="7" s="1"/>
  <c r="Q123" i="7"/>
  <c r="X68" i="7"/>
  <c r="V72" i="7"/>
  <c r="Y55" i="7"/>
  <c r="Z55" i="7" s="1"/>
  <c r="V13" i="7"/>
  <c r="U65" i="7"/>
  <c r="S140" i="7"/>
  <c r="Y140" i="7" s="1"/>
  <c r="Z140" i="7" s="1"/>
  <c r="Q140" i="7"/>
  <c r="Y91" i="7"/>
  <c r="Z91" i="7" s="1"/>
  <c r="Q144" i="7"/>
  <c r="O155" i="7"/>
  <c r="S144" i="7"/>
  <c r="S108" i="7"/>
  <c r="Y108" i="7" s="1"/>
  <c r="Z108" i="7" s="1"/>
  <c r="Q108" i="7"/>
  <c r="Y110" i="7"/>
  <c r="Z110" i="7" s="1"/>
  <c r="U177" i="7"/>
  <c r="Y35" i="7"/>
  <c r="Z35" i="7"/>
  <c r="S59" i="2"/>
  <c r="U57" i="2"/>
  <c r="U56" i="2"/>
  <c r="V19" i="2" s="1"/>
  <c r="J46" i="2"/>
  <c r="J45" i="2"/>
  <c r="J44" i="2"/>
  <c r="J43" i="2"/>
  <c r="J38" i="2"/>
  <c r="K27" i="2"/>
  <c r="I27" i="2"/>
  <c r="V23" i="2"/>
  <c r="V21" i="2"/>
  <c r="F8" i="2"/>
  <c r="F9" i="2" s="1"/>
  <c r="F10" i="2" s="1"/>
  <c r="F11" i="2" s="1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Q65" i="7" l="1"/>
  <c r="V9" i="2"/>
  <c r="Y161" i="7"/>
  <c r="Z161" i="7" s="1"/>
  <c r="O178" i="7"/>
  <c r="V12" i="2"/>
  <c r="J47" i="2"/>
  <c r="V7" i="2"/>
  <c r="V16" i="2"/>
  <c r="Q177" i="7"/>
  <c r="Q141" i="7"/>
  <c r="AA32" i="2"/>
  <c r="AA6" i="2"/>
  <c r="AA24" i="2"/>
  <c r="AA28" i="2"/>
  <c r="Y158" i="7"/>
  <c r="Y177" i="7" s="1"/>
  <c r="X177" i="7"/>
  <c r="X75" i="7"/>
  <c r="V141" i="7"/>
  <c r="S141" i="7"/>
  <c r="U178" i="7"/>
  <c r="S155" i="7"/>
  <c r="X13" i="7"/>
  <c r="V65" i="7"/>
  <c r="X144" i="7"/>
  <c r="V155" i="7"/>
  <c r="Q155" i="7"/>
  <c r="S65" i="7"/>
  <c r="X72" i="7"/>
  <c r="Y68" i="7"/>
  <c r="Y72" i="7" s="1"/>
  <c r="AA12" i="2"/>
  <c r="V18" i="2"/>
  <c r="AA9" i="2"/>
  <c r="AA33" i="2"/>
  <c r="AA34" i="2"/>
  <c r="V34" i="2"/>
  <c r="V32" i="2"/>
  <c r="V22" i="2"/>
  <c r="V17" i="2"/>
  <c r="V14" i="2"/>
  <c r="V8" i="2"/>
  <c r="V38" i="2"/>
  <c r="V36" i="2"/>
  <c r="V33" i="2"/>
  <c r="V26" i="2"/>
  <c r="V24" i="2"/>
  <c r="V6" i="2"/>
  <c r="V37" i="2"/>
  <c r="V29" i="2"/>
  <c r="V27" i="2"/>
  <c r="V13" i="2"/>
  <c r="V11" i="2"/>
  <c r="AA14" i="2"/>
  <c r="AA37" i="2"/>
  <c r="V28" i="2"/>
  <c r="AA26" i="2"/>
  <c r="L27" i="2"/>
  <c r="AA21" i="2"/>
  <c r="V31" i="2"/>
  <c r="Y68" i="2"/>
  <c r="K38" i="2"/>
  <c r="Z68" i="2" s="1"/>
  <c r="V39" i="2"/>
  <c r="AA13" i="2"/>
  <c r="AA11" i="2"/>
  <c r="AA7" i="2"/>
  <c r="AA39" i="2"/>
  <c r="AA19" i="2"/>
  <c r="AA16" i="2"/>
  <c r="AA8" i="2"/>
  <c r="AA17" i="2"/>
  <c r="AA22" i="2"/>
  <c r="AA31" i="2"/>
  <c r="I26" i="2"/>
  <c r="AA36" i="2"/>
  <c r="AA38" i="2"/>
  <c r="AA18" i="2"/>
  <c r="AA23" i="2"/>
  <c r="AA27" i="2"/>
  <c r="AA29" i="2"/>
  <c r="Q178" i="7" l="1"/>
  <c r="Z68" i="7"/>
  <c r="Z72" i="7" s="1"/>
  <c r="Y75" i="7"/>
  <c r="Y141" i="7" s="1"/>
  <c r="X141" i="7"/>
  <c r="Z75" i="7"/>
  <c r="Z141" i="7" s="1"/>
  <c r="X155" i="7"/>
  <c r="Y144" i="7"/>
  <c r="Y155" i="7" s="1"/>
  <c r="Z158" i="7"/>
  <c r="Z177" i="7" s="1"/>
  <c r="X65" i="7"/>
  <c r="Y13" i="7"/>
  <c r="Y65" i="7" s="1"/>
  <c r="S178" i="7"/>
  <c r="V178" i="7"/>
  <c r="I28" i="2"/>
  <c r="Z144" i="7" l="1"/>
  <c r="Z155" i="7" s="1"/>
  <c r="Z13" i="7"/>
  <c r="Z65" i="7" s="1"/>
  <c r="Y178" i="7"/>
  <c r="X178" i="7"/>
  <c r="P30" i="1"/>
  <c r="D32" i="3" s="1"/>
  <c r="G32" i="3" s="1"/>
  <c r="I32" i="3" s="1"/>
  <c r="P29" i="1"/>
  <c r="D31" i="3" s="1"/>
  <c r="G31" i="3" s="1"/>
  <c r="I31" i="3" s="1"/>
  <c r="Z178" i="7" l="1"/>
  <c r="C7" i="2" s="1"/>
  <c r="J28" i="2" s="1"/>
  <c r="P60" i="1"/>
  <c r="D62" i="3" s="1"/>
  <c r="O51" i="1"/>
  <c r="N51" i="1"/>
  <c r="M51" i="1"/>
  <c r="L51" i="1"/>
  <c r="K51" i="1"/>
  <c r="J51" i="1"/>
  <c r="I51" i="1"/>
  <c r="H51" i="1"/>
  <c r="G51" i="1"/>
  <c r="F51" i="1"/>
  <c r="E51" i="1"/>
  <c r="P25" i="1"/>
  <c r="D27" i="3" s="1"/>
  <c r="G27" i="3" s="1"/>
  <c r="I27" i="3" s="1"/>
  <c r="D51" i="1"/>
  <c r="P40" i="1"/>
  <c r="D42" i="3" s="1"/>
  <c r="G42" i="3" s="1"/>
  <c r="I42" i="3" s="1"/>
  <c r="P13" i="1"/>
  <c r="D15" i="3" s="1"/>
  <c r="P18" i="1"/>
  <c r="D20" i="3" s="1"/>
  <c r="G20" i="3" s="1"/>
  <c r="I20" i="3" s="1"/>
  <c r="P17" i="1"/>
  <c r="D19" i="3" s="1"/>
  <c r="P26" i="1"/>
  <c r="D28" i="3" s="1"/>
  <c r="G28" i="3" s="1"/>
  <c r="I28" i="3" s="1"/>
  <c r="P27" i="1"/>
  <c r="D29" i="3" s="1"/>
  <c r="G29" i="3" s="1"/>
  <c r="I29" i="3" s="1"/>
  <c r="P28" i="1"/>
  <c r="D30" i="3" s="1"/>
  <c r="G30" i="3" s="1"/>
  <c r="I30" i="3" s="1"/>
  <c r="P23" i="1"/>
  <c r="D25" i="3" s="1"/>
  <c r="G25" i="3" s="1"/>
  <c r="I25" i="3" s="1"/>
  <c r="P24" i="1"/>
  <c r="D26" i="3" s="1"/>
  <c r="G26" i="3" s="1"/>
  <c r="I26" i="3" s="1"/>
  <c r="P22" i="1"/>
  <c r="D24" i="3" s="1"/>
  <c r="G24" i="3" s="1"/>
  <c r="P32" i="1"/>
  <c r="D34" i="3" s="1"/>
  <c r="G34" i="3" s="1"/>
  <c r="I34" i="3" s="1"/>
  <c r="P50" i="1"/>
  <c r="D52" i="3" s="1"/>
  <c r="G52" i="3" s="1"/>
  <c r="I52" i="3" s="1"/>
  <c r="P49" i="1"/>
  <c r="D51" i="3" s="1"/>
  <c r="G51" i="3" s="1"/>
  <c r="I51" i="3" s="1"/>
  <c r="P39" i="1"/>
  <c r="D41" i="3" s="1"/>
  <c r="G41" i="3" s="1"/>
  <c r="I41" i="3" s="1"/>
  <c r="P41" i="1"/>
  <c r="D43" i="3" s="1"/>
  <c r="G43" i="3" s="1"/>
  <c r="I43" i="3" s="1"/>
  <c r="P42" i="1"/>
  <c r="D44" i="3" s="1"/>
  <c r="G44" i="3" s="1"/>
  <c r="I44" i="3" s="1"/>
  <c r="P43" i="1"/>
  <c r="D45" i="3" s="1"/>
  <c r="G45" i="3" s="1"/>
  <c r="I45" i="3" s="1"/>
  <c r="P44" i="1"/>
  <c r="D46" i="3" s="1"/>
  <c r="G46" i="3" s="1"/>
  <c r="I46" i="3" s="1"/>
  <c r="P45" i="1"/>
  <c r="D47" i="3" s="1"/>
  <c r="P46" i="1"/>
  <c r="D48" i="3" s="1"/>
  <c r="G48" i="3" s="1"/>
  <c r="I48" i="3" s="1"/>
  <c r="P47" i="1"/>
  <c r="D49" i="3" s="1"/>
  <c r="G49" i="3" s="1"/>
  <c r="I49" i="3" s="1"/>
  <c r="P48" i="1"/>
  <c r="D50" i="3" s="1"/>
  <c r="G50" i="3" s="1"/>
  <c r="I50" i="3" s="1"/>
  <c r="P37" i="1"/>
  <c r="D39" i="3" s="1"/>
  <c r="G39" i="3" s="1"/>
  <c r="I39" i="3" s="1"/>
  <c r="P34" i="1"/>
  <c r="D36" i="3" s="1"/>
  <c r="G36" i="3" s="1"/>
  <c r="I36" i="3" s="1"/>
  <c r="P35" i="1"/>
  <c r="D37" i="3" s="1"/>
  <c r="G37" i="3" s="1"/>
  <c r="I37" i="3" s="1"/>
  <c r="P33" i="1"/>
  <c r="D35" i="3" s="1"/>
  <c r="G35" i="3" s="1"/>
  <c r="I35" i="3" s="1"/>
  <c r="P36" i="1"/>
  <c r="D38" i="3" s="1"/>
  <c r="G38" i="3" s="1"/>
  <c r="I38" i="3" s="1"/>
  <c r="P38" i="1"/>
  <c r="D40" i="3" s="1"/>
  <c r="G40" i="3" s="1"/>
  <c r="I40" i="3" s="1"/>
  <c r="O58" i="1"/>
  <c r="N58" i="1"/>
  <c r="M58" i="1"/>
  <c r="L58" i="1"/>
  <c r="K58" i="1"/>
  <c r="J58" i="1"/>
  <c r="I58" i="1"/>
  <c r="H58" i="1"/>
  <c r="G58" i="1"/>
  <c r="F58" i="1"/>
  <c r="E58" i="1"/>
  <c r="D58" i="1"/>
  <c r="P57" i="1"/>
  <c r="D59" i="3" s="1"/>
  <c r="G59" i="3" s="1"/>
  <c r="I59" i="3" s="1"/>
  <c r="P56" i="1"/>
  <c r="D58" i="3" s="1"/>
  <c r="G58" i="3" s="1"/>
  <c r="I58" i="3" s="1"/>
  <c r="P55" i="1"/>
  <c r="D57" i="3" s="1"/>
  <c r="G57" i="3" s="1"/>
  <c r="O19" i="1"/>
  <c r="N19" i="1"/>
  <c r="M19" i="1"/>
  <c r="L19" i="1"/>
  <c r="K19" i="1"/>
  <c r="J19" i="1"/>
  <c r="I19" i="1"/>
  <c r="H19" i="1"/>
  <c r="G19" i="1"/>
  <c r="F19" i="1"/>
  <c r="E19" i="1"/>
  <c r="D19" i="1"/>
  <c r="P16" i="1"/>
  <c r="D18" i="3" s="1"/>
  <c r="P15" i="1"/>
  <c r="D17" i="3" s="1"/>
  <c r="P12" i="1"/>
  <c r="D14" i="3" s="1"/>
  <c r="P11" i="1"/>
  <c r="D13" i="3" s="1"/>
  <c r="P10" i="1"/>
  <c r="D12" i="3" s="1"/>
  <c r="P9" i="1"/>
  <c r="D11" i="3" s="1"/>
  <c r="P8" i="1"/>
  <c r="D10" i="3" s="1"/>
  <c r="P7" i="1"/>
  <c r="D9" i="3" s="1"/>
  <c r="J7" i="9" l="1"/>
  <c r="J19" i="9" s="1"/>
  <c r="G17" i="3"/>
  <c r="I17" i="3" s="1"/>
  <c r="K7" i="9"/>
  <c r="K19" i="9" s="1"/>
  <c r="G18" i="3"/>
  <c r="I18" i="3" s="1"/>
  <c r="B7" i="9"/>
  <c r="G9" i="3"/>
  <c r="D7" i="9"/>
  <c r="D19" i="9" s="1"/>
  <c r="G11" i="3"/>
  <c r="C7" i="9"/>
  <c r="G10" i="3"/>
  <c r="L7" i="9"/>
  <c r="L19" i="9" s="1"/>
  <c r="G19" i="3"/>
  <c r="I19" i="3" s="1"/>
  <c r="E7" i="9"/>
  <c r="E19" i="9" s="1"/>
  <c r="G12" i="3"/>
  <c r="J105" i="10"/>
  <c r="G7" i="9"/>
  <c r="M7" i="9" s="1"/>
  <c r="M19" i="9" s="1"/>
  <c r="G13" i="3"/>
  <c r="I13" i="3" s="1"/>
  <c r="G60" i="3"/>
  <c r="I57" i="3"/>
  <c r="I60" i="3" s="1"/>
  <c r="M28" i="11"/>
  <c r="L47" i="4" s="1"/>
  <c r="P47" i="4" s="1"/>
  <c r="H7" i="9"/>
  <c r="H19" i="9" s="1"/>
  <c r="G14" i="3"/>
  <c r="I14" i="3" s="1"/>
  <c r="I24" i="3"/>
  <c r="I7" i="9"/>
  <c r="I19" i="9" s="1"/>
  <c r="G15" i="3"/>
  <c r="I15" i="3" s="1"/>
  <c r="J27" i="2"/>
  <c r="M27" i="2" s="1"/>
  <c r="K11" i="2" s="1"/>
  <c r="J26" i="2"/>
  <c r="F7" i="9"/>
  <c r="C14" i="9"/>
  <c r="C19" i="9" s="1"/>
  <c r="B14" i="9"/>
  <c r="D21" i="3"/>
  <c r="D60" i="3"/>
  <c r="P31" i="1"/>
  <c r="E52" i="1"/>
  <c r="E59" i="1" s="1"/>
  <c r="N52" i="1"/>
  <c r="N59" i="1" s="1"/>
  <c r="F52" i="1"/>
  <c r="F61" i="1" s="1"/>
  <c r="K52" i="1"/>
  <c r="K61" i="1" s="1"/>
  <c r="L52" i="1"/>
  <c r="L59" i="1" s="1"/>
  <c r="D52" i="1"/>
  <c r="D59" i="1" s="1"/>
  <c r="M52" i="1"/>
  <c r="M59" i="1" s="1"/>
  <c r="P58" i="1"/>
  <c r="G52" i="1"/>
  <c r="G61" i="1" s="1"/>
  <c r="O52" i="1"/>
  <c r="O61" i="1" s="1"/>
  <c r="I52" i="1"/>
  <c r="I61" i="1" s="1"/>
  <c r="H52" i="1"/>
  <c r="H59" i="1" s="1"/>
  <c r="J52" i="1"/>
  <c r="J59" i="1" s="1"/>
  <c r="P19" i="1"/>
  <c r="G19" i="9" l="1"/>
  <c r="C105" i="10"/>
  <c r="O105" i="10" s="1"/>
  <c r="Q105" i="10" s="1"/>
  <c r="H12" i="3" s="1"/>
  <c r="I12" i="3" s="1"/>
  <c r="J106" i="10"/>
  <c r="G21" i="3"/>
  <c r="M11" i="2"/>
  <c r="I11" i="2"/>
  <c r="F14" i="9"/>
  <c r="N14" i="9" s="1"/>
  <c r="L53" i="4"/>
  <c r="L54" i="4" s="1"/>
  <c r="E47" i="3"/>
  <c r="P53" i="4"/>
  <c r="P54" i="4" s="1"/>
  <c r="B19" i="9"/>
  <c r="N7" i="9"/>
  <c r="P51" i="1"/>
  <c r="D33" i="3"/>
  <c r="E61" i="1"/>
  <c r="N61" i="1"/>
  <c r="F59" i="1"/>
  <c r="L61" i="1"/>
  <c r="K59" i="1"/>
  <c r="O59" i="1"/>
  <c r="M61" i="1"/>
  <c r="D61" i="1"/>
  <c r="P52" i="1"/>
  <c r="P61" i="1" s="1"/>
  <c r="G59" i="1"/>
  <c r="H61" i="1"/>
  <c r="J61" i="1"/>
  <c r="I59" i="1"/>
  <c r="D53" i="3" l="1"/>
  <c r="D54" i="3" s="1"/>
  <c r="G33" i="3"/>
  <c r="F19" i="9"/>
  <c r="F21" i="9" s="1"/>
  <c r="C5" i="2"/>
  <c r="I7" i="2" s="1"/>
  <c r="E53" i="3"/>
  <c r="E54" i="3" s="1"/>
  <c r="G47" i="3"/>
  <c r="I47" i="3" s="1"/>
  <c r="N19" i="9"/>
  <c r="M22" i="9" s="1"/>
  <c r="P59" i="1"/>
  <c r="O7" i="10"/>
  <c r="Q7" i="10" s="1"/>
  <c r="O8" i="10"/>
  <c r="Q8" i="10" s="1"/>
  <c r="O9" i="10"/>
  <c r="O10" i="10"/>
  <c r="Q10" i="10" s="1"/>
  <c r="O11" i="10"/>
  <c r="Q11" i="10" s="1"/>
  <c r="O12" i="10"/>
  <c r="Q12" i="10" s="1"/>
  <c r="O13" i="10"/>
  <c r="Q13" i="10" s="1"/>
  <c r="O14" i="10"/>
  <c r="Q14" i="10" s="1"/>
  <c r="O15" i="10"/>
  <c r="Q15" i="10" s="1"/>
  <c r="O16" i="10"/>
  <c r="Q16" i="10" s="1"/>
  <c r="O17" i="10"/>
  <c r="Q17" i="10" s="1"/>
  <c r="O18" i="10"/>
  <c r="Q18" i="10" s="1"/>
  <c r="O19" i="10"/>
  <c r="Q19" i="10" s="1"/>
  <c r="O20" i="10"/>
  <c r="Q20" i="10" s="1"/>
  <c r="O21" i="10"/>
  <c r="Q21" i="10" s="1"/>
  <c r="O22" i="10"/>
  <c r="Q22" i="10" s="1"/>
  <c r="O23" i="10"/>
  <c r="Q23" i="10" s="1"/>
  <c r="O24" i="10"/>
  <c r="Q24" i="10" s="1"/>
  <c r="O25" i="10"/>
  <c r="Q25" i="10" s="1"/>
  <c r="O26" i="10"/>
  <c r="Q26" i="10" s="1"/>
  <c r="O27" i="10"/>
  <c r="Q27" i="10" s="1"/>
  <c r="O28" i="10"/>
  <c r="Q28" i="10" s="1"/>
  <c r="O29" i="10"/>
  <c r="Q29" i="10" s="1"/>
  <c r="O30" i="10"/>
  <c r="Q30" i="10" s="1"/>
  <c r="O31" i="10"/>
  <c r="Q31" i="10" s="1"/>
  <c r="O32" i="10"/>
  <c r="Q32" i="10" s="1"/>
  <c r="O33" i="10"/>
  <c r="Q33" i="10" s="1"/>
  <c r="O34" i="10"/>
  <c r="Q34" i="10" s="1"/>
  <c r="O35" i="10"/>
  <c r="Q35" i="10" s="1"/>
  <c r="S8" i="2" l="1"/>
  <c r="T8" i="2" s="1"/>
  <c r="U8" i="2" s="1"/>
  <c r="W8" i="2" s="1"/>
  <c r="X8" i="2" s="1"/>
  <c r="Y8" i="2" s="1"/>
  <c r="Z8" i="2" s="1"/>
  <c r="AB8" i="2" s="1"/>
  <c r="AC8" i="2" s="1"/>
  <c r="AD8" i="2" s="1"/>
  <c r="J19" i="2"/>
  <c r="S7" i="2"/>
  <c r="T7" i="2" s="1"/>
  <c r="U7" i="2" s="1"/>
  <c r="W7" i="2" s="1"/>
  <c r="X7" i="2" s="1"/>
  <c r="Y7" i="2" s="1"/>
  <c r="Z7" i="2" s="1"/>
  <c r="AB7" i="2" s="1"/>
  <c r="AC7" i="2" s="1"/>
  <c r="AD7" i="2" s="1"/>
  <c r="S6" i="2"/>
  <c r="S9" i="2"/>
  <c r="T9" i="2" s="1"/>
  <c r="U9" i="2" s="1"/>
  <c r="W9" i="2" s="1"/>
  <c r="X9" i="2" s="1"/>
  <c r="Y9" i="2" s="1"/>
  <c r="Z9" i="2" s="1"/>
  <c r="AB9" i="2" s="1"/>
  <c r="AC9" i="2" s="1"/>
  <c r="AD9" i="2" s="1"/>
  <c r="I33" i="3"/>
  <c r="I53" i="3" s="1"/>
  <c r="G53" i="3"/>
  <c r="D61" i="3"/>
  <c r="D63" i="3" s="1"/>
  <c r="D55" i="3"/>
  <c r="Q9" i="10"/>
  <c r="Q36" i="10" s="1"/>
  <c r="H9" i="3" s="1"/>
  <c r="O36" i="10"/>
  <c r="O40" i="10"/>
  <c r="Q40" i="10" s="1"/>
  <c r="O41" i="10"/>
  <c r="Q41" i="10" s="1"/>
  <c r="O42" i="10"/>
  <c r="Q42" i="10" s="1"/>
  <c r="O43" i="10"/>
  <c r="Q43" i="10" s="1"/>
  <c r="O44" i="10"/>
  <c r="Q44" i="10" s="1"/>
  <c r="O45" i="10"/>
  <c r="Q45" i="10" s="1"/>
  <c r="O46" i="10"/>
  <c r="Q46" i="10" s="1"/>
  <c r="O47" i="10"/>
  <c r="Q47" i="10" s="1"/>
  <c r="O48" i="10"/>
  <c r="Q48" i="10" s="1"/>
  <c r="O49" i="10"/>
  <c r="Q49" i="10" s="1"/>
  <c r="O50" i="10"/>
  <c r="Q50" i="10" s="1"/>
  <c r="O51" i="10"/>
  <c r="Q51" i="10" s="1"/>
  <c r="O52" i="10"/>
  <c r="Q52" i="10" s="1"/>
  <c r="O53" i="10"/>
  <c r="Q53" i="10" s="1"/>
  <c r="O54" i="10"/>
  <c r="Q54" i="10" s="1"/>
  <c r="O55" i="10"/>
  <c r="Q55" i="10" s="1"/>
  <c r="O56" i="10"/>
  <c r="Q56" i="10" s="1"/>
  <c r="O57" i="10"/>
  <c r="Q57" i="10" s="1"/>
  <c r="O58" i="10"/>
  <c r="Q58" i="10" s="1"/>
  <c r="O59" i="10"/>
  <c r="Q59" i="10" s="1"/>
  <c r="O60" i="10"/>
  <c r="Q60" i="10" s="1"/>
  <c r="O61" i="10"/>
  <c r="Q61" i="10" s="1"/>
  <c r="O62" i="10"/>
  <c r="Q62" i="10" s="1"/>
  <c r="O63" i="10"/>
  <c r="Q63" i="10" s="1"/>
  <c r="O64" i="10"/>
  <c r="Q64" i="10" s="1"/>
  <c r="O65" i="10"/>
  <c r="Q65" i="10" s="1"/>
  <c r="O66" i="10"/>
  <c r="Q66" i="10" s="1"/>
  <c r="O67" i="10"/>
  <c r="Q67" i="10" s="1"/>
  <c r="O68" i="10"/>
  <c r="Q68" i="10" s="1"/>
  <c r="O69" i="10"/>
  <c r="Q69" i="10" s="1"/>
  <c r="O70" i="10"/>
  <c r="Q70" i="10" s="1"/>
  <c r="C6" i="2" l="1"/>
  <c r="I8" i="2" s="1"/>
  <c r="AE9" i="2" s="1"/>
  <c r="AF9" i="2" s="1"/>
  <c r="G54" i="3"/>
  <c r="T6" i="2"/>
  <c r="U6" i="2" s="1"/>
  <c r="W6" i="2" s="1"/>
  <c r="X6" i="2" s="1"/>
  <c r="Y6" i="2" s="1"/>
  <c r="Z6" i="2" s="1"/>
  <c r="AB6" i="2" s="1"/>
  <c r="AC6" i="2" s="1"/>
  <c r="AD6" i="2" s="1"/>
  <c r="I9" i="3"/>
  <c r="Q71" i="10"/>
  <c r="H10" i="3" s="1"/>
  <c r="I10" i="3" s="1"/>
  <c r="O71" i="10"/>
  <c r="O76" i="10"/>
  <c r="Q76" i="10" s="1"/>
  <c r="O77" i="10"/>
  <c r="Q77" i="10" s="1"/>
  <c r="O78" i="10"/>
  <c r="Q78" i="10" s="1"/>
  <c r="O79" i="10"/>
  <c r="Q79" i="10" s="1"/>
  <c r="O80" i="10"/>
  <c r="Q80" i="10" s="1"/>
  <c r="O81" i="10"/>
  <c r="Q81" i="10" s="1"/>
  <c r="O82" i="10"/>
  <c r="Q82" i="10" s="1"/>
  <c r="O83" i="10"/>
  <c r="Q83" i="10" s="1"/>
  <c r="O84" i="10"/>
  <c r="Q84" i="10" s="1"/>
  <c r="O85" i="10"/>
  <c r="Q85" i="10" s="1"/>
  <c r="O86" i="10"/>
  <c r="Q86" i="10" s="1"/>
  <c r="O87" i="10"/>
  <c r="Q87" i="10" s="1"/>
  <c r="O88" i="10"/>
  <c r="Q88" i="10" s="1"/>
  <c r="O89" i="10"/>
  <c r="Q89" i="10" s="1"/>
  <c r="O90" i="10"/>
  <c r="Q90" i="10" s="1"/>
  <c r="O91" i="10"/>
  <c r="Q91" i="10" s="1"/>
  <c r="O92" i="10"/>
  <c r="Q92" i="10" s="1"/>
  <c r="O93" i="10"/>
  <c r="Q93" i="10" s="1"/>
  <c r="O94" i="10"/>
  <c r="Q94" i="10" s="1"/>
  <c r="O95" i="10"/>
  <c r="Q95" i="10" s="1"/>
  <c r="AE8" i="2" l="1"/>
  <c r="AF8" i="2" s="1"/>
  <c r="AE6" i="2"/>
  <c r="AF6" i="2" s="1"/>
  <c r="AE7" i="2"/>
  <c r="AF7" i="2" s="1"/>
  <c r="G61" i="3"/>
  <c r="G55" i="3"/>
  <c r="I16" i="2"/>
  <c r="K8" i="2"/>
  <c r="I9" i="2"/>
  <c r="Q96" i="10"/>
  <c r="H11" i="3" s="1"/>
  <c r="I11" i="3" s="1"/>
  <c r="I21" i="3" s="1"/>
  <c r="I54" i="3" s="1"/>
  <c r="G62" i="3" l="1"/>
  <c r="G63" i="3" s="1"/>
  <c r="I61" i="3"/>
  <c r="I55" i="3"/>
  <c r="H21" i="3"/>
  <c r="H54" i="3" s="1"/>
  <c r="Q106" i="10"/>
  <c r="S2" i="10" s="1"/>
  <c r="I62" i="3" l="1"/>
  <c r="I63" i="3" s="1"/>
  <c r="AG6" i="2" l="1"/>
  <c r="AH6" i="2"/>
  <c r="AI6" i="2"/>
  <c r="J7" i="2"/>
  <c r="K7" i="2"/>
  <c r="L7" i="2"/>
  <c r="M7" i="2"/>
  <c r="AG7" i="2"/>
  <c r="AH7" i="2"/>
  <c r="AI7" i="2"/>
  <c r="L8" i="2"/>
  <c r="M8" i="2"/>
  <c r="AG8" i="2"/>
  <c r="AH8" i="2"/>
  <c r="AI8" i="2"/>
  <c r="K9" i="2"/>
  <c r="M9" i="2"/>
  <c r="AG9" i="2"/>
  <c r="AH9" i="2"/>
  <c r="AI9" i="2"/>
  <c r="S11" i="2"/>
  <c r="T11" i="2"/>
  <c r="U11" i="2"/>
  <c r="W11" i="2"/>
  <c r="X11" i="2"/>
  <c r="Y11" i="2"/>
  <c r="Z11" i="2"/>
  <c r="AB11" i="2"/>
  <c r="AC11" i="2"/>
  <c r="AD11" i="2"/>
  <c r="AE11" i="2"/>
  <c r="AF11" i="2"/>
  <c r="AG11" i="2"/>
  <c r="AH11" i="2"/>
  <c r="AI11" i="2"/>
  <c r="I12" i="2"/>
  <c r="J12" i="2"/>
  <c r="K12" i="2"/>
  <c r="M12" i="2"/>
  <c r="S12" i="2"/>
  <c r="T12" i="2"/>
  <c r="U12" i="2"/>
  <c r="W12" i="2"/>
  <c r="X12" i="2"/>
  <c r="Y12" i="2"/>
  <c r="Z12" i="2"/>
  <c r="AB12" i="2"/>
  <c r="AC12" i="2"/>
  <c r="AD12" i="2"/>
  <c r="AE12" i="2"/>
  <c r="AF12" i="2"/>
  <c r="AG12" i="2"/>
  <c r="AH12" i="2"/>
  <c r="AI12" i="2"/>
  <c r="S13" i="2"/>
  <c r="T13" i="2"/>
  <c r="U13" i="2"/>
  <c r="W13" i="2"/>
  <c r="X13" i="2"/>
  <c r="Y13" i="2"/>
  <c r="Z13" i="2"/>
  <c r="AB13" i="2"/>
  <c r="AC13" i="2"/>
  <c r="AD13" i="2"/>
  <c r="AE13" i="2"/>
  <c r="AF13" i="2"/>
  <c r="AG13" i="2"/>
  <c r="AH13" i="2"/>
  <c r="AI13" i="2"/>
  <c r="I14" i="2"/>
  <c r="K14" i="2"/>
  <c r="M14" i="2"/>
  <c r="S14" i="2"/>
  <c r="T14" i="2"/>
  <c r="U14" i="2"/>
  <c r="W14" i="2"/>
  <c r="X14" i="2"/>
  <c r="Y14" i="2"/>
  <c r="Z14" i="2"/>
  <c r="AB14" i="2"/>
  <c r="AC14" i="2"/>
  <c r="AD14" i="2"/>
  <c r="AE14" i="2"/>
  <c r="AF14" i="2"/>
  <c r="AG14" i="2"/>
  <c r="AH14" i="2"/>
  <c r="AI14" i="2"/>
  <c r="K16" i="2"/>
  <c r="M16" i="2"/>
  <c r="S16" i="2"/>
  <c r="T16" i="2"/>
  <c r="U16" i="2"/>
  <c r="W16" i="2"/>
  <c r="X16" i="2"/>
  <c r="Y16" i="2"/>
  <c r="Z16" i="2"/>
  <c r="AB16" i="2"/>
  <c r="AC16" i="2"/>
  <c r="AD16" i="2"/>
  <c r="AE16" i="2"/>
  <c r="AF16" i="2"/>
  <c r="AG16" i="2"/>
  <c r="AH16" i="2"/>
  <c r="AI16" i="2"/>
  <c r="S17" i="2"/>
  <c r="T17" i="2"/>
  <c r="U17" i="2"/>
  <c r="W17" i="2"/>
  <c r="X17" i="2"/>
  <c r="Y17" i="2"/>
  <c r="Z17" i="2"/>
  <c r="AB17" i="2"/>
  <c r="AC17" i="2"/>
  <c r="AD17" i="2"/>
  <c r="AE17" i="2"/>
  <c r="AF17" i="2"/>
  <c r="AG17" i="2"/>
  <c r="AH17" i="2"/>
  <c r="AI17" i="2"/>
  <c r="S18" i="2"/>
  <c r="T18" i="2"/>
  <c r="U18" i="2"/>
  <c r="W18" i="2"/>
  <c r="X18" i="2"/>
  <c r="Y18" i="2"/>
  <c r="Z18" i="2"/>
  <c r="AB18" i="2"/>
  <c r="AC18" i="2"/>
  <c r="AD18" i="2"/>
  <c r="AE18" i="2"/>
  <c r="AF18" i="2"/>
  <c r="AG18" i="2"/>
  <c r="AH18" i="2"/>
  <c r="AI18" i="2"/>
  <c r="M19" i="2"/>
  <c r="S19" i="2"/>
  <c r="T19" i="2"/>
  <c r="U19" i="2"/>
  <c r="W19" i="2"/>
  <c r="X19" i="2"/>
  <c r="Y19" i="2"/>
  <c r="Z19" i="2"/>
  <c r="AB19" i="2"/>
  <c r="AC19" i="2"/>
  <c r="AD19" i="2"/>
  <c r="AE19" i="2"/>
  <c r="AF19" i="2"/>
  <c r="AG19" i="2"/>
  <c r="AH19" i="2"/>
  <c r="AI19" i="2"/>
  <c r="J20" i="2"/>
  <c r="M20" i="2"/>
  <c r="J21" i="2"/>
  <c r="M21" i="2"/>
  <c r="S21" i="2"/>
  <c r="T21" i="2"/>
  <c r="U21" i="2"/>
  <c r="W21" i="2"/>
  <c r="X21" i="2"/>
  <c r="Y21" i="2"/>
  <c r="Z21" i="2"/>
  <c r="AB21" i="2"/>
  <c r="AC21" i="2"/>
  <c r="AD21" i="2"/>
  <c r="AE21" i="2"/>
  <c r="AF21" i="2"/>
  <c r="AG21" i="2"/>
  <c r="AH21" i="2"/>
  <c r="AI21" i="2"/>
  <c r="K22" i="2"/>
  <c r="S22" i="2"/>
  <c r="T22" i="2"/>
  <c r="U22" i="2"/>
  <c r="W22" i="2"/>
  <c r="X22" i="2"/>
  <c r="Y22" i="2"/>
  <c r="Z22" i="2"/>
  <c r="AB22" i="2"/>
  <c r="AC22" i="2"/>
  <c r="AD22" i="2"/>
  <c r="AE22" i="2"/>
  <c r="AF22" i="2"/>
  <c r="AG22" i="2"/>
  <c r="AH22" i="2"/>
  <c r="AI22" i="2"/>
  <c r="S23" i="2"/>
  <c r="T23" i="2"/>
  <c r="U23" i="2"/>
  <c r="W23" i="2"/>
  <c r="X23" i="2"/>
  <c r="Y23" i="2"/>
  <c r="Z23" i="2"/>
  <c r="AB23" i="2"/>
  <c r="AC23" i="2"/>
  <c r="AD23" i="2"/>
  <c r="AE23" i="2"/>
  <c r="AF23" i="2"/>
  <c r="AG23" i="2"/>
  <c r="AH23" i="2"/>
  <c r="AI23" i="2"/>
  <c r="S24" i="2"/>
  <c r="T24" i="2"/>
  <c r="U24" i="2"/>
  <c r="W24" i="2"/>
  <c r="X24" i="2"/>
  <c r="Y24" i="2"/>
  <c r="Z24" i="2"/>
  <c r="AB24" i="2"/>
  <c r="AC24" i="2"/>
  <c r="AD24" i="2"/>
  <c r="AE24" i="2"/>
  <c r="AF24" i="2"/>
  <c r="AG24" i="2"/>
  <c r="AH24" i="2"/>
  <c r="AI24" i="2"/>
  <c r="K26" i="2"/>
  <c r="L26" i="2"/>
  <c r="M26" i="2"/>
  <c r="S26" i="2"/>
  <c r="T26" i="2"/>
  <c r="U26" i="2"/>
  <c r="W26" i="2"/>
  <c r="X26" i="2"/>
  <c r="Y26" i="2"/>
  <c r="Z26" i="2"/>
  <c r="AB26" i="2"/>
  <c r="AC26" i="2"/>
  <c r="AD26" i="2"/>
  <c r="AE26" i="2"/>
  <c r="AF26" i="2"/>
  <c r="AG26" i="2"/>
  <c r="AH26" i="2"/>
  <c r="AI26" i="2"/>
  <c r="S27" i="2"/>
  <c r="T27" i="2"/>
  <c r="U27" i="2"/>
  <c r="W27" i="2"/>
  <c r="X27" i="2"/>
  <c r="Y27" i="2"/>
  <c r="Z27" i="2"/>
  <c r="AB27" i="2"/>
  <c r="AC27" i="2"/>
  <c r="AD27" i="2"/>
  <c r="AE27" i="2"/>
  <c r="AF27" i="2"/>
  <c r="AG27" i="2"/>
  <c r="AH27" i="2"/>
  <c r="AI27" i="2"/>
  <c r="L28" i="2"/>
  <c r="M28" i="2"/>
  <c r="S28" i="2"/>
  <c r="T28" i="2"/>
  <c r="U28" i="2"/>
  <c r="W28" i="2"/>
  <c r="X28" i="2"/>
  <c r="Y28" i="2"/>
  <c r="Z28" i="2"/>
  <c r="AB28" i="2"/>
  <c r="AC28" i="2"/>
  <c r="AD28" i="2"/>
  <c r="AE28" i="2"/>
  <c r="AF28" i="2"/>
  <c r="AG28" i="2"/>
  <c r="AH28" i="2"/>
  <c r="AI28" i="2"/>
  <c r="S29" i="2"/>
  <c r="T29" i="2"/>
  <c r="U29" i="2"/>
  <c r="W29" i="2"/>
  <c r="X29" i="2"/>
  <c r="Y29" i="2"/>
  <c r="Z29" i="2"/>
  <c r="AB29" i="2"/>
  <c r="AC29" i="2"/>
  <c r="AD29" i="2"/>
  <c r="AE29" i="2"/>
  <c r="AF29" i="2"/>
  <c r="AG29" i="2"/>
  <c r="AH29" i="2"/>
  <c r="AI29" i="2"/>
  <c r="S31" i="2"/>
  <c r="T31" i="2"/>
  <c r="U31" i="2"/>
  <c r="W31" i="2"/>
  <c r="X31" i="2"/>
  <c r="Y31" i="2"/>
  <c r="Z31" i="2"/>
  <c r="AB31" i="2"/>
  <c r="AC31" i="2"/>
  <c r="AD31" i="2"/>
  <c r="AE31" i="2"/>
  <c r="AF31" i="2"/>
  <c r="AG31" i="2"/>
  <c r="AH31" i="2"/>
  <c r="AI31" i="2"/>
  <c r="S32" i="2"/>
  <c r="T32" i="2"/>
  <c r="U32" i="2"/>
  <c r="W32" i="2"/>
  <c r="X32" i="2"/>
  <c r="Y32" i="2"/>
  <c r="Z32" i="2"/>
  <c r="AB32" i="2"/>
  <c r="AC32" i="2"/>
  <c r="AD32" i="2"/>
  <c r="AE32" i="2"/>
  <c r="AF32" i="2"/>
  <c r="AG32" i="2"/>
  <c r="AH32" i="2"/>
  <c r="AI32" i="2"/>
  <c r="J33" i="2"/>
  <c r="K33" i="2"/>
  <c r="S33" i="2"/>
  <c r="T33" i="2"/>
  <c r="U33" i="2"/>
  <c r="W33" i="2"/>
  <c r="X33" i="2"/>
  <c r="Y33" i="2"/>
  <c r="Z33" i="2"/>
  <c r="AB33" i="2"/>
  <c r="AC33" i="2"/>
  <c r="AD33" i="2"/>
  <c r="AE33" i="2"/>
  <c r="AF33" i="2"/>
  <c r="AG33" i="2"/>
  <c r="AH33" i="2"/>
  <c r="AI33" i="2"/>
  <c r="J34" i="2"/>
  <c r="K34" i="2"/>
  <c r="S34" i="2"/>
  <c r="T34" i="2"/>
  <c r="U34" i="2"/>
  <c r="W34" i="2"/>
  <c r="X34" i="2"/>
  <c r="Y34" i="2"/>
  <c r="Z34" i="2"/>
  <c r="AB34" i="2"/>
  <c r="AC34" i="2"/>
  <c r="AD34" i="2"/>
  <c r="AE34" i="2"/>
  <c r="AF34" i="2"/>
  <c r="AG34" i="2"/>
  <c r="AH34" i="2"/>
  <c r="AI34" i="2"/>
  <c r="J35" i="2"/>
  <c r="K35" i="2"/>
  <c r="J36" i="2"/>
  <c r="K36" i="2"/>
  <c r="S36" i="2"/>
  <c r="T36" i="2"/>
  <c r="U36" i="2"/>
  <c r="W36" i="2"/>
  <c r="X36" i="2"/>
  <c r="Y36" i="2"/>
  <c r="Z36" i="2"/>
  <c r="AB36" i="2"/>
  <c r="AC36" i="2"/>
  <c r="AD36" i="2"/>
  <c r="AE36" i="2"/>
  <c r="AF36" i="2"/>
  <c r="AG36" i="2"/>
  <c r="AH36" i="2"/>
  <c r="AI36" i="2"/>
  <c r="J37" i="2"/>
  <c r="K37" i="2"/>
  <c r="S37" i="2"/>
  <c r="T37" i="2"/>
  <c r="U37" i="2"/>
  <c r="W37" i="2"/>
  <c r="X37" i="2"/>
  <c r="Y37" i="2"/>
  <c r="Z37" i="2"/>
  <c r="AB37" i="2"/>
  <c r="AC37" i="2"/>
  <c r="AD37" i="2"/>
  <c r="AE37" i="2"/>
  <c r="AF37" i="2"/>
  <c r="AG37" i="2"/>
  <c r="AH37" i="2"/>
  <c r="AI37" i="2"/>
  <c r="S38" i="2"/>
  <c r="T38" i="2"/>
  <c r="U38" i="2"/>
  <c r="W38" i="2"/>
  <c r="X38" i="2"/>
  <c r="Y38" i="2"/>
  <c r="Z38" i="2"/>
  <c r="AB38" i="2"/>
  <c r="AC38" i="2"/>
  <c r="AD38" i="2"/>
  <c r="AE38" i="2"/>
  <c r="AF38" i="2"/>
  <c r="AG38" i="2"/>
  <c r="AH38" i="2"/>
  <c r="AI38" i="2"/>
  <c r="S39" i="2"/>
  <c r="T39" i="2"/>
  <c r="U39" i="2"/>
  <c r="W39" i="2"/>
  <c r="X39" i="2"/>
  <c r="Y39" i="2"/>
  <c r="Z39" i="2"/>
  <c r="AB39" i="2"/>
  <c r="AC39" i="2"/>
  <c r="AD39" i="2"/>
  <c r="AE39" i="2"/>
  <c r="AF39" i="2"/>
  <c r="AG39" i="2"/>
  <c r="AH39" i="2"/>
  <c r="AI39" i="2"/>
  <c r="K43" i="2"/>
  <c r="V43" i="2"/>
  <c r="K44" i="2"/>
  <c r="V44" i="2"/>
  <c r="K45" i="2"/>
  <c r="V45" i="2"/>
  <c r="K46" i="2"/>
  <c r="K47" i="2"/>
  <c r="R48" i="2"/>
  <c r="J49" i="2"/>
  <c r="R49" i="2"/>
  <c r="R51" i="2"/>
  <c r="Y63" i="2"/>
  <c r="Z63" i="2"/>
  <c r="Y64" i="2"/>
  <c r="Z64" i="2"/>
  <c r="Y65" i="2"/>
  <c r="Z65" i="2"/>
  <c r="Y66" i="2"/>
  <c r="Z66" i="2"/>
  <c r="Y67" i="2"/>
  <c r="Z67" i="2"/>
  <c r="S3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Weldon Burton</author>
  </authors>
  <commentList>
    <comment ref="O55" authorId="0" shapeId="0" xr:uid="{220A266C-DE5A-4024-8E48-F458F21F989B}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Full test year depreciation
</t>
        </r>
      </text>
    </comment>
    <comment ref="Z55" authorId="0" shapeId="0" xr:uid="{C208EA3D-6EEB-4FB5-AF5F-43E6E6D2595F}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Cost minus accumulated test year depreciation
</t>
        </r>
      </text>
    </comment>
    <comment ref="O56" authorId="0" shapeId="0" xr:uid="{0D25628E-C3A2-44F8-A14B-2480A937BD62}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Full test year depreciation
</t>
        </r>
      </text>
    </comment>
    <comment ref="Z56" authorId="0" shapeId="0" xr:uid="{F43CB624-2D50-4ABC-B109-F22D8FD38F8E}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Cost minus accumulated test year depreciation
</t>
        </r>
      </text>
    </comment>
    <comment ref="O57" authorId="0" shapeId="0" xr:uid="{FFA14D29-AB9A-4E49-8E95-23B41839B783}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Full test year depreciation
</t>
        </r>
      </text>
    </comment>
    <comment ref="Z57" authorId="0" shapeId="0" xr:uid="{4117FDEC-D446-44A7-8AFF-A96A4BD205DB}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Cost minus accumulated test year depreciation
</t>
        </r>
      </text>
    </comment>
    <comment ref="O58" authorId="0" shapeId="0" xr:uid="{F5034542-3439-4CA1-AF96-C2E15B07DE09}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Full test year depreciation
</t>
        </r>
      </text>
    </comment>
    <comment ref="Z58" authorId="0" shapeId="0" xr:uid="{EE0E3C21-4CEC-4132-AF0B-9D23BA8C7F9A}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Cost minus accumulated test year depreciation
</t>
        </r>
      </text>
    </comment>
    <comment ref="O59" authorId="0" shapeId="0" xr:uid="{67D177E1-0E41-444E-9042-311B444EE8BC}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Full test year depreciation
</t>
        </r>
      </text>
    </comment>
    <comment ref="Z59" authorId="0" shapeId="0" xr:uid="{C6596DB6-5586-495C-B3C8-27057BDB535B}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Cost minus accumulated test year depreciation
</t>
        </r>
      </text>
    </comment>
    <comment ref="O60" authorId="0" shapeId="0" xr:uid="{63DDFFE7-BEAE-40FF-9574-E6E0CDBA7447}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Full test year depreciation
</t>
        </r>
      </text>
    </comment>
    <comment ref="Z60" authorId="0" shapeId="0" xr:uid="{BB139C2E-E35E-4B05-9990-DDB350522F3F}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Cost minus accumulated test year depreciation
</t>
        </r>
      </text>
    </comment>
  </commentList>
</comments>
</file>

<file path=xl/sharedStrings.xml><?xml version="1.0" encoding="utf-8"?>
<sst xmlns="http://schemas.openxmlformats.org/spreadsheetml/2006/main" count="1497" uniqueCount="787">
  <si>
    <t>Peninsula Sanitation Service, Inc.</t>
  </si>
  <si>
    <t>Summary of Powell, Seiler&amp; Co. Compiled Income Statements</t>
  </si>
  <si>
    <t>Total</t>
  </si>
  <si>
    <t>REVENUE</t>
  </si>
  <si>
    <t>Residential</t>
  </si>
  <si>
    <t>Commercial</t>
  </si>
  <si>
    <t>Drop Box Revenue</t>
  </si>
  <si>
    <t>Drop Box Disposal Revenue</t>
  </si>
  <si>
    <t>Recycle &amp; Sale of Commodity</t>
  </si>
  <si>
    <t>Recycle Hauls</t>
  </si>
  <si>
    <t>Hauling Revenue</t>
  </si>
  <si>
    <t>Bag Revenue</t>
  </si>
  <si>
    <t>Nonregulated other</t>
  </si>
  <si>
    <t>EXPENSES</t>
  </si>
  <si>
    <t>Equip Maint/Shop Expenses</t>
  </si>
  <si>
    <t>Mechanics &amp; Helpers Payroll</t>
  </si>
  <si>
    <t>Tires</t>
  </si>
  <si>
    <t>Misc. Maint Expense</t>
  </si>
  <si>
    <t>Driver payroll</t>
  </si>
  <si>
    <t>Fuel &amp; Oil</t>
  </si>
  <si>
    <t>Disposal Fees &amp; Charges</t>
  </si>
  <si>
    <t>Advertising</t>
  </si>
  <si>
    <t>Insurance</t>
  </si>
  <si>
    <t>Officer payroll</t>
  </si>
  <si>
    <t>Office payroll</t>
  </si>
  <si>
    <t>Employee welfare</t>
  </si>
  <si>
    <t>Bad Debt Collection Expense</t>
  </si>
  <si>
    <t>Refunds</t>
  </si>
  <si>
    <t>Meals &amp; Entertainment</t>
  </si>
  <si>
    <t>Travel</t>
  </si>
  <si>
    <t>Other General Expenses</t>
  </si>
  <si>
    <t>Depreciation</t>
  </si>
  <si>
    <t>Real &amp; Personal Property Taxes</t>
  </si>
  <si>
    <t>Payroll Taxes</t>
  </si>
  <si>
    <t>Other Disposal Expense</t>
  </si>
  <si>
    <t>Total expenses</t>
  </si>
  <si>
    <t>Operating Income</t>
  </si>
  <si>
    <t>Other Income/(Expense)</t>
  </si>
  <si>
    <t>Interest Income</t>
  </si>
  <si>
    <t>Interest expense</t>
  </si>
  <si>
    <t>Gain on equipment sales</t>
  </si>
  <si>
    <t>Total other expense</t>
  </si>
  <si>
    <t>Net Income Before taxes</t>
  </si>
  <si>
    <t>Provision for income tax</t>
  </si>
  <si>
    <t>Net Income</t>
  </si>
  <si>
    <t>For the Test Period Ending September 30, 2020</t>
  </si>
  <si>
    <t>Apr. 2020</t>
  </si>
  <si>
    <t>May. 2020</t>
  </si>
  <si>
    <t>Jun. 2020</t>
  </si>
  <si>
    <t>Jul. 2020</t>
  </si>
  <si>
    <t>Aug. 2020</t>
  </si>
  <si>
    <t>Sep. 2020</t>
  </si>
  <si>
    <t>Oct. 2019</t>
  </si>
  <si>
    <t>Nov. 2019</t>
  </si>
  <si>
    <t>Dec. 2019</t>
  </si>
  <si>
    <t>Jan. 2020</t>
  </si>
  <si>
    <t>Feb. 2020</t>
  </si>
  <si>
    <t>Mar. 2020</t>
  </si>
  <si>
    <t>Other Retail Revenue</t>
  </si>
  <si>
    <t>Contract Hauls</t>
  </si>
  <si>
    <t>Consulting Services</t>
  </si>
  <si>
    <t xml:space="preserve">Business Taxes </t>
  </si>
  <si>
    <t>Licenses &amp; Fees</t>
  </si>
  <si>
    <t>Building Rent</t>
  </si>
  <si>
    <t>Office Supplies</t>
  </si>
  <si>
    <t>Legal &amp; Accounting</t>
  </si>
  <si>
    <t>Communications and Utilities</t>
  </si>
  <si>
    <t>Misc. Garbage Revenue</t>
  </si>
  <si>
    <t>Drop Box Disposal Pass-Thru</t>
  </si>
  <si>
    <t>Non-Public Companies</t>
  </si>
  <si>
    <t>nonpubco</t>
  </si>
  <si>
    <r>
      <t xml:space="preserve">LURITO - GALLAGHER FORMULA  MODEL 2018  </t>
    </r>
    <r>
      <rPr>
        <sz val="8"/>
        <color indexed="9"/>
        <rFont val="Calibri"/>
        <family val="2"/>
      </rPr>
      <t>V5.0a</t>
    </r>
  </si>
  <si>
    <t>CALCULATION TABLES</t>
  </si>
  <si>
    <t>Revenue Senstive Taxes (RevS)</t>
  </si>
  <si>
    <t>(b) + (c)</t>
  </si>
  <si>
    <t>(d) + (e)</t>
  </si>
  <si>
    <t>Regession</t>
  </si>
  <si>
    <t>Hauler</t>
  </si>
  <si>
    <t>Revenue Req</t>
  </si>
  <si>
    <t>Revenue</t>
  </si>
  <si>
    <t xml:space="preserve">Revenue </t>
  </si>
  <si>
    <t>INPUTS - Test Year</t>
  </si>
  <si>
    <t>(a)</t>
  </si>
  <si>
    <t>(b)</t>
  </si>
  <si>
    <t>(c)</t>
  </si>
  <si>
    <t>(d)</t>
  </si>
  <si>
    <t>(e)</t>
  </si>
  <si>
    <t>(f)</t>
  </si>
  <si>
    <t>Before Tax</t>
  </si>
  <si>
    <t>Less</t>
  </si>
  <si>
    <t>Adjusted</t>
  </si>
  <si>
    <t>After Tax</t>
  </si>
  <si>
    <t>Weighted Cost</t>
  </si>
  <si>
    <t>Before RevS</t>
  </si>
  <si>
    <t xml:space="preserve"> Increase Before</t>
  </si>
  <si>
    <t>Increase After</t>
  </si>
  <si>
    <t xml:space="preserve">RevS </t>
  </si>
  <si>
    <t xml:space="preserve">Total </t>
  </si>
  <si>
    <t>Operating Revenue</t>
  </si>
  <si>
    <t>Line</t>
  </si>
  <si>
    <t>Historical</t>
  </si>
  <si>
    <t>Proforma</t>
  </si>
  <si>
    <t>Add: Revenue</t>
  </si>
  <si>
    <t>Profit Ratio</t>
  </si>
  <si>
    <t>BTROI</t>
  </si>
  <si>
    <t>WCDebt</t>
  </si>
  <si>
    <t>BTROE</t>
  </si>
  <si>
    <t>ROE</t>
  </si>
  <si>
    <t>Equity</t>
  </si>
  <si>
    <t>Equity BFT</t>
  </si>
  <si>
    <t>Debt</t>
  </si>
  <si>
    <t>BTROR</t>
  </si>
  <si>
    <t>Operating Ratio</t>
  </si>
  <si>
    <t>Taxes</t>
  </si>
  <si>
    <t>RevS Taxes</t>
  </si>
  <si>
    <t>Operating Expenses</t>
  </si>
  <si>
    <t>No.</t>
  </si>
  <si>
    <t>Change</t>
  </si>
  <si>
    <t xml:space="preserve"> Sensitive Taxes</t>
  </si>
  <si>
    <t>Requirment</t>
  </si>
  <si>
    <t>Investment</t>
  </si>
  <si>
    <t>Capital Structure - Debt %</t>
  </si>
  <si>
    <t>Capital Structure - Debt Cost</t>
  </si>
  <si>
    <t>Federal Income Tax Rate</t>
  </si>
  <si>
    <t>2nd Iteration</t>
  </si>
  <si>
    <t>B&amp;O Tax Rate</t>
  </si>
  <si>
    <t>Interest Expense</t>
  </si>
  <si>
    <t>WUTC Fee</t>
  </si>
  <si>
    <t>Income Tax Expense</t>
  </si>
  <si>
    <t>City Tax</t>
  </si>
  <si>
    <t>Bad Debts</t>
  </si>
  <si>
    <t>3rd Iteration</t>
  </si>
  <si>
    <t>Check when input is complete</t>
  </si>
  <si>
    <t xml:space="preserve">Operating Ratio </t>
  </si>
  <si>
    <t>No</t>
  </si>
  <si>
    <t>For Intial input: Uncheck Checkbox Until Completed</t>
  </si>
  <si>
    <t>Revenue Requirement</t>
  </si>
  <si>
    <t>Historical Revenue</t>
  </si>
  <si>
    <t>Revenue Increase before taxes</t>
  </si>
  <si>
    <t>Rate Increase</t>
  </si>
  <si>
    <t>Rev Sensitive Taxes</t>
  </si>
  <si>
    <t>4th Iteration</t>
  </si>
  <si>
    <t>2018 Version Update Changes</t>
  </si>
  <si>
    <t>● Allows Income Tax Rate Changes,</t>
  </si>
  <si>
    <t>Percent Increase</t>
  </si>
  <si>
    <t>● Minimizes impact of changes in test-year revenue from</t>
  </si>
  <si>
    <t xml:space="preserve">   resulting revenue requirment,</t>
  </si>
  <si>
    <t>Captial Structure Financing Investment</t>
  </si>
  <si>
    <t>Financing Cost</t>
  </si>
  <si>
    <t>● Corrects interest rate transposition in LG.</t>
  </si>
  <si>
    <t>Type</t>
  </si>
  <si>
    <t>Percent</t>
  </si>
  <si>
    <t>Amount</t>
  </si>
  <si>
    <t>Cost of Capital</t>
  </si>
  <si>
    <t>Weighted</t>
  </si>
  <si>
    <t>5th Iteration</t>
  </si>
  <si>
    <t>Before</t>
  </si>
  <si>
    <t>After</t>
  </si>
  <si>
    <t>6th Iteration</t>
  </si>
  <si>
    <t>Operating Statistics</t>
  </si>
  <si>
    <t>Income Tax</t>
  </si>
  <si>
    <t>Return on Investment</t>
  </si>
  <si>
    <t>Return on Equity</t>
  </si>
  <si>
    <t>7th Iteration</t>
  </si>
  <si>
    <t>Profit Margin</t>
  </si>
  <si>
    <t>Final turnover</t>
  </si>
  <si>
    <t>Tax Rate</t>
  </si>
  <si>
    <t>Revenue Sensitive Taxes Charges</t>
  </si>
  <si>
    <t>Curve</t>
  </si>
  <si>
    <t>Rate</t>
  </si>
  <si>
    <t>Lookup Table</t>
  </si>
  <si>
    <t xml:space="preserve"> B &amp; O Tax</t>
  </si>
  <si>
    <t xml:space="preserve"> WUTC Fee</t>
  </si>
  <si>
    <t xml:space="preserve"> City Tax</t>
  </si>
  <si>
    <t>Percent Chg</t>
  </si>
  <si>
    <t xml:space="preserve"> Bad Debts</t>
  </si>
  <si>
    <t>Revenue Sensitive</t>
  </si>
  <si>
    <t>Curve turnover</t>
  </si>
  <si>
    <t>@EXP(5.72260-(.68367*@LN(T)))</t>
  </si>
  <si>
    <t>Conversion Factor</t>
  </si>
  <si>
    <t>Curve No. used</t>
  </si>
  <si>
    <t>@EXP(5.70827-(.68367*@LN(T)))</t>
  </si>
  <si>
    <t>@EXP(5.69850-(.68367*@LN(T)))</t>
  </si>
  <si>
    <t>@EXP(5.69220-(.68367*@LN(T)))</t>
  </si>
  <si>
    <t>Base Utility from LG Sample Study</t>
  </si>
  <si>
    <t>Regression Results</t>
  </si>
  <si>
    <t>Cost</t>
  </si>
  <si>
    <t>Y intercept (1)</t>
  </si>
  <si>
    <t>Y intercept (3)</t>
  </si>
  <si>
    <t>Y intercept (2)</t>
  </si>
  <si>
    <t>Y intercept (4)</t>
  </si>
  <si>
    <t>Pfd.</t>
  </si>
  <si>
    <t>Slope</t>
  </si>
  <si>
    <t>Pre-tax</t>
  </si>
  <si>
    <t>M</t>
  </si>
  <si>
    <t>Pro Forma - Results of Operations</t>
  </si>
  <si>
    <t>Per Books</t>
  </si>
  <si>
    <t>Restating Adjustments</t>
  </si>
  <si>
    <t>Pro Forma Adjustments</t>
  </si>
  <si>
    <t>Pro Forma Present</t>
  </si>
  <si>
    <t>Effect of Proposes Rates</t>
  </si>
  <si>
    <t>Pro Forma at Revised Rates</t>
  </si>
  <si>
    <t>B</t>
  </si>
  <si>
    <t>C</t>
  </si>
  <si>
    <t>Disposal</t>
  </si>
  <si>
    <t>Analysis of  Rent Expense</t>
  </si>
  <si>
    <t>For the Test Period October 1, 2019 to September 30, 2020</t>
  </si>
  <si>
    <t>Total Per Financial</t>
  </si>
  <si>
    <t>Port of Ilwaco</t>
  </si>
  <si>
    <t>Pacific Solid Waste</t>
  </si>
  <si>
    <t>Adjustment</t>
  </si>
  <si>
    <t>Peninsula Sanitation Services, Inc.</t>
  </si>
  <si>
    <t>Regulatory Depreciation Schedule</t>
  </si>
  <si>
    <t>Months in first year</t>
  </si>
  <si>
    <t>Months in second year</t>
  </si>
  <si>
    <t>A.</t>
  </si>
  <si>
    <t>Purchase date</t>
  </si>
  <si>
    <t>First year</t>
  </si>
  <si>
    <t>B.</t>
  </si>
  <si>
    <t>End of Test Period</t>
  </si>
  <si>
    <t>Second year</t>
  </si>
  <si>
    <t>Date fully Depr</t>
  </si>
  <si>
    <t>D.</t>
  </si>
  <si>
    <t>Beg of Test Period</t>
  </si>
  <si>
    <t>Beginning</t>
  </si>
  <si>
    <t>Allocated</t>
  </si>
  <si>
    <t>Ending</t>
  </si>
  <si>
    <t>E.</t>
  </si>
  <si>
    <t>Disposition Date</t>
  </si>
  <si>
    <t>Date in Service</t>
  </si>
  <si>
    <t>Salvage</t>
  </si>
  <si>
    <t>Year</t>
  </si>
  <si>
    <t>Accumulated</t>
  </si>
  <si>
    <t>Branch</t>
  </si>
  <si>
    <t>Accum.</t>
  </si>
  <si>
    <t>Value</t>
  </si>
  <si>
    <t>Method</t>
  </si>
  <si>
    <t>Life</t>
  </si>
  <si>
    <t>Fully</t>
  </si>
  <si>
    <t>Asset</t>
  </si>
  <si>
    <t>Depreciable</t>
  </si>
  <si>
    <t>Monthly</t>
  </si>
  <si>
    <t>Test year</t>
  </si>
  <si>
    <t>Test yr.</t>
  </si>
  <si>
    <t>%</t>
  </si>
  <si>
    <t>Allo.</t>
  </si>
  <si>
    <t>Depr.</t>
  </si>
  <si>
    <t>Average</t>
  </si>
  <si>
    <t>DESCRIPTION</t>
  </si>
  <si>
    <t>Mo.</t>
  </si>
  <si>
    <t>Depreciated</t>
  </si>
  <si>
    <t xml:space="preserve">  Yr.</t>
  </si>
  <si>
    <t xml:space="preserve"> Mo.</t>
  </si>
  <si>
    <t>C.</t>
  </si>
  <si>
    <t>Schedule No.</t>
  </si>
  <si>
    <t>GARBAGE COLLECTION EQUIPMENT</t>
  </si>
  <si>
    <t>36-a</t>
  </si>
  <si>
    <t xml:space="preserve">3 Axle trailer </t>
  </si>
  <si>
    <t>SL</t>
  </si>
  <si>
    <t>36-SV</t>
  </si>
  <si>
    <t>3 Axle trailer - salvage value</t>
  </si>
  <si>
    <t>53-a</t>
  </si>
  <si>
    <t xml:space="preserve">1991 Peerless trailer </t>
  </si>
  <si>
    <t>53-SV</t>
  </si>
  <si>
    <t>1991 Peerless trailer - Salvage Value</t>
  </si>
  <si>
    <t>61-a</t>
  </si>
  <si>
    <t>Ford Pickup</t>
  </si>
  <si>
    <t>61-SV</t>
  </si>
  <si>
    <t>Ford Pickup-Salvage Value</t>
  </si>
  <si>
    <t>67-a</t>
  </si>
  <si>
    <t xml:space="preserve">94 Chev Service Truck </t>
  </si>
  <si>
    <t>67-SV</t>
  </si>
  <si>
    <t>94 Chev Service Truck - Salvage Value</t>
  </si>
  <si>
    <t>68-a</t>
  </si>
  <si>
    <t>94 Chev Service Truck Body</t>
  </si>
  <si>
    <t>68-SV</t>
  </si>
  <si>
    <t>94 Chev Service Truck Body-Salvage Value</t>
  </si>
  <si>
    <t>109-a</t>
  </si>
  <si>
    <r>
      <t xml:space="preserve">2005 Peterbuilts #9 - </t>
    </r>
    <r>
      <rPr>
        <b/>
        <sz val="11"/>
        <rFont val="Times New Roman"/>
        <family val="1"/>
      </rPr>
      <t>REFUSE</t>
    </r>
  </si>
  <si>
    <t>109-SV</t>
  </si>
  <si>
    <r>
      <t xml:space="preserve">2005 Peterbuilts #9 - </t>
    </r>
    <r>
      <rPr>
        <b/>
        <sz val="11"/>
        <rFont val="Times New Roman"/>
        <family val="1"/>
      </rPr>
      <t>REFUSE - Salvage Value</t>
    </r>
  </si>
  <si>
    <t>71-a</t>
  </si>
  <si>
    <r>
      <t xml:space="preserve">Truck - </t>
    </r>
    <r>
      <rPr>
        <b/>
        <sz val="11"/>
        <rFont val="Times New Roman"/>
        <family val="1"/>
      </rPr>
      <t>REFUSE BODY FOR #9</t>
    </r>
  </si>
  <si>
    <t>71-SV</t>
  </si>
  <si>
    <r>
      <t xml:space="preserve">Truck - </t>
    </r>
    <r>
      <rPr>
        <b/>
        <sz val="11"/>
        <rFont val="Times New Roman"/>
        <family val="1"/>
      </rPr>
      <t>REFUSE BODY FOR #9-Salvage Val</t>
    </r>
  </si>
  <si>
    <t>81-a</t>
  </si>
  <si>
    <r>
      <t xml:space="preserve">07 Peterbuilt #10 - </t>
    </r>
    <r>
      <rPr>
        <b/>
        <sz val="11"/>
        <rFont val="Times New Roman"/>
        <family val="1"/>
      </rPr>
      <t>REFUSE</t>
    </r>
  </si>
  <si>
    <t>81-SV</t>
  </si>
  <si>
    <r>
      <t xml:space="preserve">07 Peterbuilt #10 - </t>
    </r>
    <r>
      <rPr>
        <b/>
        <sz val="11"/>
        <rFont val="Times New Roman"/>
        <family val="1"/>
      </rPr>
      <t>REFUSE-Salvage Value</t>
    </r>
  </si>
  <si>
    <t>91-a</t>
  </si>
  <si>
    <t xml:space="preserve">Roto Cart </t>
  </si>
  <si>
    <t>96-a</t>
  </si>
  <si>
    <t>2013 Peterbilt 320 #12</t>
  </si>
  <si>
    <t>96-SV</t>
  </si>
  <si>
    <t>2013 Peterbilt 320 #12-Salvage Value</t>
  </si>
  <si>
    <t>101-a</t>
  </si>
  <si>
    <t>DP 7000 28yd Dump #12</t>
  </si>
  <si>
    <t>101-SV</t>
  </si>
  <si>
    <t>DP 7000 28yd Dump #12-Salvage Value</t>
  </si>
  <si>
    <t>102-a</t>
  </si>
  <si>
    <t>2014 Peterbilt 365 #4</t>
  </si>
  <si>
    <t>102-SV</t>
  </si>
  <si>
    <t>2014 Peterbilt 365 #4-Salvage Value</t>
  </si>
  <si>
    <t>103-a</t>
  </si>
  <si>
    <t>2014 Peterbilt 365 #5</t>
  </si>
  <si>
    <t>103-SV</t>
  </si>
  <si>
    <t>2014 Peterbilt 365 #5-Salvage Value</t>
  </si>
  <si>
    <t>104-a</t>
  </si>
  <si>
    <t>#5 Rolloff Boom</t>
  </si>
  <si>
    <t>104-SV</t>
  </si>
  <si>
    <t xml:space="preserve">#5 Rolloff Boom-Salvage Value </t>
  </si>
  <si>
    <t>105-a</t>
  </si>
  <si>
    <t>#4 Rolloff Boom</t>
  </si>
  <si>
    <t>105-SV</t>
  </si>
  <si>
    <t>#4 Rolloff Boom-Salvage Value</t>
  </si>
  <si>
    <t>106-a</t>
  </si>
  <si>
    <t>2014 Peterbilt 320 #14</t>
  </si>
  <si>
    <t>106-SV</t>
  </si>
  <si>
    <t>2014 Peterbilt 320 #14-Salvage Value</t>
  </si>
  <si>
    <t>108-a</t>
  </si>
  <si>
    <t>DP 7000 28yd Dump #14</t>
  </si>
  <si>
    <t>108-SV</t>
  </si>
  <si>
    <t>DP 7000 28yd Dump #14-Salvage Value</t>
  </si>
  <si>
    <t>110-a</t>
  </si>
  <si>
    <t>2015 Peterbilt 320 #15</t>
  </si>
  <si>
    <t>110-SV</t>
  </si>
  <si>
    <t>2015 Peterbilt 320 #15-Salvage Value</t>
  </si>
  <si>
    <t>111-a</t>
  </si>
  <si>
    <t>2016 Peterbilt 320 #16</t>
  </si>
  <si>
    <t>111-SV</t>
  </si>
  <si>
    <t>2016 Peterbilt 320 #16-Salvage Value</t>
  </si>
  <si>
    <t>112-a</t>
  </si>
  <si>
    <t>Heil Refuse Body DP7000 #15</t>
  </si>
  <si>
    <t>112-SV</t>
  </si>
  <si>
    <t>Heil Refuse Body DP7000 #15-Salvage Value</t>
  </si>
  <si>
    <t>115-a</t>
  </si>
  <si>
    <t>Heil Refuse Body DP7000 #16</t>
  </si>
  <si>
    <t>115-SV</t>
  </si>
  <si>
    <t>Heil Refuse Body DP7000 #16-Salvage Value</t>
  </si>
  <si>
    <t>117-a</t>
  </si>
  <si>
    <t>11 Chev Express</t>
  </si>
  <si>
    <t>120-a</t>
  </si>
  <si>
    <t>2019 Peterbuilt #2</t>
  </si>
  <si>
    <t>121-a</t>
  </si>
  <si>
    <t>2019 Peterbuilt #3</t>
  </si>
  <si>
    <t>125-a</t>
  </si>
  <si>
    <t>Roll - Off #3</t>
  </si>
  <si>
    <t>126-a</t>
  </si>
  <si>
    <t>Roll - Off #2</t>
  </si>
  <si>
    <t>Prospective</t>
  </si>
  <si>
    <t>2022 Peterbilt RH Drive-Side Loader</t>
  </si>
  <si>
    <t>2022 Bodies for Peterbilt RH Drive-Side Loader</t>
  </si>
  <si>
    <t>STAFF CAPITALIZED ITEMS - LAST RATE CASE</t>
  </si>
  <si>
    <t xml:space="preserve">Truck #10-Radiotor Replacment </t>
  </si>
  <si>
    <t>Truck #3-Differental Replacement</t>
  </si>
  <si>
    <t>Trucks #4 &amp; 5 Painting</t>
  </si>
  <si>
    <t>Sub-Total - Collection Equipment</t>
  </si>
  <si>
    <t>BUILDINGS</t>
  </si>
  <si>
    <t>Building</t>
  </si>
  <si>
    <t>Leasehold Improvement</t>
  </si>
  <si>
    <t>Paving</t>
  </si>
  <si>
    <t>Truck Cover Building</t>
  </si>
  <si>
    <t>Sub-Total - Buildings</t>
  </si>
  <si>
    <t>CONTAINERS AND DROP BOXES</t>
  </si>
  <si>
    <t xml:space="preserve">2 20yd drop boxes </t>
  </si>
  <si>
    <t xml:space="preserve">2 Drop boxes/lids </t>
  </si>
  <si>
    <t xml:space="preserve">Dewald Drop Boxes </t>
  </si>
  <si>
    <t xml:space="preserve">3-30yd Drop boxes </t>
  </si>
  <si>
    <t xml:space="preserve">3-30yd Boxes </t>
  </si>
  <si>
    <t xml:space="preserve">2 Drop boxes </t>
  </si>
  <si>
    <t xml:space="preserve">100 Gal totes (25) </t>
  </si>
  <si>
    <t xml:space="preserve">150-60 F/A Containers </t>
  </si>
  <si>
    <t xml:space="preserve">30 100 F/A Containers </t>
  </si>
  <si>
    <t xml:space="preserve">25 300F Auto containers </t>
  </si>
  <si>
    <t xml:space="preserve">29 60 gal totes </t>
  </si>
  <si>
    <t xml:space="preserve">200-60 Gal totes </t>
  </si>
  <si>
    <t xml:space="preserve">50-90 gal totes </t>
  </si>
  <si>
    <t xml:space="preserve">1-300 Gal tote </t>
  </si>
  <si>
    <t xml:space="preserve">#15 Stretch &amp; lift </t>
  </si>
  <si>
    <t xml:space="preserve">Drop box kit </t>
  </si>
  <si>
    <t xml:space="preserve">1-20yd Drop box </t>
  </si>
  <si>
    <t xml:space="preserve">623 Roller totes </t>
  </si>
  <si>
    <t xml:space="preserve">Box 1130/1230/1330 </t>
  </si>
  <si>
    <t xml:space="preserve">2 Drop Boxes </t>
  </si>
  <si>
    <t xml:space="preserve">Totes </t>
  </si>
  <si>
    <t xml:space="preserve">New Totes </t>
  </si>
  <si>
    <t xml:space="preserve">Box #'s L5 L6 L9 </t>
  </si>
  <si>
    <t xml:space="preserve">30Yd Drop Boxes </t>
  </si>
  <si>
    <t xml:space="preserve">Box's #L10 #L11 #L13 </t>
  </si>
  <si>
    <t xml:space="preserve">New totes </t>
  </si>
  <si>
    <t xml:space="preserve">30 Yd. Drop Boxes-#1 2 3 </t>
  </si>
  <si>
    <t xml:space="preserve">60 &amp; 90 Gallon cans </t>
  </si>
  <si>
    <t xml:space="preserve">20 Yd. Boxes - 4 </t>
  </si>
  <si>
    <t xml:space="preserve">Recycle Box #2330 </t>
  </si>
  <si>
    <t xml:space="preserve">2 Drop Boxes #19 &amp; 20 </t>
  </si>
  <si>
    <t xml:space="preserve">Box #21 </t>
  </si>
  <si>
    <t xml:space="preserve">Box #2430 4L40 5L40 </t>
  </si>
  <si>
    <t xml:space="preserve">Drop Box #2530 2630 2730 </t>
  </si>
  <si>
    <t xml:space="preserve">400 60 Gallon Cans </t>
  </si>
  <si>
    <t xml:space="preserve">Box #22 23 L1 </t>
  </si>
  <si>
    <t xml:space="preserve">Box#2830 2930 24 L2 3 4 </t>
  </si>
  <si>
    <t xml:space="preserve">10 Drop Boxes </t>
  </si>
  <si>
    <t xml:space="preserve">3 - 30yd Drop Boxes </t>
  </si>
  <si>
    <t xml:space="preserve">90, 300 &amp; 60 Gal. Cans </t>
  </si>
  <si>
    <t xml:space="preserve">Box #1630 CB9 CB 10 </t>
  </si>
  <si>
    <t xml:space="preserve">Box #C5 C6 C7 </t>
  </si>
  <si>
    <t>Box #3L30</t>
  </si>
  <si>
    <t>Box #4730 #3730</t>
  </si>
  <si>
    <t>90 Gallon Cans</t>
  </si>
  <si>
    <t>60 Gallon Cans</t>
  </si>
  <si>
    <t>New Cans - 400</t>
  </si>
  <si>
    <t>Drop Boxes</t>
  </si>
  <si>
    <t>400 - 60 Gallon Totes</t>
  </si>
  <si>
    <t>Compactor</t>
  </si>
  <si>
    <t>300 60 Gal Totes &amp; 100 96 Gal Totes</t>
  </si>
  <si>
    <t>100 - 300 Gal Cans</t>
  </si>
  <si>
    <t>300 - 60 Gal Cans</t>
  </si>
  <si>
    <t>100 - 90 Gal Cans</t>
  </si>
  <si>
    <t>Drop Boxes C8,9,10,11</t>
  </si>
  <si>
    <t>210 - 60 Gal Cans</t>
  </si>
  <si>
    <t>300 - 60 Gal Cans 100 - 90 Gal Cans</t>
  </si>
  <si>
    <t>350 - 65 Gal Bear Carts &amp; 100 - 95 Gal Bear</t>
  </si>
  <si>
    <t>200 - 60 Gal Cans 30 96 Gal Cans</t>
  </si>
  <si>
    <t>Repair 11 Drop Boxes</t>
  </si>
  <si>
    <t>Repair 7 Drop Boxes</t>
  </si>
  <si>
    <t>Sub-Total - Containers &amp; Drop Boxes</t>
  </si>
  <si>
    <t>SHOP EQUIPMENT</t>
  </si>
  <si>
    <t xml:space="preserve">U Air compressor </t>
  </si>
  <si>
    <t xml:space="preserve">Base radio speaker </t>
  </si>
  <si>
    <t xml:space="preserve">Midland Radio #15 </t>
  </si>
  <si>
    <t xml:space="preserve">Tarp </t>
  </si>
  <si>
    <t xml:space="preserve">Tool box &amp; lift ga </t>
  </si>
  <si>
    <t xml:space="preserve">Jensen radio #1 </t>
  </si>
  <si>
    <t xml:space="preserve">Peerless Roll off H </t>
  </si>
  <si>
    <t xml:space="preserve">Midland radio </t>
  </si>
  <si>
    <t xml:space="preserve">Compressor </t>
  </si>
  <si>
    <t xml:space="preserve">Tools </t>
  </si>
  <si>
    <t>Drop Box Compactor 15 Yard</t>
  </si>
  <si>
    <t>Sub-Total - Shop Equipment</t>
  </si>
  <si>
    <t>OFFICE EQUIPMENT</t>
  </si>
  <si>
    <t xml:space="preserve">Oak Desk </t>
  </si>
  <si>
    <t xml:space="preserve">Oak office desk </t>
  </si>
  <si>
    <t xml:space="preserve">File cabinet </t>
  </si>
  <si>
    <t xml:space="preserve">Quill/fire safe </t>
  </si>
  <si>
    <t xml:space="preserve">2 Desks &amp; chairs </t>
  </si>
  <si>
    <t xml:space="preserve">Filing cabinet </t>
  </si>
  <si>
    <t xml:space="preserve">Office sign </t>
  </si>
  <si>
    <t xml:space="preserve">Wall pictures </t>
  </si>
  <si>
    <t xml:space="preserve">Office furniture </t>
  </si>
  <si>
    <t xml:space="preserve">Office chair </t>
  </si>
  <si>
    <t xml:space="preserve">Oak file cabinet </t>
  </si>
  <si>
    <t xml:space="preserve">Carpet </t>
  </si>
  <si>
    <t xml:space="preserve">Phone System </t>
  </si>
  <si>
    <t xml:space="preserve">Computer Program </t>
  </si>
  <si>
    <t xml:space="preserve">Printer &amp; stand </t>
  </si>
  <si>
    <t xml:space="preserve">Computers </t>
  </si>
  <si>
    <t>Sub-Total - Office Equipment</t>
  </si>
  <si>
    <t>Customer Count - Test Year October 1, 2019 to September 30, 2020</t>
  </si>
  <si>
    <t>Billing Group</t>
  </si>
  <si>
    <t>Total Can</t>
  </si>
  <si>
    <t xml:space="preserve">Annual </t>
  </si>
  <si>
    <t>Current</t>
  </si>
  <si>
    <t xml:space="preserve">Or </t>
  </si>
  <si>
    <t>#9</t>
  </si>
  <si>
    <t>#3,2,1</t>
  </si>
  <si>
    <t>Drop Box</t>
  </si>
  <si>
    <t>Price Out</t>
  </si>
  <si>
    <t>RESIDENTIAL</t>
  </si>
  <si>
    <t>60 Gallon - Weekly Garbage - Monthly Rate</t>
  </si>
  <si>
    <t>60 Gallon - Monthly Garbage - Monthly Rate</t>
  </si>
  <si>
    <t>90 Gallon - Weekly Garbage - Monthly Rate</t>
  </si>
  <si>
    <t>Bag Service Annual</t>
  </si>
  <si>
    <t>Bag Service - Extra Bag</t>
  </si>
  <si>
    <t>65 Gallon Bear Cart-Weekly Garbage-Monthly Rate</t>
  </si>
  <si>
    <t>65 Gallon Bear Cart-Weekly Rental-Monthly Rate</t>
  </si>
  <si>
    <t>65 Gallon Bear Cart-Monthly Garbage-Monthly Rate</t>
  </si>
  <si>
    <t>65 Gallon Bear Cart-Monthly Rental-Monthly Rate</t>
  </si>
  <si>
    <t>95 Gallon Bear Cart-Weekly Garbage-Monthly Rate</t>
  </si>
  <si>
    <t>95 Gallon Bear Cart-Weekly Rental-Monthly Rate</t>
  </si>
  <si>
    <t>Accessorial Charge-Unlocking/Unlatching - Per Occurrence</t>
  </si>
  <si>
    <t>Accessorial Charge-Gate Opening - Per Occurrence</t>
  </si>
  <si>
    <t>Customer requested exchange or delivery of clean toter</t>
  </si>
  <si>
    <t xml:space="preserve">60 Gallon - Extra Toter </t>
  </si>
  <si>
    <t>90 Gallon - Extra Toter</t>
  </si>
  <si>
    <t>Carry-out charge over 25 feet - Per pickup</t>
  </si>
  <si>
    <t>Walk in</t>
  </si>
  <si>
    <t>Drive-in Charge - per pickup</t>
  </si>
  <si>
    <t>Overfilled - 60 Gallon/90 Gallon</t>
  </si>
  <si>
    <t>Return Trips - 60 Gallon/90 Gallon</t>
  </si>
  <si>
    <t>Restart Fee</t>
  </si>
  <si>
    <t>Delivery Charge</t>
  </si>
  <si>
    <t>Late fee</t>
  </si>
  <si>
    <t>Return Check Fee</t>
  </si>
  <si>
    <t>Credit Card Denied Charge</t>
  </si>
  <si>
    <t>Special Pickup 60 Gal</t>
  </si>
  <si>
    <t>Special Pickup 90 Gal</t>
  </si>
  <si>
    <t>Roll-out - Per Pickup</t>
  </si>
  <si>
    <t xml:space="preserve">TOTAL RESIDENTIAL </t>
  </si>
  <si>
    <t>CONTAINERS</t>
  </si>
  <si>
    <t>300 Gal/1.5 Yard Permanent - per month</t>
  </si>
  <si>
    <t>300 Gal/1.5 Yard Every other week - per month</t>
  </si>
  <si>
    <t>300 Gal/1.5 Yard Permanent - Monthly Rent</t>
  </si>
  <si>
    <t>60 Gallon - per month</t>
  </si>
  <si>
    <t>60 Gallon - rent</t>
  </si>
  <si>
    <t>60 Gallon 1 x month</t>
  </si>
  <si>
    <t>60 Gallon Extra Toter</t>
  </si>
  <si>
    <t>90 Gallon - per month</t>
  </si>
  <si>
    <t>90 Gallon - rent</t>
  </si>
  <si>
    <t>1.5 Yard Temporary - Delivery</t>
  </si>
  <si>
    <t xml:space="preserve">1.5 Yard Temporary - Pickup EOW </t>
  </si>
  <si>
    <t>Temporary Daily Rent</t>
  </si>
  <si>
    <t>Temporary Monthly Rent</t>
  </si>
  <si>
    <t>Overweight 60/90 Gallon</t>
  </si>
  <si>
    <t>Overweight 300 Gallon - Per Pickup</t>
  </si>
  <si>
    <t>Overfilled Container</t>
  </si>
  <si>
    <t>Roll - Out Charge Toter - Per Pickup</t>
  </si>
  <si>
    <t>Roll Out</t>
  </si>
  <si>
    <t>Gate Charge per pickup</t>
  </si>
  <si>
    <t>Accessorial charges-per pickup</t>
  </si>
  <si>
    <t>Wheels</t>
  </si>
  <si>
    <t>Special Pickups 300 Gallon</t>
  </si>
  <si>
    <t>Special Pickups 60 Gallon</t>
  </si>
  <si>
    <t>Special Pickups 90 Gallon</t>
  </si>
  <si>
    <t>TOTAL CONTAINERS</t>
  </si>
  <si>
    <t>DROP BOX / COMPACTOR</t>
  </si>
  <si>
    <t>Hauls</t>
  </si>
  <si>
    <t>20 Yard Pickup</t>
  </si>
  <si>
    <t>30 Yard Pickup</t>
  </si>
  <si>
    <t>Monthly Rent-Permanent</t>
  </si>
  <si>
    <t>Daily Rent-Temporary</t>
  </si>
  <si>
    <t>Monthly Rent-Temporary</t>
  </si>
  <si>
    <t>Mileage Charge per mile</t>
  </si>
  <si>
    <t>20 Yard Drop Box Overfilled/Overweight</t>
  </si>
  <si>
    <t>30 Yard Drop Box Overfilled/Overweight</t>
  </si>
  <si>
    <t>Washing &amp; Sanitizing All Sizes Container/Drop Box</t>
  </si>
  <si>
    <t>15 Yard Pickup Company Owned Compactor</t>
  </si>
  <si>
    <t>24 Yard Pickup Customer Owner Compactor</t>
  </si>
  <si>
    <t>Clean Up-Per Minute</t>
  </si>
  <si>
    <t>Travel time</t>
  </si>
  <si>
    <t>Move fees per hour</t>
  </si>
  <si>
    <t>TOTAL ROLL-OFF REVENUE</t>
  </si>
  <si>
    <t>Appliance</t>
  </si>
  <si>
    <t>Fill</t>
  </si>
  <si>
    <t>Scrap Metal</t>
  </si>
  <si>
    <t>Wood</t>
  </si>
  <si>
    <t>Total revenue per price-out</t>
  </si>
  <si>
    <t>Regulated Book Revenue</t>
  </si>
  <si>
    <t>Residential -Per Financial</t>
  </si>
  <si>
    <t>Adjustments - Accounts Receivable and Bank Account March &amp; June</t>
  </si>
  <si>
    <t>Commercial-Per Financial</t>
  </si>
  <si>
    <t>Drop Box - Per Financial</t>
  </si>
  <si>
    <t xml:space="preserve">Summary of Revenues-Regulated and Non-Regulated. </t>
  </si>
  <si>
    <t>For the Test Period Ending September 30. 2020</t>
  </si>
  <si>
    <t xml:space="preserve">Residential </t>
  </si>
  <si>
    <t>Disposal Pass-Thru</t>
  </si>
  <si>
    <t>Commodity Sale</t>
  </si>
  <si>
    <t>Other Retail</t>
  </si>
  <si>
    <t>Residential Revenue</t>
  </si>
  <si>
    <t>March 2020</t>
  </si>
  <si>
    <t>June 2020</t>
  </si>
  <si>
    <t>Refunds - Allocated</t>
  </si>
  <si>
    <t>between residential</t>
  </si>
  <si>
    <t>and commercial</t>
  </si>
  <si>
    <t>Less: Weyerhauser Mill &amp; Wahkiakum County</t>
  </si>
  <si>
    <t>Less: PSW Pas Thru Labor</t>
  </si>
  <si>
    <t>Less: Repair Service - Sid's Market</t>
  </si>
  <si>
    <t>Remove: Wahkiakum</t>
  </si>
  <si>
    <t>County &amp; Weyerhaeuser NR</t>
  </si>
  <si>
    <t>Remove: Repair Service</t>
  </si>
  <si>
    <t>Reclass: Bag Revenue</t>
  </si>
  <si>
    <t>Total for Company</t>
  </si>
  <si>
    <t>Total Regulated</t>
  </si>
  <si>
    <t>REGULATED REVENUES</t>
  </si>
  <si>
    <t>NON-REGULATED REVENUES</t>
  </si>
  <si>
    <t>Restating Entries</t>
  </si>
  <si>
    <t>Peninsula Sanitation Service, Inc. hauls recycling boxes for Pacific County, Department of Community</t>
  </si>
  <si>
    <t>Cape Disappointment State Park, Surfside Homeowners and Pacific Solid Waste.</t>
  </si>
  <si>
    <t>They provide hauling services for Weyerhaeuser's Raymond Mill hauling ash boxes to Silver Springs</t>
  </si>
  <si>
    <t>Restating Entries - Explanation</t>
  </si>
  <si>
    <t>Entry Number</t>
  </si>
  <si>
    <t xml:space="preserve">Company's accountant processed an adjustment removing out of period outstanding items from Bank </t>
  </si>
  <si>
    <t>Reconcilliation in March 2020</t>
  </si>
  <si>
    <t>Company's accountant processed an adjustment removing out of period outstanding items from Accounts</t>
  </si>
  <si>
    <t>Receivable Reconcilliation in June 2020</t>
  </si>
  <si>
    <t>RE 1</t>
  </si>
  <si>
    <t>RE 2</t>
  </si>
  <si>
    <t>RE3</t>
  </si>
  <si>
    <t>Reclassify refunds paid to customers between residential and commerical customers</t>
  </si>
  <si>
    <t>RE 3</t>
  </si>
  <si>
    <t>RE 4</t>
  </si>
  <si>
    <t>Remove consulting expenses paid to former employee</t>
  </si>
  <si>
    <t>RE5</t>
  </si>
  <si>
    <t>Remove out of period rent paid</t>
  </si>
  <si>
    <t>RE 5</t>
  </si>
  <si>
    <t>RE6</t>
  </si>
  <si>
    <t>Remove WRRA PAC Contributions &amp; Lobbying Portion of WRRA Dues</t>
  </si>
  <si>
    <t>Peninsula Sanation Serivce, Inc.</t>
  </si>
  <si>
    <t>Transaction Detail by Account</t>
  </si>
  <si>
    <t>October 1, 2019 through September 30, 2020</t>
  </si>
  <si>
    <t>Date</t>
  </si>
  <si>
    <t>Num</t>
  </si>
  <si>
    <t>Name</t>
  </si>
  <si>
    <t>Memo</t>
  </si>
  <si>
    <t>Clr</t>
  </si>
  <si>
    <t>Split</t>
  </si>
  <si>
    <t>Balance</t>
  </si>
  <si>
    <t>WRRA Dues</t>
  </si>
  <si>
    <t>WRRA PAC</t>
  </si>
  <si>
    <t>WRRA Spon</t>
  </si>
  <si>
    <t>Donations</t>
  </si>
  <si>
    <t>Adv</t>
  </si>
  <si>
    <t>4450 · ADVERTISING &amp; PROMOTION</t>
  </si>
  <si>
    <t>Bill</t>
  </si>
  <si>
    <t>WRRA</t>
  </si>
  <si>
    <t>2050 · ACCOUNTS PAYABLE</t>
  </si>
  <si>
    <t>AP</t>
  </si>
  <si>
    <t>All American Publishing</t>
  </si>
  <si>
    <t>Cathi D. Bonney</t>
  </si>
  <si>
    <t>xmas wreath</t>
  </si>
  <si>
    <t>Rebuilding Together Pacific County</t>
  </si>
  <si>
    <t>donation</t>
  </si>
  <si>
    <t>Check</t>
  </si>
  <si>
    <t>20934</t>
  </si>
  <si>
    <t>Long Beach Elemenetry</t>
  </si>
  <si>
    <t>school lunches-donation</t>
  </si>
  <si>
    <t>1020 · CHECKING BANK OF PACIFIC</t>
  </si>
  <si>
    <t>20949</t>
  </si>
  <si>
    <t>RED BARN ARENA</t>
  </si>
  <si>
    <t>BANK OF PACIFIC</t>
  </si>
  <si>
    <t>Pacific County Shrine Club</t>
  </si>
  <si>
    <t>donation childrens golf tournament</t>
  </si>
  <si>
    <t>VISA</t>
  </si>
  <si>
    <t>NORTHERN DIRECT PUBLISHING</t>
  </si>
  <si>
    <t>Deposit</t>
  </si>
  <si>
    <t>DEX</t>
  </si>
  <si>
    <t>KEY BANK</t>
  </si>
  <si>
    <t>NATIONAL PEN</t>
  </si>
  <si>
    <t>Total 4450 · ADVERTISING &amp; PROMOTION</t>
  </si>
  <si>
    <t>TOTAL</t>
  </si>
  <si>
    <t>Remove 18% of WRRA Dues for Lobbying, WRRA Pac and Donations</t>
  </si>
  <si>
    <t>Adjusted Advertising/Community Goodwill/Telephone Directory</t>
  </si>
  <si>
    <t>RE7</t>
  </si>
  <si>
    <t xml:space="preserve">Remove Donations </t>
  </si>
  <si>
    <t>RE 6</t>
  </si>
  <si>
    <t>RE 7</t>
  </si>
  <si>
    <t>Peninsula Sanitation Serivce, Inc.</t>
  </si>
  <si>
    <t>Transaction Detail by Account - Meals &amp; Entertainment &amp; Travel</t>
  </si>
  <si>
    <t>October 1, 2019 Through September 30, 2020</t>
  </si>
  <si>
    <t>4687 · MEALS &amp; ENTERTAINMENT</t>
  </si>
  <si>
    <t>20944</t>
  </si>
  <si>
    <t>John Gilcrease</t>
  </si>
  <si>
    <t>oranges</t>
  </si>
  <si>
    <t>Total 4687 · MEALS &amp; ENTERTAINMENT</t>
  </si>
  <si>
    <t>4688 · TRAVEL</t>
  </si>
  <si>
    <t>Total 4688 · TRAVEL</t>
  </si>
  <si>
    <t>RE 8</t>
  </si>
  <si>
    <t>RE8</t>
  </si>
  <si>
    <t>Remove  Travel</t>
  </si>
  <si>
    <t xml:space="preserve">Remove Meals-Entertainment </t>
  </si>
  <si>
    <t>RE9</t>
  </si>
  <si>
    <t>Adjust Regulatory Depreciation</t>
  </si>
  <si>
    <t xml:space="preserve">Fuel Cost   </t>
  </si>
  <si>
    <t>Diesel</t>
  </si>
  <si>
    <t>Price</t>
  </si>
  <si>
    <t>Gasoline</t>
  </si>
  <si>
    <t>Oil</t>
  </si>
  <si>
    <t>Fuel</t>
  </si>
  <si>
    <t xml:space="preserve">Wilcox </t>
  </si>
  <si>
    <t>Test Period ended 9/30/2020</t>
  </si>
  <si>
    <t>Fed &amp; State</t>
  </si>
  <si>
    <t>Gallons</t>
  </si>
  <si>
    <t>Per gal</t>
  </si>
  <si>
    <t>Include Tax</t>
  </si>
  <si>
    <t>Surcharge</t>
  </si>
  <si>
    <t>Monthly total</t>
  </si>
  <si>
    <t>October 2019</t>
  </si>
  <si>
    <t>November 2019</t>
  </si>
  <si>
    <t>December 2019</t>
  </si>
  <si>
    <t>January 2020</t>
  </si>
  <si>
    <t>February 2020</t>
  </si>
  <si>
    <t>April 2020</t>
  </si>
  <si>
    <t>May 2020</t>
  </si>
  <si>
    <t>July 2020</t>
  </si>
  <si>
    <t>August 2020</t>
  </si>
  <si>
    <t>September 2020</t>
  </si>
  <si>
    <t>Total Cost Test Period</t>
  </si>
  <si>
    <t>Subsequent Periods</t>
  </si>
  <si>
    <t>October 2020</t>
  </si>
  <si>
    <t>November 2020</t>
  </si>
  <si>
    <t>Remove October &amp; November 2019</t>
  </si>
  <si>
    <t>Add October &amp; November 2020</t>
  </si>
  <si>
    <t>Diesel Fuel Cost Calculation for Test Period</t>
  </si>
  <si>
    <t>Total Period Gallons</t>
  </si>
  <si>
    <t>Average Cost Total Period</t>
  </si>
  <si>
    <t>Restated cost</t>
  </si>
  <si>
    <t>Test Period Cost</t>
  </si>
  <si>
    <t>RE10</t>
  </si>
  <si>
    <t>Adjust Fuel Cost</t>
  </si>
  <si>
    <t>Payroll Summary</t>
  </si>
  <si>
    <t>Oct 2019</t>
  </si>
  <si>
    <t>Nov 2019</t>
  </si>
  <si>
    <t>Dec 2019</t>
  </si>
  <si>
    <t>Jan 2020</t>
  </si>
  <si>
    <t>Feb 2020</t>
  </si>
  <si>
    <t>Mar 2020</t>
  </si>
  <si>
    <t>Apr 2020</t>
  </si>
  <si>
    <t>Jun 2020</t>
  </si>
  <si>
    <t>Jul 2020</t>
  </si>
  <si>
    <t>Aug 2020</t>
  </si>
  <si>
    <t>Sep 2020</t>
  </si>
  <si>
    <t>Raise Amount</t>
  </si>
  <si>
    <t>Increase</t>
  </si>
  <si>
    <t>Proposed Annual Compensation</t>
  </si>
  <si>
    <t>Employee Name</t>
  </si>
  <si>
    <t>Position</t>
  </si>
  <si>
    <t>Earnings</t>
  </si>
  <si>
    <t>Hours</t>
  </si>
  <si>
    <t>Driver</t>
  </si>
  <si>
    <t>Office</t>
  </si>
  <si>
    <t>Officer</t>
  </si>
  <si>
    <t>Shop</t>
  </si>
  <si>
    <t>Payroll by Month per financial statement</t>
  </si>
  <si>
    <t>Employee Number</t>
  </si>
  <si>
    <t>Employee Name Redacted</t>
  </si>
  <si>
    <t>Master copy with employee names displayed available for "in-camera viewing" during site visit by staff</t>
  </si>
  <si>
    <t>Pro Forma Entries - Explanation</t>
  </si>
  <si>
    <t>PF1</t>
  </si>
  <si>
    <t>Record payroll increases - Shop</t>
  </si>
  <si>
    <t>Record payroll increases - Driver</t>
  </si>
  <si>
    <t>Record payroll increases - Officer</t>
  </si>
  <si>
    <t>Record payroll increases - Office</t>
  </si>
  <si>
    <t>RE11</t>
  </si>
  <si>
    <t>Record September 2020 Disposal Charge at Royal Heights Transfer Station</t>
  </si>
  <si>
    <t>Summary of Disposal Cost</t>
  </si>
  <si>
    <t>For the test period October1, 2019 to September 30, 2020</t>
  </si>
  <si>
    <t xml:space="preserve">Monthly </t>
  </si>
  <si>
    <t>Tonnage</t>
  </si>
  <si>
    <t>Packer Trucks</t>
  </si>
  <si>
    <t>Drop Box Trucks</t>
  </si>
  <si>
    <t>Wood Waste</t>
  </si>
  <si>
    <t>Total Tonnage</t>
  </si>
  <si>
    <t>Total Dollars</t>
  </si>
  <si>
    <t>Royal Heights</t>
  </si>
  <si>
    <t>Self-Haul</t>
  </si>
  <si>
    <t>Financials</t>
  </si>
  <si>
    <t>Difference</t>
  </si>
  <si>
    <t>Consolidate by month</t>
  </si>
  <si>
    <t>Record September 2020 Royal Heights</t>
  </si>
  <si>
    <t>Unlocated</t>
  </si>
  <si>
    <t>Rate Increase at Pacific Solid Waste</t>
  </si>
  <si>
    <t>from $113.25 to $120.00 Per Ton</t>
  </si>
  <si>
    <t>Revised Disposal Cost</t>
  </si>
  <si>
    <t>PF2</t>
  </si>
  <si>
    <t>Record Disposal Cost Increase</t>
  </si>
  <si>
    <t>Insurance Cost Increase</t>
  </si>
  <si>
    <t>Insurance cost from the Pro Forma</t>
  </si>
  <si>
    <t>Insurance renewal quote</t>
  </si>
  <si>
    <t>PF3</t>
  </si>
  <si>
    <t>PF 1</t>
  </si>
  <si>
    <t>PF 2</t>
  </si>
  <si>
    <t>PF 3</t>
  </si>
  <si>
    <t>Can Count</t>
  </si>
  <si>
    <t>Proposed</t>
  </si>
  <si>
    <t>Pass-Thru Revenue</t>
  </si>
  <si>
    <t>Revenue from Monthly P&amp;L</t>
  </si>
  <si>
    <t>Regulated Revenue Percentage</t>
  </si>
  <si>
    <t>Station and Recycling Center in Skamokawa, WA.</t>
  </si>
  <si>
    <t>Total Non-Regulated</t>
  </si>
  <si>
    <t xml:space="preserve">Adjustment of </t>
  </si>
  <si>
    <t>Non-Regulated Revenue Percentage</t>
  </si>
  <si>
    <t xml:space="preserve">Pursuant to WAC 480-07-520 (4)(d) Peninsula Sanitation is not separting income and expenses between regulated and non-regulated operations. </t>
  </si>
  <si>
    <t>Rate Case Cost</t>
  </si>
  <si>
    <t>Accounting</t>
  </si>
  <si>
    <t>Preparation cost for filing</t>
  </si>
  <si>
    <t xml:space="preserve">Subsequent cost </t>
  </si>
  <si>
    <t>Legal Cost</t>
  </si>
  <si>
    <t>Statuatory Notice</t>
  </si>
  <si>
    <t>Postage and Printing</t>
  </si>
  <si>
    <t>Amortize over 4 years</t>
  </si>
  <si>
    <t>PF4</t>
  </si>
  <si>
    <t>Record rate case cost</t>
  </si>
  <si>
    <t>PF 4</t>
  </si>
  <si>
    <t>Development in Long Beach, WA., Menlo, WA., Ocean Park, WA., Southbend, WA., Ilwaco, WA.,</t>
  </si>
  <si>
    <t>Organics in Rainier, WA. and hauling services for Wahkiakum County's KM Mountain Transfer</t>
  </si>
  <si>
    <r>
      <t>Adjusted Regulated Book Revenue-</t>
    </r>
    <r>
      <rPr>
        <b/>
        <u/>
        <sz val="12"/>
        <color theme="1"/>
        <rFont val="Times New Roman"/>
        <family val="1"/>
      </rPr>
      <t>Excluding Disposal Pass-Throught</t>
    </r>
  </si>
  <si>
    <t>RE12</t>
  </si>
  <si>
    <t>Record resolution of TG-190476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</si>
</sst>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_);\(#,##0.0000\)"/>
    <numFmt numFmtId="165" formatCode="0.000%"/>
    <numFmt numFmtId="166" formatCode="#,##0.000_);\(#,##0.000\)"/>
    <numFmt numFmtId="167" formatCode="_(* #,##0_);_(* \(#,##0\);_(* &quot;-&quot;??_);_(@_)"/>
    <numFmt numFmtId="168" formatCode="#,##0.00000_);\(#,##0.00000\)"/>
    <numFmt numFmtId="169" formatCode="0.00000"/>
    <numFmt numFmtId="170" formatCode="[$-409]mmmm\ d\,\ yyyy;@"/>
    <numFmt numFmtId="171" formatCode="mm/dd/yyyy"/>
    <numFmt numFmtId="172" formatCode="#,##0.00;\-#,##0.00"/>
    <numFmt numFmtId="173" formatCode="[$-409]mmmm\-yy;@"/>
    <numFmt numFmtId="174" formatCode="mmmm"/>
  </numFmts>
  <fonts count="69">
    <font>
      <sz val="11"/>
      <color theme="1"/>
      <name val="Calibri"/>
      <family val="2"/>
    </font>
    <font>
      <sz val="18"/>
      <name val="Helv"/>
    </font>
    <font>
      <sz val="18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2"/>
      <color theme="1"/>
      <name val="Times New Roman"/>
      <family val="1"/>
    </font>
    <font>
      <b/>
      <sz val="14"/>
      <name val="Times New Roman"/>
      <family val="1"/>
    </font>
    <font>
      <sz val="10"/>
      <color theme="1"/>
      <name val="Calibri"/>
      <family val="2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2"/>
      <color indexed="12"/>
      <name val="SWISS"/>
    </font>
    <font>
      <b/>
      <sz val="12"/>
      <name val="SWISS"/>
    </font>
    <font>
      <sz val="8"/>
      <color indexed="9"/>
      <name val="Calibri"/>
      <family val="2"/>
    </font>
    <font>
      <sz val="14"/>
      <color indexed="9"/>
      <name val="Calibri"/>
      <family val="2"/>
    </font>
    <font>
      <b/>
      <sz val="14"/>
      <name val="SWISS"/>
    </font>
    <font>
      <sz val="9"/>
      <color rgb="FF0070C0"/>
      <name val="SWISS"/>
    </font>
    <font>
      <b/>
      <sz val="12"/>
      <color indexed="12"/>
      <name val="Times New Roman"/>
      <family val="1"/>
    </font>
    <font>
      <sz val="12"/>
      <color indexed="39"/>
      <name val="SWISS"/>
    </font>
    <font>
      <sz val="12"/>
      <color indexed="39"/>
      <name val="Times New Roman"/>
      <family val="1"/>
    </font>
    <font>
      <b/>
      <sz val="12"/>
      <color indexed="39"/>
      <name val="Times New Roman"/>
      <family val="1"/>
    </font>
    <font>
      <sz val="12"/>
      <color indexed="10"/>
      <name val="SWISS"/>
    </font>
    <font>
      <sz val="12"/>
      <color indexed="8"/>
      <name val="SWISS"/>
    </font>
    <font>
      <sz val="12"/>
      <name val="SWISS"/>
    </font>
    <font>
      <sz val="9"/>
      <color indexed="39"/>
      <name val="Times New Roman"/>
      <family val="1"/>
    </font>
    <font>
      <u/>
      <sz val="12"/>
      <color indexed="12"/>
      <name val="Times New Roman"/>
      <family val="1"/>
    </font>
    <font>
      <b/>
      <u/>
      <sz val="12"/>
      <color indexed="39"/>
      <name val="Times New Roman"/>
      <family val="1"/>
    </font>
    <font>
      <sz val="12"/>
      <color indexed="18"/>
      <name val="Times New Roman"/>
      <family val="1"/>
    </font>
    <font>
      <u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32"/>
      <name val="SWISS"/>
    </font>
    <font>
      <sz val="12"/>
      <color indexed="18"/>
      <name val="SWISS"/>
    </font>
    <font>
      <b/>
      <sz val="10"/>
      <name val="SWISS"/>
    </font>
    <font>
      <sz val="12"/>
      <color indexed="56"/>
      <name val="SWISS"/>
    </font>
    <font>
      <i/>
      <sz val="12"/>
      <name val="SWISS"/>
    </font>
    <font>
      <sz val="11"/>
      <name val="Times New Roman"/>
      <family val="1"/>
    </font>
    <font>
      <sz val="10"/>
      <color indexed="39"/>
      <name val="Times New Roman"/>
      <family val="1"/>
    </font>
    <font>
      <sz val="10"/>
      <color indexed="18"/>
      <name val="Times New Roman"/>
      <family val="1"/>
    </font>
    <font>
      <b/>
      <sz val="10"/>
      <name val="Calibri"/>
      <family val="2"/>
    </font>
    <font>
      <sz val="10"/>
      <name val="Calibri"/>
      <family val="2"/>
    </font>
    <font>
      <sz val="12"/>
      <name val="Arial"/>
      <family val="2"/>
    </font>
    <font>
      <b/>
      <sz val="14"/>
      <color theme="1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b/>
      <u/>
      <sz val="10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u/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1"/>
      <name val="Calibri"/>
      <family val="2"/>
    </font>
    <font>
      <b/>
      <u/>
      <sz val="12"/>
      <name val="Times New Roman"/>
      <family val="1"/>
    </font>
    <font>
      <b/>
      <u/>
      <sz val="14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theme="1"/>
      <name val="Arial"/>
      <family val="2"/>
    </font>
    <font>
      <sz val="9"/>
      <color theme="1"/>
      <name val="Calibri"/>
      <family val="2"/>
      <scheme val="minor"/>
    </font>
    <font>
      <sz val="8"/>
      <color rgb="FF000000"/>
      <name val="Arial"/>
      <family val="2"/>
    </font>
    <font>
      <b/>
      <sz val="12"/>
      <name val="Times New Roman"/>
      <family val="1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indexed="62"/>
      <name val="Times New Roman"/>
      <family val="1"/>
    </font>
    <font>
      <b/>
      <u/>
      <sz val="12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22"/>
        <bgColor indexed="64"/>
      </patternFill>
    </fill>
  </fills>
  <borders count="39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2">
    <xf numFmtId="0" fontId="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2" borderId="0" applyNumberFormat="0" applyBorder="0" applyAlignment="0" applyProtection="0"/>
    <xf numFmtId="0" fontId="24" fillId="7" borderId="0"/>
    <xf numFmtId="41" fontId="5" fillId="6" borderId="0">
      <alignment horizontal="left"/>
    </xf>
    <xf numFmtId="0" fontId="41" fillId="0" borderId="0"/>
    <xf numFmtId="0" fontId="41" fillId="0" borderId="0"/>
    <xf numFmtId="0" fontId="46" fillId="0" borderId="0"/>
    <xf numFmtId="0" fontId="3" fillId="0" borderId="0"/>
    <xf numFmtId="44" fontId="10" fillId="0" borderId="0" applyFont="0" applyFill="0" applyBorder="0" applyAlignment="0" applyProtection="0"/>
    <xf numFmtId="0" fontId="3" fillId="0" borderId="0"/>
  </cellStyleXfs>
  <cellXfs count="388">
    <xf numFmtId="0" fontId="0" fillId="0" borderId="0" xfId="0"/>
    <xf numFmtId="0" fontId="1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Continuous"/>
    </xf>
    <xf numFmtId="0" fontId="4" fillId="0" borderId="0" xfId="0" applyFont="1"/>
    <xf numFmtId="37" fontId="3" fillId="0" borderId="0" xfId="0" applyNumberFormat="1" applyFont="1"/>
    <xf numFmtId="0" fontId="5" fillId="0" borderId="0" xfId="0" applyFont="1"/>
    <xf numFmtId="4" fontId="5" fillId="0" borderId="0" xfId="0" applyNumberFormat="1" applyFont="1"/>
    <xf numFmtId="39" fontId="0" fillId="0" borderId="0" xfId="0" applyNumberFormat="1"/>
    <xf numFmtId="39" fontId="5" fillId="0" borderId="0" xfId="0" applyNumberFormat="1" applyFont="1"/>
    <xf numFmtId="10" fontId="3" fillId="0" borderId="0" xfId="0" applyNumberFormat="1" applyFont="1"/>
    <xf numFmtId="0" fontId="0" fillId="0" borderId="0" xfId="0" applyAlignment="1">
      <alignment horizontal="centerContinuous"/>
    </xf>
    <xf numFmtId="0" fontId="6" fillId="0" borderId="0" xfId="0" applyFont="1"/>
    <xf numFmtId="0" fontId="7" fillId="0" borderId="0" xfId="0" applyFont="1" applyAlignment="1">
      <alignment horizontal="centerContinuous"/>
    </xf>
    <xf numFmtId="0" fontId="8" fillId="0" borderId="0" xfId="0" applyFont="1"/>
    <xf numFmtId="0" fontId="5" fillId="0" borderId="0" xfId="0" applyFont="1" applyAlignment="1">
      <alignment horizontal="centerContinuous"/>
    </xf>
    <xf numFmtId="14" fontId="5" fillId="0" borderId="1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37" fontId="5" fillId="0" borderId="0" xfId="0" applyNumberFormat="1" applyFont="1"/>
    <xf numFmtId="39" fontId="9" fillId="0" borderId="0" xfId="0" applyNumberFormat="1" applyFont="1"/>
    <xf numFmtId="39" fontId="5" fillId="0" borderId="4" xfId="0" applyNumberFormat="1" applyFont="1" applyBorder="1"/>
    <xf numFmtId="39" fontId="5" fillId="0" borderId="5" xfId="0" applyNumberFormat="1" applyFont="1" applyBorder="1"/>
    <xf numFmtId="39" fontId="5" fillId="0" borderId="6" xfId="0" applyNumberFormat="1" applyFont="1" applyBorder="1"/>
    <xf numFmtId="0" fontId="0" fillId="3" borderId="0" xfId="0" applyFill="1"/>
    <xf numFmtId="0" fontId="12" fillId="3" borderId="0" xfId="0" applyFont="1" applyFill="1"/>
    <xf numFmtId="0" fontId="12" fillId="3" borderId="7" xfId="0" applyFont="1" applyFill="1" applyBorder="1"/>
    <xf numFmtId="0" fontId="12" fillId="0" borderId="8" xfId="0" applyFont="1" applyBorder="1"/>
    <xf numFmtId="0" fontId="12" fillId="0" borderId="0" xfId="0" applyFont="1" applyAlignment="1">
      <alignment horizontal="center"/>
    </xf>
    <xf numFmtId="0" fontId="12" fillId="0" borderId="0" xfId="0" applyFont="1"/>
    <xf numFmtId="0" fontId="14" fillId="2" borderId="9" xfId="3" applyNumberFormat="1" applyFont="1" applyBorder="1" applyAlignment="1">
      <alignment horizontal="centerContinuous"/>
    </xf>
    <xf numFmtId="0" fontId="15" fillId="2" borderId="10" xfId="3" applyNumberFormat="1" applyFont="1" applyBorder="1" applyAlignment="1">
      <alignment horizontal="centerContinuous"/>
    </xf>
    <xf numFmtId="0" fontId="15" fillId="2" borderId="10" xfId="3" applyNumberFormat="1" applyFont="1" applyBorder="1" applyAlignment="1">
      <alignment horizontal="left"/>
    </xf>
    <xf numFmtId="0" fontId="0" fillId="0" borderId="8" xfId="0" applyBorder="1"/>
    <xf numFmtId="0" fontId="16" fillId="0" borderId="11" xfId="0" applyFont="1" applyBorder="1" applyAlignment="1">
      <alignment horizontal="centerContinuous"/>
    </xf>
    <xf numFmtId="0" fontId="16" fillId="0" borderId="12" xfId="0" applyFont="1" applyBorder="1" applyAlignment="1">
      <alignment horizontal="centerContinuous"/>
    </xf>
    <xf numFmtId="0" fontId="0" fillId="0" borderId="12" xfId="0" applyBorder="1" applyAlignment="1">
      <alignment horizontal="centerContinuous"/>
    </xf>
    <xf numFmtId="0" fontId="3" fillId="0" borderId="14" xfId="0" applyFont="1" applyBorder="1"/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5" fillId="2" borderId="15" xfId="3" applyNumberFormat="1" applyFont="1" applyBorder="1" applyAlignment="1">
      <alignment horizontal="left"/>
    </xf>
    <xf numFmtId="0" fontId="15" fillId="2" borderId="11" xfId="3" applyNumberFormat="1" applyFont="1" applyBorder="1" applyAlignment="1">
      <alignment horizontal="left"/>
    </xf>
    <xf numFmtId="0" fontId="0" fillId="4" borderId="0" xfId="0" applyFill="1"/>
    <xf numFmtId="0" fontId="3" fillId="0" borderId="8" xfId="0" applyFont="1" applyBorder="1"/>
    <xf numFmtId="0" fontId="18" fillId="5" borderId="0" xfId="0" applyFont="1" applyFill="1" applyAlignment="1">
      <alignment horizontal="center"/>
    </xf>
    <xf numFmtId="0" fontId="19" fillId="3" borderId="0" xfId="0" applyFont="1" applyFill="1"/>
    <xf numFmtId="0" fontId="20" fillId="0" borderId="16" xfId="0" applyFont="1" applyBorder="1" applyAlignment="1">
      <alignment horizontal="right"/>
    </xf>
    <xf numFmtId="43" fontId="3" fillId="0" borderId="17" xfId="1" applyFont="1" applyFill="1" applyBorder="1" applyAlignment="1">
      <alignment horizontal="left"/>
    </xf>
    <xf numFmtId="0" fontId="20" fillId="0" borderId="8" xfId="0" applyFont="1" applyBorder="1"/>
    <xf numFmtId="0" fontId="20" fillId="0" borderId="0" xfId="0" applyFont="1"/>
    <xf numFmtId="0" fontId="21" fillId="5" borderId="0" xfId="0" applyFont="1" applyFill="1" applyAlignment="1">
      <alignment horizontal="center"/>
    </xf>
    <xf numFmtId="41" fontId="0" fillId="3" borderId="0" xfId="0" applyNumberFormat="1" applyFill="1"/>
    <xf numFmtId="43" fontId="3" fillId="0" borderId="12" xfId="1" applyFont="1" applyFill="1" applyBorder="1" applyAlignment="1">
      <alignment horizontal="left"/>
    </xf>
    <xf numFmtId="0" fontId="20" fillId="0" borderId="18" xfId="0" applyFont="1" applyBorder="1"/>
    <xf numFmtId="0" fontId="18" fillId="5" borderId="4" xfId="0" applyFont="1" applyFill="1" applyBorder="1"/>
    <xf numFmtId="0" fontId="21" fillId="5" borderId="4" xfId="0" applyFont="1" applyFill="1" applyBorder="1" applyAlignment="1">
      <alignment horizontal="center"/>
    </xf>
    <xf numFmtId="0" fontId="21" fillId="5" borderId="4" xfId="0" applyFont="1" applyFill="1" applyBorder="1"/>
    <xf numFmtId="0" fontId="0" fillId="0" borderId="19" xfId="0" applyBorder="1" applyAlignment="1">
      <alignment horizontal="center"/>
    </xf>
    <xf numFmtId="2" fontId="0" fillId="0" borderId="19" xfId="0" applyNumberFormat="1" applyBorder="1" applyAlignment="1">
      <alignment horizontal="center"/>
    </xf>
    <xf numFmtId="164" fontId="0" fillId="0" borderId="20" xfId="0" applyNumberFormat="1" applyBorder="1"/>
    <xf numFmtId="10" fontId="22" fillId="0" borderId="20" xfId="0" applyNumberFormat="1" applyFont="1" applyBorder="1"/>
    <xf numFmtId="41" fontId="0" fillId="0" borderId="21" xfId="0" applyNumberFormat="1" applyBorder="1"/>
    <xf numFmtId="41" fontId="0" fillId="0" borderId="19" xfId="0" applyNumberFormat="1" applyBorder="1"/>
    <xf numFmtId="41" fontId="0" fillId="0" borderId="20" xfId="0" applyNumberFormat="1" applyBorder="1"/>
    <xf numFmtId="0" fontId="20" fillId="0" borderId="22" xfId="0" applyFont="1" applyBorder="1" applyAlignment="1">
      <alignment horizontal="center"/>
    </xf>
    <xf numFmtId="0" fontId="20" fillId="0" borderId="0" xfId="0" applyFont="1" applyAlignment="1">
      <alignment horizontal="right"/>
    </xf>
    <xf numFmtId="41" fontId="20" fillId="0" borderId="0" xfId="0" applyNumberFormat="1" applyFont="1"/>
    <xf numFmtId="0" fontId="23" fillId="0" borderId="8" xfId="0" applyFon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164" fontId="0" fillId="0" borderId="0" xfId="0" applyNumberFormat="1"/>
    <xf numFmtId="10" fontId="22" fillId="0" borderId="0" xfId="0" applyNumberFormat="1" applyFont="1"/>
    <xf numFmtId="41" fontId="0" fillId="0" borderId="23" xfId="0" applyNumberFormat="1" applyBorder="1"/>
    <xf numFmtId="41" fontId="0" fillId="0" borderId="8" xfId="0" applyNumberFormat="1" applyBorder="1"/>
    <xf numFmtId="41" fontId="0" fillId="0" borderId="0" xfId="0" applyNumberFormat="1"/>
    <xf numFmtId="9" fontId="3" fillId="0" borderId="12" xfId="2" applyFont="1" applyFill="1" applyBorder="1"/>
    <xf numFmtId="0" fontId="20" fillId="0" borderId="16" xfId="0" applyFont="1" applyBorder="1" applyAlignment="1">
      <alignment horizontal="center"/>
    </xf>
    <xf numFmtId="0" fontId="0" fillId="0" borderId="8" xfId="0" applyBorder="1" applyAlignment="1">
      <alignment horizontal="center"/>
    </xf>
    <xf numFmtId="41" fontId="20" fillId="0" borderId="5" xfId="0" applyNumberFormat="1" applyFont="1" applyBorder="1"/>
    <xf numFmtId="5" fontId="20" fillId="0" borderId="5" xfId="0" applyNumberFormat="1" applyFont="1" applyBorder="1"/>
    <xf numFmtId="0" fontId="0" fillId="0" borderId="18" xfId="0" applyBorder="1" applyAlignment="1">
      <alignment horizontal="center"/>
    </xf>
    <xf numFmtId="0" fontId="21" fillId="0" borderId="16" xfId="0" applyFont="1" applyBorder="1" applyAlignment="1">
      <alignment horizontal="right"/>
    </xf>
    <xf numFmtId="165" fontId="3" fillId="0" borderId="12" xfId="2" applyNumberFormat="1" applyFont="1" applyFill="1" applyBorder="1"/>
    <xf numFmtId="164" fontId="23" fillId="0" borderId="0" xfId="0" applyNumberFormat="1" applyFont="1"/>
    <xf numFmtId="0" fontId="20" fillId="0" borderId="24" xfId="0" applyFont="1" applyBorder="1" applyAlignment="1">
      <alignment horizontal="right"/>
    </xf>
    <xf numFmtId="41" fontId="20" fillId="0" borderId="25" xfId="0" applyNumberFormat="1" applyFont="1" applyBorder="1"/>
    <xf numFmtId="164" fontId="0" fillId="0" borderId="4" xfId="0" applyNumberFormat="1" applyBorder="1"/>
    <xf numFmtId="41" fontId="3" fillId="0" borderId="0" xfId="0" applyNumberFormat="1" applyFont="1"/>
    <xf numFmtId="0" fontId="20" fillId="7" borderId="26" xfId="4" applyFont="1" applyBorder="1" applyAlignment="1">
      <alignment horizontal="right"/>
    </xf>
    <xf numFmtId="0" fontId="20" fillId="7" borderId="0" xfId="4" applyFont="1" applyAlignment="1">
      <alignment horizontal="right"/>
    </xf>
    <xf numFmtId="10" fontId="20" fillId="7" borderId="0" xfId="4" applyNumberFormat="1" applyFont="1" applyAlignment="1">
      <alignment horizontal="right"/>
    </xf>
    <xf numFmtId="41" fontId="3" fillId="6" borderId="0" xfId="5" applyFont="1" applyAlignment="1">
      <alignment horizontal="right"/>
    </xf>
    <xf numFmtId="0" fontId="24" fillId="7" borderId="0" xfId="4" applyAlignment="1">
      <alignment horizontal="right"/>
    </xf>
    <xf numFmtId="0" fontId="0" fillId="0" borderId="27" xfId="0" applyBorder="1" applyAlignment="1">
      <alignment horizontal="center"/>
    </xf>
    <xf numFmtId="2" fontId="0" fillId="0" borderId="27" xfId="0" applyNumberFormat="1" applyBorder="1" applyAlignment="1">
      <alignment horizontal="center"/>
    </xf>
    <xf numFmtId="164" fontId="0" fillId="0" borderId="28" xfId="0" applyNumberFormat="1" applyBorder="1"/>
    <xf numFmtId="10" fontId="22" fillId="0" borderId="28" xfId="0" applyNumberFormat="1" applyFont="1" applyBorder="1"/>
    <xf numFmtId="41" fontId="0" fillId="0" borderId="29" xfId="0" applyNumberFormat="1" applyBorder="1"/>
    <xf numFmtId="41" fontId="0" fillId="0" borderId="27" xfId="0" applyNumberFormat="1" applyBorder="1"/>
    <xf numFmtId="41" fontId="0" fillId="0" borderId="28" xfId="0" applyNumberFormat="1" applyBorder="1"/>
    <xf numFmtId="0" fontId="3" fillId="7" borderId="0" xfId="4" applyFont="1"/>
    <xf numFmtId="0" fontId="24" fillId="7" borderId="0" xfId="4"/>
    <xf numFmtId="10" fontId="20" fillId="0" borderId="0" xfId="0" applyNumberFormat="1" applyFont="1" applyAlignment="1">
      <alignment horizontal="right"/>
    </xf>
    <xf numFmtId="0" fontId="18" fillId="5" borderId="27" xfId="4" applyFont="1" applyFill="1" applyBorder="1" applyAlignment="1">
      <alignment horizontal="left"/>
    </xf>
    <xf numFmtId="0" fontId="24" fillId="7" borderId="28" xfId="4" applyBorder="1"/>
    <xf numFmtId="0" fontId="24" fillId="7" borderId="29" xfId="4" applyBorder="1"/>
    <xf numFmtId="0" fontId="3" fillId="7" borderId="8" xfId="4" applyFont="1" applyBorder="1"/>
    <xf numFmtId="41" fontId="20" fillId="7" borderId="0" xfId="4" applyNumberFormat="1" applyFont="1"/>
    <xf numFmtId="0" fontId="25" fillId="7" borderId="0" xfId="4" applyFont="1" applyAlignment="1">
      <alignment horizontal="left"/>
    </xf>
    <xf numFmtId="41" fontId="20" fillId="7" borderId="23" xfId="4" applyNumberFormat="1" applyFont="1" applyBorder="1"/>
    <xf numFmtId="0" fontId="13" fillId="3" borderId="0" xfId="0" applyFont="1" applyFill="1"/>
    <xf numFmtId="0" fontId="21" fillId="7" borderId="0" xfId="4" applyFont="1" applyAlignment="1">
      <alignment horizontal="right"/>
    </xf>
    <xf numFmtId="41" fontId="21" fillId="7" borderId="6" xfId="4" applyNumberFormat="1" applyFont="1" applyBorder="1"/>
    <xf numFmtId="41" fontId="21" fillId="7" borderId="31" xfId="4" applyNumberFormat="1" applyFont="1" applyBorder="1"/>
    <xf numFmtId="0" fontId="24" fillId="7" borderId="18" xfId="4" applyBorder="1"/>
    <xf numFmtId="0" fontId="24" fillId="7" borderId="4" xfId="4" applyBorder="1"/>
    <xf numFmtId="0" fontId="20" fillId="7" borderId="4" xfId="4" applyFont="1" applyBorder="1" applyAlignment="1">
      <alignment horizontal="right" vertical="center"/>
    </xf>
    <xf numFmtId="10" fontId="21" fillId="7" borderId="4" xfId="4" applyNumberFormat="1" applyFont="1" applyBorder="1" applyAlignment="1">
      <alignment horizontal="center" vertical="center"/>
    </xf>
    <xf numFmtId="0" fontId="24" fillId="7" borderId="17" xfId="4" applyBorder="1"/>
    <xf numFmtId="0" fontId="18" fillId="5" borderId="0" xfId="0" applyFont="1" applyFill="1" applyAlignment="1">
      <alignment horizontal="right"/>
    </xf>
    <xf numFmtId="0" fontId="18" fillId="6" borderId="0" xfId="0" applyFont="1" applyFill="1" applyAlignment="1">
      <alignment horizontal="centerContinuous"/>
    </xf>
    <xf numFmtId="0" fontId="26" fillId="0" borderId="0" xfId="0" applyFont="1" applyAlignment="1">
      <alignment horizontal="right"/>
    </xf>
    <xf numFmtId="41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37" fontId="0" fillId="0" borderId="0" xfId="0" applyNumberFormat="1"/>
    <xf numFmtId="10" fontId="20" fillId="0" borderId="0" xfId="0" applyNumberFormat="1" applyFont="1" applyAlignment="1">
      <alignment horizontal="center"/>
    </xf>
    <xf numFmtId="41" fontId="20" fillId="0" borderId="0" xfId="0" applyNumberFormat="1" applyFont="1" applyProtection="1">
      <protection locked="0"/>
    </xf>
    <xf numFmtId="41" fontId="20" fillId="0" borderId="4" xfId="0" applyNumberFormat="1" applyFont="1" applyBorder="1" applyProtection="1">
      <protection locked="0"/>
    </xf>
    <xf numFmtId="9" fontId="20" fillId="0" borderId="0" xfId="0" applyNumberFormat="1" applyFont="1" applyAlignment="1">
      <alignment horizontal="center"/>
    </xf>
    <xf numFmtId="41" fontId="20" fillId="0" borderId="32" xfId="0" applyNumberFormat="1" applyFont="1" applyBorder="1"/>
    <xf numFmtId="0" fontId="3" fillId="0" borderId="0" xfId="0" applyFont="1" applyAlignment="1">
      <alignment horizontal="right"/>
    </xf>
    <xf numFmtId="10" fontId="20" fillId="0" borderId="32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7" fillId="0" borderId="0" xfId="0" applyFont="1"/>
    <xf numFmtId="0" fontId="21" fillId="0" borderId="0" xfId="0" applyFont="1"/>
    <xf numFmtId="0" fontId="27" fillId="0" borderId="0" xfId="0" applyFont="1" applyAlignment="1">
      <alignment horizontal="right"/>
    </xf>
    <xf numFmtId="10" fontId="20" fillId="0" borderId="0" xfId="0" applyNumberFormat="1" applyFont="1"/>
    <xf numFmtId="10" fontId="0" fillId="3" borderId="0" xfId="0" applyNumberFormat="1" applyFill="1"/>
    <xf numFmtId="0" fontId="20" fillId="0" borderId="0" xfId="0" quotePrefix="1" applyFont="1" applyAlignment="1">
      <alignment horizontal="left"/>
    </xf>
    <xf numFmtId="166" fontId="0" fillId="0" borderId="0" xfId="0" applyNumberFormat="1"/>
    <xf numFmtId="0" fontId="28" fillId="0" borderId="0" xfId="0" applyFont="1"/>
    <xf numFmtId="39" fontId="20" fillId="0" borderId="0" xfId="0" applyNumberFormat="1" applyFont="1"/>
    <xf numFmtId="0" fontId="0" fillId="0" borderId="16" xfId="0" applyBorder="1"/>
    <xf numFmtId="0" fontId="29" fillId="0" borderId="0" xfId="0" applyFont="1"/>
    <xf numFmtId="0" fontId="0" fillId="0" borderId="27" xfId="0" applyBorder="1" applyAlignment="1">
      <alignment horizontal="centerContinuous"/>
    </xf>
    <xf numFmtId="0" fontId="0" fillId="0" borderId="29" xfId="0" applyBorder="1" applyAlignment="1">
      <alignment horizontal="centerContinuous"/>
    </xf>
    <xf numFmtId="0" fontId="0" fillId="0" borderId="28" xfId="0" applyBorder="1"/>
    <xf numFmtId="0" fontId="0" fillId="0" borderId="29" xfId="0" applyBorder="1"/>
    <xf numFmtId="9" fontId="10" fillId="0" borderId="0" xfId="2"/>
    <xf numFmtId="0" fontId="21" fillId="0" borderId="4" xfId="0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0" fontId="0" fillId="0" borderId="8" xfId="0" applyBorder="1" applyAlignment="1">
      <alignment horizontal="centerContinuous"/>
    </xf>
    <xf numFmtId="0" fontId="0" fillId="0" borderId="23" xfId="0" applyBorder="1" applyAlignment="1">
      <alignment horizontal="centerContinuous"/>
    </xf>
    <xf numFmtId="0" fontId="0" fillId="0" borderId="23" xfId="0" applyBorder="1"/>
    <xf numFmtId="0" fontId="30" fillId="0" borderId="0" xfId="0" applyFont="1"/>
    <xf numFmtId="165" fontId="20" fillId="0" borderId="0" xfId="0" applyNumberFormat="1" applyFont="1"/>
    <xf numFmtId="167" fontId="20" fillId="0" borderId="0" xfId="0" applyNumberFormat="1" applyFont="1" applyProtection="1">
      <protection locked="0"/>
    </xf>
    <xf numFmtId="0" fontId="0" fillId="0" borderId="23" xfId="0" applyBorder="1" applyAlignment="1">
      <alignment horizontal="center"/>
    </xf>
    <xf numFmtId="0" fontId="0" fillId="0" borderId="0" xfId="0" quotePrefix="1" applyAlignment="1">
      <alignment horizontal="right"/>
    </xf>
    <xf numFmtId="10" fontId="0" fillId="0" borderId="23" xfId="0" applyNumberFormat="1" applyBorder="1"/>
    <xf numFmtId="10" fontId="0" fillId="0" borderId="0" xfId="0" applyNumberFormat="1" applyAlignment="1">
      <alignment horizontal="center"/>
    </xf>
    <xf numFmtId="10" fontId="0" fillId="0" borderId="23" xfId="0" applyNumberFormat="1" applyBorder="1" applyAlignment="1">
      <alignment horizontal="right"/>
    </xf>
    <xf numFmtId="0" fontId="0" fillId="0" borderId="17" xfId="0" applyBorder="1" applyAlignment="1">
      <alignment horizontal="center"/>
    </xf>
    <xf numFmtId="0" fontId="0" fillId="0" borderId="4" xfId="0" applyBorder="1"/>
    <xf numFmtId="0" fontId="0" fillId="0" borderId="17" xfId="0" applyBorder="1"/>
    <xf numFmtId="165" fontId="20" fillId="0" borderId="32" xfId="0" applyNumberFormat="1" applyFont="1" applyBorder="1"/>
    <xf numFmtId="39" fontId="0" fillId="0" borderId="27" xfId="0" applyNumberFormat="1" applyBorder="1" applyAlignment="1">
      <alignment horizontal="center"/>
    </xf>
    <xf numFmtId="0" fontId="0" fillId="0" borderId="28" xfId="0" quotePrefix="1" applyBorder="1" applyAlignment="1">
      <alignment horizontal="left"/>
    </xf>
    <xf numFmtId="0" fontId="0" fillId="0" borderId="0" xfId="0" quotePrefix="1" applyAlignment="1">
      <alignment horizontal="left"/>
    </xf>
    <xf numFmtId="0" fontId="31" fillId="3" borderId="0" xfId="0" applyFont="1" applyFill="1"/>
    <xf numFmtId="2" fontId="31" fillId="3" borderId="0" xfId="0" applyNumberFormat="1" applyFont="1" applyFill="1"/>
    <xf numFmtId="10" fontId="0" fillId="0" borderId="18" xfId="0" applyNumberFormat="1" applyBorder="1" applyAlignment="1">
      <alignment horizontal="center"/>
    </xf>
    <xf numFmtId="0" fontId="32" fillId="0" borderId="17" xfId="0" applyFont="1" applyBorder="1"/>
    <xf numFmtId="0" fontId="32" fillId="3" borderId="0" xfId="0" applyFont="1" applyFill="1"/>
    <xf numFmtId="168" fontId="0" fillId="0" borderId="0" xfId="0" applyNumberFormat="1"/>
    <xf numFmtId="0" fontId="13" fillId="0" borderId="0" xfId="0" applyFont="1" applyAlignment="1">
      <alignment horizontal="centerContinuous"/>
    </xf>
    <xf numFmtId="0" fontId="0" fillId="3" borderId="0" xfId="0" applyFill="1" applyAlignment="1">
      <alignment horizontal="right"/>
    </xf>
    <xf numFmtId="0" fontId="0" fillId="0" borderId="27" xfId="0" applyBorder="1"/>
    <xf numFmtId="0" fontId="33" fillId="0" borderId="28" xfId="0" applyFont="1" applyBorder="1" applyAlignment="1">
      <alignment horizontal="center"/>
    </xf>
    <xf numFmtId="0" fontId="33" fillId="0" borderId="29" xfId="0" applyFont="1" applyBorder="1" applyAlignment="1">
      <alignment horizontal="center"/>
    </xf>
    <xf numFmtId="0" fontId="0" fillId="0" borderId="27" xfId="0" applyBorder="1" applyAlignment="1">
      <alignment horizontal="left"/>
    </xf>
    <xf numFmtId="169" fontId="34" fillId="0" borderId="28" xfId="0" applyNumberFormat="1" applyFont="1" applyBorder="1" applyAlignment="1">
      <alignment horizontal="center"/>
    </xf>
    <xf numFmtId="0" fontId="0" fillId="0" borderId="28" xfId="0" applyBorder="1" applyAlignment="1">
      <alignment horizontal="left"/>
    </xf>
    <xf numFmtId="169" fontId="34" fillId="0" borderId="29" xfId="0" applyNumberFormat="1" applyFont="1" applyBorder="1" applyAlignment="1">
      <alignment horizontal="center"/>
    </xf>
    <xf numFmtId="10" fontId="0" fillId="0" borderId="0" xfId="0" applyNumberFormat="1"/>
    <xf numFmtId="0" fontId="0" fillId="0" borderId="8" xfId="0" applyBorder="1" applyAlignment="1">
      <alignment horizontal="left"/>
    </xf>
    <xf numFmtId="169" fontId="34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169" fontId="34" fillId="0" borderId="23" xfId="0" applyNumberFormat="1" applyFont="1" applyBorder="1" applyAlignment="1">
      <alignment horizontal="center"/>
    </xf>
    <xf numFmtId="0" fontId="35" fillId="0" borderId="0" xfId="0" applyFont="1" applyAlignment="1">
      <alignment horizontal="centerContinuous"/>
    </xf>
    <xf numFmtId="169" fontId="0" fillId="0" borderId="23" xfId="0" applyNumberFormat="1" applyBorder="1" applyAlignment="1">
      <alignment horizontal="center"/>
    </xf>
    <xf numFmtId="0" fontId="32" fillId="3" borderId="0" xfId="0" applyFont="1" applyFill="1" applyAlignment="1">
      <alignment horizontal="fill"/>
    </xf>
    <xf numFmtId="10" fontId="0" fillId="0" borderId="4" xfId="0" applyNumberFormat="1" applyBorder="1"/>
    <xf numFmtId="9" fontId="36" fillId="0" borderId="0" xfId="2" applyFont="1" applyBorder="1"/>
    <xf numFmtId="165" fontId="36" fillId="0" borderId="23" xfId="2" applyNumberFormat="1" applyFont="1" applyBorder="1"/>
    <xf numFmtId="0" fontId="0" fillId="0" borderId="18" xfId="0" applyBorder="1"/>
    <xf numFmtId="0" fontId="0" fillId="0" borderId="4" xfId="0" applyBorder="1" applyAlignment="1">
      <alignment horizontal="right"/>
    </xf>
    <xf numFmtId="169" fontId="34" fillId="0" borderId="4" xfId="0" applyNumberFormat="1" applyFont="1" applyBorder="1" applyAlignment="1">
      <alignment horizontal="left"/>
    </xf>
    <xf numFmtId="169" fontId="0" fillId="0" borderId="17" xfId="0" applyNumberFormat="1" applyBorder="1" applyAlignment="1">
      <alignment horizontal="center"/>
    </xf>
    <xf numFmtId="9" fontId="36" fillId="0" borderId="4" xfId="2" applyFont="1" applyBorder="1"/>
    <xf numFmtId="9" fontId="36" fillId="0" borderId="17" xfId="2" applyFont="1" applyBorder="1"/>
    <xf numFmtId="169" fontId="0" fillId="0" borderId="0" xfId="0" applyNumberFormat="1"/>
    <xf numFmtId="0" fontId="37" fillId="0" borderId="28" xfId="0" applyFont="1" applyBorder="1"/>
    <xf numFmtId="0" fontId="37" fillId="0" borderId="8" xfId="0" applyFont="1" applyBorder="1"/>
    <xf numFmtId="0" fontId="37" fillId="0" borderId="0" xfId="0" applyFont="1"/>
    <xf numFmtId="0" fontId="37" fillId="0" borderId="23" xfId="0" applyFont="1" applyBorder="1"/>
    <xf numFmtId="0" fontId="0" fillId="6" borderId="0" xfId="0" applyFill="1"/>
    <xf numFmtId="0" fontId="38" fillId="0" borderId="0" xfId="0" applyFont="1"/>
    <xf numFmtId="9" fontId="36" fillId="0" borderId="23" xfId="2" applyFont="1" applyBorder="1"/>
    <xf numFmtId="39" fontId="0" fillId="0" borderId="4" xfId="0" applyNumberFormat="1" applyBorder="1"/>
    <xf numFmtId="166" fontId="0" fillId="0" borderId="4" xfId="0" applyNumberFormat="1" applyBorder="1"/>
    <xf numFmtId="164" fontId="0" fillId="0" borderId="17" xfId="0" applyNumberFormat="1" applyBorder="1"/>
    <xf numFmtId="0" fontId="0" fillId="0" borderId="0" xfId="0" applyAlignment="1">
      <alignment horizontal="center" wrapText="1"/>
    </xf>
    <xf numFmtId="0" fontId="39" fillId="0" borderId="0" xfId="0" applyFont="1"/>
    <xf numFmtId="0" fontId="40" fillId="0" borderId="0" xfId="0" applyFont="1"/>
    <xf numFmtId="4" fontId="40" fillId="0" borderId="0" xfId="0" applyNumberFormat="1" applyFont="1"/>
    <xf numFmtId="0" fontId="0" fillId="0" borderId="0" xfId="0" applyFont="1"/>
    <xf numFmtId="0" fontId="40" fillId="0" borderId="0" xfId="0" applyFont="1" applyAlignment="1">
      <alignment horizontal="center"/>
    </xf>
    <xf numFmtId="39" fontId="0" fillId="0" borderId="30" xfId="0" applyNumberFormat="1" applyBorder="1"/>
    <xf numFmtId="0" fontId="0" fillId="0" borderId="30" xfId="0" applyBorder="1"/>
    <xf numFmtId="39" fontId="0" fillId="0" borderId="6" xfId="0" applyNumberFormat="1" applyBorder="1"/>
    <xf numFmtId="0" fontId="0" fillId="0" borderId="6" xfId="0" applyBorder="1"/>
    <xf numFmtId="0" fontId="42" fillId="0" borderId="0" xfId="0" applyFont="1" applyAlignment="1">
      <alignment horizontal="centerContinuous"/>
    </xf>
    <xf numFmtId="14" fontId="3" fillId="0" borderId="1" xfId="0" applyNumberFormat="1" applyFont="1" applyBorder="1" applyAlignment="1">
      <alignment horizontal="center"/>
    </xf>
    <xf numFmtId="14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39" fontId="3" fillId="0" borderId="0" xfId="0" applyNumberFormat="1" applyFont="1"/>
    <xf numFmtId="39" fontId="6" fillId="0" borderId="0" xfId="0" applyNumberFormat="1" applyFont="1"/>
    <xf numFmtId="4" fontId="6" fillId="0" borderId="0" xfId="0" applyNumberFormat="1" applyFont="1"/>
    <xf numFmtId="4" fontId="6" fillId="0" borderId="4" xfId="0" applyNumberFormat="1" applyFont="1" applyBorder="1"/>
    <xf numFmtId="39" fontId="6" fillId="0" borderId="4" xfId="0" applyNumberFormat="1" applyFont="1" applyBorder="1"/>
    <xf numFmtId="0" fontId="43" fillId="0" borderId="0" xfId="0" applyFont="1"/>
    <xf numFmtId="0" fontId="44" fillId="0" borderId="0" xfId="0" applyFont="1"/>
    <xf numFmtId="3" fontId="4" fillId="0" borderId="0" xfId="7" applyNumberFormat="1" applyFont="1" applyAlignment="1">
      <alignment horizontal="centerContinuous"/>
    </xf>
    <xf numFmtId="3" fontId="5" fillId="0" borderId="0" xfId="7" applyNumberFormat="1" applyFont="1" applyAlignment="1">
      <alignment horizontal="centerContinuous"/>
    </xf>
    <xf numFmtId="3" fontId="5" fillId="0" borderId="0" xfId="7" applyNumberFormat="1" applyFont="1"/>
    <xf numFmtId="3" fontId="5" fillId="0" borderId="0" xfId="7" applyNumberFormat="1" applyFont="1" applyAlignment="1">
      <alignment horizontal="left"/>
    </xf>
    <xf numFmtId="170" fontId="4" fillId="0" borderId="0" xfId="7" quotePrefix="1" applyNumberFormat="1" applyFont="1" applyAlignment="1">
      <alignment horizontal="centerContinuous"/>
    </xf>
    <xf numFmtId="3" fontId="5" fillId="0" borderId="0" xfId="7" applyNumberFormat="1" applyFont="1" applyAlignment="1">
      <alignment horizontal="center"/>
    </xf>
    <xf numFmtId="1" fontId="5" fillId="0" borderId="0" xfId="7" applyNumberFormat="1" applyFont="1"/>
    <xf numFmtId="3" fontId="4" fillId="0" borderId="0" xfId="7" applyNumberFormat="1" applyFont="1" applyAlignment="1">
      <alignment horizontal="center"/>
    </xf>
    <xf numFmtId="3" fontId="4" fillId="0" borderId="0" xfId="7" applyNumberFormat="1" applyFont="1"/>
    <xf numFmtId="3" fontId="45" fillId="0" borderId="0" xfId="7" applyNumberFormat="1" applyFont="1" applyAlignment="1">
      <alignment horizontal="center"/>
    </xf>
    <xf numFmtId="3" fontId="45" fillId="0" borderId="0" xfId="7" applyNumberFormat="1" applyFont="1"/>
    <xf numFmtId="14" fontId="45" fillId="0" borderId="0" xfId="7" quotePrefix="1" applyNumberFormat="1" applyFont="1" applyAlignment="1">
      <alignment horizontal="center"/>
    </xf>
    <xf numFmtId="14" fontId="45" fillId="0" borderId="0" xfId="7" applyNumberFormat="1" applyFont="1" applyAlignment="1">
      <alignment horizontal="center"/>
    </xf>
    <xf numFmtId="3" fontId="45" fillId="0" borderId="0" xfId="7" applyNumberFormat="1" applyFont="1" applyAlignment="1">
      <alignment horizontal="left"/>
    </xf>
    <xf numFmtId="1" fontId="5" fillId="0" borderId="0" xfId="7" applyNumberFormat="1" applyFont="1" applyAlignment="1">
      <alignment horizontal="center"/>
    </xf>
    <xf numFmtId="4" fontId="5" fillId="0" borderId="0" xfId="7" applyNumberFormat="1" applyFont="1"/>
    <xf numFmtId="3" fontId="4" fillId="0" borderId="0" xfId="7" applyNumberFormat="1" applyFont="1" applyAlignment="1">
      <alignment horizontal="left"/>
    </xf>
    <xf numFmtId="1" fontId="5" fillId="0" borderId="0" xfId="8" applyNumberFormat="1" applyFont="1" applyAlignment="1">
      <alignment horizontal="center"/>
    </xf>
    <xf numFmtId="9" fontId="5" fillId="0" borderId="0" xfId="7" applyNumberFormat="1" applyFont="1"/>
    <xf numFmtId="3" fontId="5" fillId="0" borderId="0" xfId="8" applyNumberFormat="1" applyFont="1" applyAlignment="1">
      <alignment horizontal="right"/>
    </xf>
    <xf numFmtId="3" fontId="5" fillId="0" borderId="0" xfId="0" applyNumberFormat="1" applyFont="1"/>
    <xf numFmtId="0" fontId="36" fillId="0" borderId="0" xfId="0" applyFont="1"/>
    <xf numFmtId="1" fontId="36" fillId="0" borderId="0" xfId="8" applyNumberFormat="1" applyFont="1" applyAlignment="1">
      <alignment horizontal="center"/>
    </xf>
    <xf numFmtId="1" fontId="36" fillId="0" borderId="0" xfId="7" applyNumberFormat="1" applyFont="1" applyAlignment="1">
      <alignment horizontal="center"/>
    </xf>
    <xf numFmtId="9" fontId="36" fillId="0" borderId="0" xfId="7" applyNumberFormat="1" applyFont="1" applyAlignment="1">
      <alignment horizontal="center"/>
    </xf>
    <xf numFmtId="3" fontId="36" fillId="0" borderId="0" xfId="7" applyNumberFormat="1" applyFont="1" applyAlignment="1">
      <alignment horizontal="center"/>
    </xf>
    <xf numFmtId="3" fontId="36" fillId="0" borderId="0" xfId="7" applyNumberFormat="1" applyFont="1"/>
    <xf numFmtId="3" fontId="36" fillId="0" borderId="0" xfId="0" applyNumberFormat="1" applyFont="1"/>
    <xf numFmtId="4" fontId="36" fillId="0" borderId="0" xfId="0" applyNumberFormat="1" applyFont="1"/>
    <xf numFmtId="0" fontId="47" fillId="0" borderId="0" xfId="0" applyFont="1"/>
    <xf numFmtId="3" fontId="36" fillId="0" borderId="4" xfId="0" applyNumberFormat="1" applyFont="1" applyBorder="1"/>
    <xf numFmtId="3" fontId="36" fillId="0" borderId="4" xfId="7" applyNumberFormat="1" applyFont="1" applyBorder="1"/>
    <xf numFmtId="0" fontId="36" fillId="0" borderId="0" xfId="7" applyFont="1" applyProtection="1">
      <protection locked="0"/>
    </xf>
    <xf numFmtId="9" fontId="36" fillId="0" borderId="0" xfId="7" applyNumberFormat="1" applyFont="1"/>
    <xf numFmtId="37" fontId="36" fillId="0" borderId="0" xfId="8" applyNumberFormat="1" applyFont="1" applyAlignment="1">
      <alignment horizontal="right"/>
    </xf>
    <xf numFmtId="4" fontId="36" fillId="0" borderId="0" xfId="7" applyNumberFormat="1" applyFont="1"/>
    <xf numFmtId="3" fontId="36" fillId="0" borderId="0" xfId="8" applyNumberFormat="1" applyFont="1" applyAlignment="1">
      <alignment horizontal="right"/>
    </xf>
    <xf numFmtId="0" fontId="48" fillId="0" borderId="0" xfId="7" applyFont="1" applyProtection="1">
      <protection locked="0"/>
    </xf>
    <xf numFmtId="49" fontId="48" fillId="0" borderId="0" xfId="8" applyNumberFormat="1" applyFont="1" applyAlignment="1">
      <alignment horizontal="left"/>
    </xf>
    <xf numFmtId="0" fontId="36" fillId="0" borderId="0" xfId="7" applyFont="1" applyAlignment="1">
      <alignment horizontal="center"/>
    </xf>
    <xf numFmtId="3" fontId="48" fillId="0" borderId="0" xfId="7" applyNumberFormat="1" applyFont="1"/>
    <xf numFmtId="0" fontId="36" fillId="0" borderId="0" xfId="9" applyFont="1"/>
    <xf numFmtId="1" fontId="36" fillId="0" borderId="0" xfId="9" applyNumberFormat="1" applyFont="1"/>
    <xf numFmtId="3" fontId="36" fillId="0" borderId="0" xfId="9" applyNumberFormat="1" applyFont="1"/>
    <xf numFmtId="3" fontId="36" fillId="0" borderId="4" xfId="9" applyNumberFormat="1" applyFont="1" applyBorder="1"/>
    <xf numFmtId="1" fontId="36" fillId="0" borderId="0" xfId="7" applyNumberFormat="1" applyFont="1" applyAlignment="1">
      <alignment horizontal="right"/>
    </xf>
    <xf numFmtId="0" fontId="36" fillId="0" borderId="0" xfId="7" applyFont="1"/>
    <xf numFmtId="3" fontId="36" fillId="0" borderId="30" xfId="7" applyNumberFormat="1" applyFont="1" applyBorder="1"/>
    <xf numFmtId="3" fontId="36" fillId="0" borderId="6" xfId="7" applyNumberFormat="1" applyFont="1" applyBorder="1"/>
    <xf numFmtId="0" fontId="51" fillId="0" borderId="0" xfId="0" applyFont="1" applyAlignment="1">
      <alignment horizontal="centerContinuous"/>
    </xf>
    <xf numFmtId="0" fontId="3" fillId="0" borderId="33" xfId="0" applyFont="1" applyBorder="1" applyAlignment="1">
      <alignment horizontal="centerContinuous"/>
    </xf>
    <xf numFmtId="0" fontId="3" fillId="0" borderId="34" xfId="0" applyFont="1" applyBorder="1" applyAlignment="1">
      <alignment horizontal="centerContinuous"/>
    </xf>
    <xf numFmtId="0" fontId="3" fillId="0" borderId="4" xfId="0" applyFont="1" applyBorder="1" applyAlignment="1">
      <alignment horizontal="center"/>
    </xf>
    <xf numFmtId="0" fontId="3" fillId="0" borderId="0" xfId="0" quotePrefix="1" applyFont="1" applyAlignment="1">
      <alignment horizontal="center"/>
    </xf>
    <xf numFmtId="4" fontId="3" fillId="0" borderId="0" xfId="0" applyNumberFormat="1" applyFont="1"/>
    <xf numFmtId="1" fontId="3" fillId="0" borderId="0" xfId="0" applyNumberFormat="1" applyFont="1"/>
    <xf numFmtId="39" fontId="3" fillId="0" borderId="4" xfId="0" applyNumberFormat="1" applyFont="1" applyBorder="1"/>
    <xf numFmtId="0" fontId="3" fillId="8" borderId="0" xfId="0" applyFont="1" applyFill="1"/>
    <xf numFmtId="39" fontId="3" fillId="8" borderId="0" xfId="0" applyNumberFormat="1" applyFont="1" applyFill="1"/>
    <xf numFmtId="0" fontId="52" fillId="0" borderId="0" xfId="0" applyFont="1"/>
    <xf numFmtId="4" fontId="3" fillId="0" borderId="4" xfId="0" applyNumberFormat="1" applyFont="1" applyBorder="1"/>
    <xf numFmtId="4" fontId="0" fillId="0" borderId="0" xfId="0" applyNumberFormat="1"/>
    <xf numFmtId="4" fontId="0" fillId="0" borderId="0" xfId="0" quotePrefix="1" applyNumberFormat="1"/>
    <xf numFmtId="4" fontId="0" fillId="0" borderId="4" xfId="0" applyNumberFormat="1" applyBorder="1"/>
    <xf numFmtId="0" fontId="53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0" fontId="54" fillId="0" borderId="0" xfId="0" applyFont="1" applyAlignment="1">
      <alignment horizontal="centerContinuous"/>
    </xf>
    <xf numFmtId="49" fontId="0" fillId="0" borderId="0" xfId="0" applyNumberFormat="1" applyAlignment="1">
      <alignment horizontal="center"/>
    </xf>
    <xf numFmtId="49" fontId="55" fillId="0" borderId="35" xfId="0" applyNumberFormat="1" applyFont="1" applyBorder="1" applyAlignment="1">
      <alignment horizontal="center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49" fontId="55" fillId="0" borderId="0" xfId="0" applyNumberFormat="1" applyFont="1"/>
    <xf numFmtId="171" fontId="55" fillId="0" borderId="0" xfId="0" applyNumberFormat="1" applyFont="1"/>
    <xf numFmtId="172" fontId="55" fillId="0" borderId="0" xfId="0" applyNumberFormat="1" applyFont="1"/>
    <xf numFmtId="0" fontId="56" fillId="0" borderId="0" xfId="0" applyFont="1"/>
    <xf numFmtId="49" fontId="58" fillId="0" borderId="0" xfId="0" applyNumberFormat="1" applyFont="1"/>
    <xf numFmtId="171" fontId="58" fillId="0" borderId="0" xfId="0" applyNumberFormat="1" applyFont="1"/>
    <xf numFmtId="49" fontId="58" fillId="0" borderId="0" xfId="0" applyNumberFormat="1" applyFont="1" applyAlignment="1">
      <alignment horizontal="centerContinuous"/>
    </xf>
    <xf numFmtId="172" fontId="58" fillId="0" borderId="0" xfId="0" applyNumberFormat="1" applyFont="1"/>
    <xf numFmtId="172" fontId="56" fillId="0" borderId="0" xfId="0" applyNumberFormat="1" applyFont="1"/>
    <xf numFmtId="172" fontId="58" fillId="0" borderId="36" xfId="0" applyNumberFormat="1" applyFont="1" applyBorder="1"/>
    <xf numFmtId="172" fontId="55" fillId="0" borderId="37" xfId="0" applyNumberFormat="1" applyFont="1" applyBorder="1"/>
    <xf numFmtId="0" fontId="55" fillId="0" borderId="0" xfId="0" applyFont="1"/>
    <xf numFmtId="4" fontId="56" fillId="0" borderId="0" xfId="0" applyNumberFormat="1" applyFont="1"/>
    <xf numFmtId="4" fontId="56" fillId="0" borderId="4" xfId="0" applyNumberFormat="1" applyFont="1" applyBorder="1"/>
    <xf numFmtId="0" fontId="59" fillId="0" borderId="0" xfId="0" applyFont="1" applyAlignment="1">
      <alignment horizontal="centerContinuous"/>
    </xf>
    <xf numFmtId="0" fontId="59" fillId="0" borderId="0" xfId="0" applyFont="1" applyAlignment="1" applyProtection="1">
      <alignment horizontal="centerContinuous"/>
      <protection locked="0"/>
    </xf>
    <xf numFmtId="0" fontId="3" fillId="0" borderId="0" xfId="0" applyFont="1" applyProtection="1">
      <protection locked="0"/>
    </xf>
    <xf numFmtId="0" fontId="59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59" fillId="0" borderId="0" xfId="0" applyFont="1" applyAlignment="1">
      <alignment horizontal="center" wrapText="1"/>
    </xf>
    <xf numFmtId="173" fontId="3" fillId="0" borderId="0" xfId="11" quotePrefix="1" applyNumberFormat="1" applyAlignment="1">
      <alignment horizontal="right"/>
    </xf>
    <xf numFmtId="39" fontId="3" fillId="0" borderId="0" xfId="0" applyNumberFormat="1" applyFont="1" applyProtection="1">
      <protection locked="0"/>
    </xf>
    <xf numFmtId="39" fontId="3" fillId="0" borderId="4" xfId="0" applyNumberFormat="1" applyFont="1" applyBorder="1" applyProtection="1">
      <protection locked="0"/>
    </xf>
    <xf numFmtId="0" fontId="59" fillId="0" borderId="0" xfId="0" applyFont="1" applyAlignment="1" applyProtection="1">
      <alignment horizontal="right" wrapText="1"/>
      <protection locked="0"/>
    </xf>
    <xf numFmtId="173" fontId="3" fillId="0" borderId="0" xfId="11" quotePrefix="1" applyNumberFormat="1" applyAlignment="1">
      <alignment horizontal="right" wrapText="1"/>
    </xf>
    <xf numFmtId="174" fontId="3" fillId="0" borderId="0" xfId="0" applyNumberFormat="1" applyFont="1" applyProtection="1">
      <protection locked="0"/>
    </xf>
    <xf numFmtId="174" fontId="59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0" fontId="60" fillId="0" borderId="0" xfId="0" applyFont="1" applyAlignment="1">
      <alignment horizontal="centerContinuous"/>
    </xf>
    <xf numFmtId="0" fontId="61" fillId="0" borderId="0" xfId="0" applyFont="1" applyAlignment="1">
      <alignment horizontal="centerContinuous"/>
    </xf>
    <xf numFmtId="0" fontId="60" fillId="0" borderId="0" xfId="0" applyFont="1" applyAlignment="1" applyProtection="1">
      <alignment horizontal="centerContinuous"/>
      <protection locked="0"/>
    </xf>
    <xf numFmtId="4" fontId="62" fillId="0" borderId="0" xfId="0" applyNumberFormat="1" applyFont="1"/>
    <xf numFmtId="4" fontId="43" fillId="0" borderId="0" xfId="0" applyNumberFormat="1" applyFont="1"/>
    <xf numFmtId="0" fontId="0" fillId="0" borderId="26" xfId="0" applyBorder="1" applyAlignment="1">
      <alignment horizontal="center" wrapText="1"/>
    </xf>
    <xf numFmtId="4" fontId="62" fillId="0" borderId="4" xfId="0" applyNumberFormat="1" applyFont="1" applyBorder="1" applyAlignment="1">
      <alignment horizontal="center"/>
    </xf>
    <xf numFmtId="4" fontId="62" fillId="0" borderId="4" xfId="0" applyNumberFormat="1" applyFont="1" applyBorder="1"/>
    <xf numFmtId="4" fontId="43" fillId="0" borderId="4" xfId="0" applyNumberFormat="1" applyFont="1" applyBorder="1" applyAlignment="1">
      <alignment horizontal="center"/>
    </xf>
    <xf numFmtId="4" fontId="63" fillId="0" borderId="0" xfId="0" applyNumberFormat="1" applyFont="1"/>
    <xf numFmtId="4" fontId="62" fillId="0" borderId="0" xfId="0" applyNumberFormat="1" applyFont="1" applyAlignment="1">
      <alignment horizontal="center"/>
    </xf>
    <xf numFmtId="10" fontId="43" fillId="0" borderId="0" xfId="0" applyNumberFormat="1" applyFont="1"/>
    <xf numFmtId="4" fontId="43" fillId="0" borderId="4" xfId="0" applyNumberFormat="1" applyFont="1" applyBorder="1"/>
    <xf numFmtId="4" fontId="64" fillId="0" borderId="0" xfId="0" applyNumberFormat="1" applyFont="1"/>
    <xf numFmtId="4" fontId="65" fillId="0" borderId="0" xfId="0" applyNumberFormat="1" applyFont="1"/>
    <xf numFmtId="4" fontId="65" fillId="0" borderId="4" xfId="0" applyNumberFormat="1" applyFont="1" applyBorder="1"/>
    <xf numFmtId="0" fontId="63" fillId="0" borderId="0" xfId="0" applyNumberFormat="1" applyFont="1"/>
    <xf numFmtId="0" fontId="3" fillId="0" borderId="0" xfId="11" applyAlignment="1">
      <alignment horizontal="centerContinuous"/>
    </xf>
    <xf numFmtId="0" fontId="5" fillId="0" borderId="0" xfId="11" applyFont="1" applyAlignment="1">
      <alignment horizontal="centerContinuous"/>
    </xf>
    <xf numFmtId="0" fontId="3" fillId="0" borderId="0" xfId="11"/>
    <xf numFmtId="0" fontId="5" fillId="0" borderId="0" xfId="11" applyFont="1"/>
    <xf numFmtId="4" fontId="3" fillId="0" borderId="0" xfId="0" applyNumberFormat="1" applyFont="1" applyAlignment="1">
      <alignment horizontal="center"/>
    </xf>
    <xf numFmtId="4" fontId="66" fillId="0" borderId="0" xfId="0" applyNumberFormat="1" applyFont="1"/>
    <xf numFmtId="4" fontId="67" fillId="0" borderId="0" xfId="0" applyNumberFormat="1" applyFont="1"/>
    <xf numFmtId="4" fontId="67" fillId="0" borderId="0" xfId="10" applyNumberFormat="1" applyFont="1"/>
    <xf numFmtId="173" fontId="3" fillId="0" borderId="0" xfId="11" quotePrefix="1" applyNumberFormat="1"/>
    <xf numFmtId="4" fontId="3" fillId="0" borderId="0" xfId="1" applyNumberFormat="1" applyFont="1"/>
    <xf numFmtId="4" fontId="3" fillId="0" borderId="0" xfId="1" applyNumberFormat="1" applyFont="1" applyBorder="1"/>
    <xf numFmtId="4" fontId="3" fillId="0" borderId="4" xfId="1" applyNumberFormat="1" applyFont="1" applyBorder="1"/>
    <xf numFmtId="4" fontId="66" fillId="0" borderId="4" xfId="0" applyNumberFormat="1" applyFont="1" applyBorder="1"/>
    <xf numFmtId="4" fontId="0" fillId="0" borderId="30" xfId="0" applyNumberFormat="1" applyBorder="1"/>
    <xf numFmtId="7" fontId="0" fillId="0" borderId="0" xfId="0" applyNumberFormat="1"/>
    <xf numFmtId="4" fontId="3" fillId="0" borderId="30" xfId="0" applyNumberFormat="1" applyFont="1" applyBorder="1"/>
    <xf numFmtId="0" fontId="3" fillId="0" borderId="0" xfId="0" applyFont="1" applyFill="1"/>
    <xf numFmtId="5" fontId="44" fillId="0" borderId="0" xfId="0" applyNumberFormat="1" applyFont="1"/>
    <xf numFmtId="10" fontId="6" fillId="0" borderId="0" xfId="0" applyNumberFormat="1" applyFont="1"/>
    <xf numFmtId="3" fontId="6" fillId="0" borderId="0" xfId="0" applyNumberFormat="1" applyFont="1"/>
    <xf numFmtId="3" fontId="3" fillId="0" borderId="0" xfId="0" applyNumberFormat="1" applyFont="1"/>
    <xf numFmtId="0" fontId="6" fillId="0" borderId="0" xfId="0" applyFont="1" applyAlignment="1">
      <alignment horizontal="center"/>
    </xf>
    <xf numFmtId="3" fontId="0" fillId="0" borderId="0" xfId="0" applyNumberFormat="1"/>
    <xf numFmtId="3" fontId="0" fillId="0" borderId="4" xfId="0" applyNumberFormat="1" applyBorder="1"/>
    <xf numFmtId="3" fontId="0" fillId="0" borderId="38" xfId="0" applyNumberFormat="1" applyBorder="1"/>
    <xf numFmtId="0" fontId="3" fillId="3" borderId="30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3" fillId="3" borderId="0" xfId="0" applyFont="1" applyFill="1" applyAlignment="1">
      <alignment horizontal="center"/>
    </xf>
    <xf numFmtId="0" fontId="3" fillId="3" borderId="28" xfId="0" applyFont="1" applyFill="1" applyBorder="1" applyAlignment="1">
      <alignment horizontal="center"/>
    </xf>
    <xf numFmtId="4" fontId="43" fillId="0" borderId="33" xfId="0" applyNumberFormat="1" applyFont="1" applyBorder="1" applyAlignment="1">
      <alignment horizontal="center"/>
    </xf>
    <xf numFmtId="4" fontId="43" fillId="0" borderId="34" xfId="0" applyNumberFormat="1" applyFont="1" applyBorder="1" applyAlignment="1">
      <alignment horizontal="center"/>
    </xf>
    <xf numFmtId="4" fontId="43" fillId="0" borderId="33" xfId="0" quotePrefix="1" applyNumberFormat="1" applyFont="1" applyBorder="1" applyAlignment="1">
      <alignment horizontal="center"/>
    </xf>
    <xf numFmtId="4" fontId="43" fillId="0" borderId="34" xfId="0" quotePrefix="1" applyNumberFormat="1" applyFont="1" applyBorder="1" applyAlignment="1">
      <alignment horizontal="center"/>
    </xf>
  </cellXfs>
  <cellStyles count="12">
    <cellStyle name="Accent5" xfId="3" builtinId="45"/>
    <cellStyle name="Comma" xfId="1" builtinId="3"/>
    <cellStyle name="Comma 2" xfId="5" xr:uid="{0DE02726-802C-44D8-8BDB-59026691462D}"/>
    <cellStyle name="Currency" xfId="10" builtinId="4"/>
    <cellStyle name="Normal" xfId="0" builtinId="0"/>
    <cellStyle name="Normal 2" xfId="4" xr:uid="{691756AD-683C-4DBA-AEB7-B5DD547709D6}"/>
    <cellStyle name="Normal 6" xfId="6" xr:uid="{A4C1BE5A-B918-4F69-9ABB-7AE51F7E396B}"/>
    <cellStyle name="Normal_Depr Sch" xfId="8" xr:uid="{B6F81AB9-A88F-43E4-8A32-90D6FBFDE208}"/>
    <cellStyle name="Normal_Depreciation Schedule" xfId="9" xr:uid="{E6EB51B2-F687-436C-B732-5EE7995471C2}"/>
    <cellStyle name="Normal_Sheet2" xfId="7" xr:uid="{C17494AC-DF59-4230-BFDF-3A1FF9E437E5}"/>
    <cellStyle name="Normal_Sheet6" xfId="11" xr:uid="{576CD65A-DB53-40D0-A1D9-4EB0FDBEBD61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0</xdr:row>
          <xdr:rowOff>0</xdr:rowOff>
        </xdr:from>
        <xdr:to>
          <xdr:col>9</xdr:col>
          <xdr:colOff>485775</xdr:colOff>
          <xdr:row>39</xdr:row>
          <xdr:rowOff>114300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01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40</xdr:row>
          <xdr:rowOff>171450</xdr:rowOff>
        </xdr:from>
        <xdr:to>
          <xdr:col>9</xdr:col>
          <xdr:colOff>485775</xdr:colOff>
          <xdr:row>80</xdr:row>
          <xdr:rowOff>76200</xdr:rowOff>
        </xdr:to>
        <xdr:sp macro="" textlink="">
          <xdr:nvSpPr>
            <xdr:cNvPr id="26626" name="Object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01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180975</xdr:colOff>
          <xdr:row>38</xdr:row>
          <xdr:rowOff>142875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9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</xdr:row>
          <xdr:rowOff>114300</xdr:rowOff>
        </xdr:from>
        <xdr:to>
          <xdr:col>11</xdr:col>
          <xdr:colOff>171450</xdr:colOff>
          <xdr:row>53</xdr:row>
          <xdr:rowOff>114300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12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342900</xdr:colOff>
          <xdr:row>39</xdr:row>
          <xdr:rowOff>114300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14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</xdr:row>
          <xdr:rowOff>0</xdr:rowOff>
        </xdr:from>
        <xdr:to>
          <xdr:col>9</xdr:col>
          <xdr:colOff>342900</xdr:colOff>
          <xdr:row>80</xdr:row>
          <xdr:rowOff>114300</xdr:rowOff>
        </xdr:to>
        <xdr:sp macro="" textlink="">
          <xdr:nvSpPr>
            <xdr:cNvPr id="45058" name="Object 2" hidden="1">
              <a:extLst>
                <a:ext uri="{63B3BB69-23CF-44E3-9099-C40C66FF867C}">
                  <a14:compatExt spid="_x0000_s45058"/>
                </a:ext>
                <a:ext uri="{FF2B5EF4-FFF2-40B4-BE49-F238E27FC236}">
                  <a16:creationId xmlns:a16="http://schemas.microsoft.com/office/drawing/2014/main" id="{00000000-0008-0000-1400-00000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6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D68BB-ECBB-469B-9308-7360391535C5}">
  <sheetPr>
    <pageSetUpPr fitToPage="1"/>
  </sheetPr>
  <dimension ref="A1:AT113"/>
  <sheetViews>
    <sheetView tabSelected="1" workbookViewId="0">
      <selection activeCell="P7" sqref="P7"/>
    </sheetView>
  </sheetViews>
  <sheetFormatPr defaultRowHeight="15"/>
  <cols>
    <col min="1" max="1" width="4.85546875" customWidth="1"/>
    <col min="2" max="2" width="33.5703125" bestFit="1" customWidth="1"/>
    <col min="3" max="3" width="21.28515625" customWidth="1"/>
    <col min="4" max="4" width="0" hidden="1" customWidth="1"/>
    <col min="5" max="5" width="7.28515625" customWidth="1"/>
    <col min="6" max="6" width="5.7109375" customWidth="1"/>
    <col min="7" max="7" width="8.5703125" customWidth="1"/>
    <col min="8" max="8" width="15" customWidth="1"/>
    <col min="9" max="9" width="17.7109375" customWidth="1"/>
    <col min="10" max="10" width="13.28515625" customWidth="1"/>
    <col min="11" max="11" width="15.140625" bestFit="1" customWidth="1"/>
    <col min="12" max="13" width="18.42578125" customWidth="1"/>
    <col min="14" max="14" width="6.140625" customWidth="1"/>
    <col min="15" max="15" width="6.28515625" customWidth="1"/>
    <col min="16" max="16" width="40.42578125" customWidth="1"/>
    <col min="17" max="17" width="16.7109375"/>
    <col min="18" max="18" width="13.85546875" customWidth="1"/>
    <col min="19" max="19" width="16.7109375"/>
    <col min="20" max="20" width="13.42578125" customWidth="1"/>
    <col min="21" max="21" width="15.7109375" customWidth="1"/>
    <col min="22" max="22" width="16.7109375"/>
    <col min="23" max="24" width="17.7109375" customWidth="1"/>
    <col min="25" max="25" width="16" customWidth="1"/>
    <col min="26" max="26" width="16.7109375"/>
    <col min="27" max="27" width="15.85546875" customWidth="1"/>
    <col min="28" max="29" width="16.7109375"/>
    <col min="30" max="30" width="16.42578125" customWidth="1"/>
    <col min="31" max="31" width="17.28515625" customWidth="1"/>
    <col min="32" max="32" width="20.7109375" customWidth="1"/>
    <col min="33" max="33" width="18.140625" customWidth="1"/>
    <col min="34" max="34" width="16.42578125" customWidth="1"/>
    <col min="35" max="35" width="16.7109375"/>
    <col min="36" max="36" width="13.85546875" customWidth="1"/>
    <col min="37" max="37" width="16.42578125" customWidth="1"/>
    <col min="38" max="46" width="15.140625" customWidth="1"/>
  </cols>
  <sheetData>
    <row r="1" spans="1:46" ht="16.5" thickBot="1">
      <c r="A1" s="27"/>
      <c r="B1" s="28"/>
      <c r="C1" s="28"/>
      <c r="D1" s="28"/>
      <c r="E1" s="28"/>
      <c r="F1" s="28"/>
      <c r="G1" s="28"/>
      <c r="H1" s="28"/>
      <c r="I1" s="29"/>
      <c r="J1" s="29"/>
      <c r="K1" s="29"/>
      <c r="L1" s="29"/>
      <c r="M1" s="29"/>
      <c r="N1" s="29"/>
      <c r="O1" s="28"/>
      <c r="P1" s="28"/>
      <c r="Q1" s="30"/>
      <c r="R1" s="31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</row>
    <row r="2" spans="1:46" ht="19.5" thickBot="1">
      <c r="A2" s="27"/>
      <c r="B2" s="378" t="s">
        <v>69</v>
      </c>
      <c r="C2" s="378"/>
      <c r="D2" s="27"/>
      <c r="E2" s="27"/>
      <c r="F2" s="33" t="s">
        <v>70</v>
      </c>
      <c r="G2" s="34"/>
      <c r="H2" s="34"/>
      <c r="I2" s="35" t="s">
        <v>71</v>
      </c>
      <c r="J2" s="34"/>
      <c r="K2" s="34"/>
      <c r="L2" s="34"/>
      <c r="M2" s="33" t="s">
        <v>70</v>
      </c>
      <c r="O2" s="27"/>
      <c r="P2" s="27"/>
      <c r="Q2" s="36"/>
      <c r="R2" s="37" t="s">
        <v>72</v>
      </c>
      <c r="S2" s="38"/>
      <c r="T2" s="39"/>
      <c r="AF2" s="379" t="s">
        <v>73</v>
      </c>
      <c r="AG2" s="380"/>
      <c r="AH2" s="380"/>
      <c r="AI2" s="381"/>
    </row>
    <row r="3" spans="1:46" ht="15.75">
      <c r="A3" s="27"/>
      <c r="B3" s="27"/>
      <c r="C3" s="27"/>
      <c r="D3" s="27"/>
      <c r="E3" s="27"/>
      <c r="F3" s="40"/>
      <c r="G3" s="3"/>
      <c r="K3" s="41" t="s">
        <v>74</v>
      </c>
      <c r="M3" s="41" t="s">
        <v>75</v>
      </c>
      <c r="O3" s="27"/>
      <c r="P3" s="27"/>
      <c r="Q3" s="36"/>
      <c r="T3" t="s">
        <v>76</v>
      </c>
      <c r="V3" s="42" t="s">
        <v>76</v>
      </c>
      <c r="W3" s="42" t="s">
        <v>76</v>
      </c>
      <c r="X3" s="42" t="s">
        <v>76</v>
      </c>
      <c r="Y3" s="42" t="s">
        <v>77</v>
      </c>
      <c r="Z3" s="42" t="s">
        <v>77</v>
      </c>
      <c r="AA3" s="42" t="s">
        <v>77</v>
      </c>
      <c r="AB3" s="42" t="s">
        <v>77</v>
      </c>
      <c r="AC3" s="42" t="s">
        <v>77</v>
      </c>
      <c r="AD3" s="42" t="s">
        <v>77</v>
      </c>
      <c r="AE3" s="42" t="s">
        <v>78</v>
      </c>
      <c r="AF3" s="42" t="s">
        <v>79</v>
      </c>
      <c r="AG3" s="42" t="s">
        <v>80</v>
      </c>
      <c r="AH3" s="42"/>
    </row>
    <row r="4" spans="1:46" ht="19.5" thickBot="1">
      <c r="A4" s="27"/>
      <c r="B4" s="43" t="s">
        <v>81</v>
      </c>
      <c r="C4" s="44"/>
      <c r="D4" s="45"/>
      <c r="E4" s="27"/>
      <c r="F4" s="46"/>
      <c r="G4" s="3"/>
      <c r="H4" s="47" t="s">
        <v>82</v>
      </c>
      <c r="I4" s="47" t="s">
        <v>83</v>
      </c>
      <c r="J4" s="47" t="s">
        <v>84</v>
      </c>
      <c r="K4" s="47" t="s">
        <v>85</v>
      </c>
      <c r="L4" s="47" t="s">
        <v>86</v>
      </c>
      <c r="M4" s="47" t="s">
        <v>87</v>
      </c>
      <c r="O4" s="48"/>
      <c r="P4" s="27"/>
      <c r="Q4" s="36"/>
      <c r="T4" s="42" t="s">
        <v>88</v>
      </c>
      <c r="V4" s="42" t="s">
        <v>89</v>
      </c>
      <c r="W4" s="42" t="s">
        <v>90</v>
      </c>
      <c r="X4" s="42" t="s">
        <v>91</v>
      </c>
      <c r="Y4" s="42" t="s">
        <v>92</v>
      </c>
      <c r="Z4" s="42" t="s">
        <v>92</v>
      </c>
      <c r="AA4" s="42" t="s">
        <v>92</v>
      </c>
      <c r="AB4" s="42" t="s">
        <v>90</v>
      </c>
      <c r="AC4" s="42" t="s">
        <v>88</v>
      </c>
      <c r="AD4" s="42" t="s">
        <v>88</v>
      </c>
      <c r="AE4" s="42" t="s">
        <v>93</v>
      </c>
      <c r="AF4" s="42" t="s">
        <v>94</v>
      </c>
      <c r="AG4" s="42" t="s">
        <v>95</v>
      </c>
      <c r="AH4" s="42" t="s">
        <v>96</v>
      </c>
      <c r="AI4" s="42" t="s">
        <v>97</v>
      </c>
    </row>
    <row r="5" spans="1:46" ht="15.75">
      <c r="A5" s="27"/>
      <c r="B5" s="49" t="s">
        <v>98</v>
      </c>
      <c r="C5" s="50">
        <f>+'Pro Forma'!G21</f>
        <v>3763506.75</v>
      </c>
      <c r="D5" s="45"/>
      <c r="E5" s="27"/>
      <c r="F5" s="51" t="s">
        <v>99</v>
      </c>
      <c r="G5" s="52"/>
      <c r="H5" s="52"/>
      <c r="I5" s="47" t="s">
        <v>100</v>
      </c>
      <c r="J5" s="47" t="s">
        <v>79</v>
      </c>
      <c r="K5" s="53" t="s">
        <v>101</v>
      </c>
      <c r="L5" s="53" t="s">
        <v>102</v>
      </c>
      <c r="M5" s="53" t="s">
        <v>79</v>
      </c>
      <c r="O5" s="54"/>
      <c r="P5" s="27"/>
      <c r="Q5" s="36"/>
      <c r="R5" s="8"/>
      <c r="T5" s="42" t="s">
        <v>103</v>
      </c>
      <c r="U5" s="42" t="s">
        <v>104</v>
      </c>
      <c r="V5" s="42" t="s">
        <v>105</v>
      </c>
      <c r="W5" s="42" t="s">
        <v>106</v>
      </c>
      <c r="X5" s="42" t="s">
        <v>107</v>
      </c>
      <c r="Y5" s="42" t="s">
        <v>108</v>
      </c>
      <c r="Z5" s="42" t="s">
        <v>109</v>
      </c>
      <c r="AA5" s="42" t="s">
        <v>110</v>
      </c>
      <c r="AB5" s="42" t="s">
        <v>111</v>
      </c>
      <c r="AC5" s="42" t="s">
        <v>103</v>
      </c>
      <c r="AD5" s="42" t="s">
        <v>112</v>
      </c>
      <c r="AE5" s="42" t="s">
        <v>113</v>
      </c>
      <c r="AF5" s="42" t="s">
        <v>114</v>
      </c>
      <c r="AG5" s="42" t="s">
        <v>114</v>
      </c>
      <c r="AH5" s="42" t="s">
        <v>113</v>
      </c>
      <c r="AI5" s="42" t="s">
        <v>78</v>
      </c>
    </row>
    <row r="6" spans="1:46" ht="15.75">
      <c r="A6" s="27"/>
      <c r="B6" s="49" t="s">
        <v>115</v>
      </c>
      <c r="C6" s="55">
        <f>+'Pro Forma'!G53</f>
        <v>3759452.7271190467</v>
      </c>
      <c r="D6" s="45"/>
      <c r="E6" s="27"/>
      <c r="F6" s="56" t="s">
        <v>116</v>
      </c>
      <c r="G6" s="52"/>
      <c r="H6" s="52"/>
      <c r="I6" s="57"/>
      <c r="J6" s="58" t="s">
        <v>117</v>
      </c>
      <c r="K6" s="59"/>
      <c r="L6" s="58" t="s">
        <v>118</v>
      </c>
      <c r="M6" s="58" t="s">
        <v>119</v>
      </c>
      <c r="O6" s="54"/>
      <c r="P6" s="27"/>
      <c r="Q6" s="36"/>
      <c r="R6" s="60">
        <v>1</v>
      </c>
      <c r="S6" s="61">
        <f>Revenue/Investment*100</f>
        <v>192.65828599337254</v>
      </c>
      <c r="T6" s="62">
        <f>EXP(y_inter1-(slope*LN(+S6)))</f>
        <v>8.3801694556792974</v>
      </c>
      <c r="U6" s="63">
        <f>(+S6*T6/100)/100</f>
        <v>0.16145090836651874</v>
      </c>
      <c r="V6" s="63">
        <f>regDebt_weighted</f>
        <v>3.5860000000000003E-2</v>
      </c>
      <c r="W6" s="63">
        <f>+U6-V6</f>
        <v>0.12559090836651873</v>
      </c>
      <c r="X6" s="63">
        <f>+((W6*(1-0.34))-Pfd_weighted)/Equity_percent</f>
        <v>0.22296511488925105</v>
      </c>
      <c r="Y6" s="63">
        <f>X6*equityP</f>
        <v>0.13377906893355063</v>
      </c>
      <c r="Z6" s="63">
        <f>+Y6/(1-taxrate)</f>
        <v>0.16934059358677295</v>
      </c>
      <c r="AA6" s="63">
        <f>debtP*Debt_Rate</f>
        <v>1.2E-2</v>
      </c>
      <c r="AB6" s="63">
        <f>AA6+Z6</f>
        <v>0.18134059358677296</v>
      </c>
      <c r="AC6" s="63">
        <f>AB6/(S6/100)</f>
        <v>9.4125509656517489E-2</v>
      </c>
      <c r="AD6" s="63">
        <f>1-AC6</f>
        <v>0.90587449034348255</v>
      </c>
      <c r="AE6" s="64">
        <f>expenses/(AD6)</f>
        <v>4150081.2388408976</v>
      </c>
      <c r="AF6" s="65">
        <f>+AE6-Revenue</f>
        <v>386574.48884089757</v>
      </c>
      <c r="AG6" s="66">
        <f ca="1">+AF6/$J$49</f>
        <v>433794.33561601088</v>
      </c>
      <c r="AH6" s="66">
        <f ca="1">+AG6*$J$47</f>
        <v>9803.7519849218461</v>
      </c>
      <c r="AI6" s="64">
        <f ca="1">ROUND(+AH6+AE6,5)</f>
        <v>4159884.99083</v>
      </c>
    </row>
    <row r="7" spans="1:46" ht="15.75">
      <c r="A7" s="27"/>
      <c r="B7" s="49" t="s">
        <v>120</v>
      </c>
      <c r="C7" s="55">
        <f>+'Regulatory Depreciation'!Z178</f>
        <v>1953462.1781746075</v>
      </c>
      <c r="D7" s="45"/>
      <c r="E7" s="27"/>
      <c r="F7" s="67">
        <v>1</v>
      </c>
      <c r="G7" s="52"/>
      <c r="H7" s="68" t="s">
        <v>98</v>
      </c>
      <c r="I7" s="69">
        <f>IF(A65=TRUE,C5,0)</f>
        <v>3763506.75</v>
      </c>
      <c r="J7" s="69">
        <f ca="1">(+$I8/($R51))-I7</f>
        <v>351661.08475529402</v>
      </c>
      <c r="K7" s="69">
        <f ca="1">+I7+J7</f>
        <v>4115167.834755294</v>
      </c>
      <c r="L7" s="69">
        <f ca="1">((+J7/J49*K35)-J7)</f>
        <v>8918.3279218106763</v>
      </c>
      <c r="M7" s="69">
        <f ca="1">IFERROR(+K7+L7,0.00001)</f>
        <v>4124086.1626771046</v>
      </c>
      <c r="O7" s="54"/>
      <c r="P7" s="139"/>
      <c r="Q7" s="36"/>
      <c r="R7" s="70">
        <v>2</v>
      </c>
      <c r="S7" s="71">
        <f>Revenue/Investment*100</f>
        <v>192.65828599337254</v>
      </c>
      <c r="T7" s="72">
        <f>EXP(y_inter1-(slope*LN(+S7)))</f>
        <v>8.3801694556792974</v>
      </c>
      <c r="U7" s="73">
        <f>(+S7*T7/100)/100</f>
        <v>0.16145090836651874</v>
      </c>
      <c r="V7" s="73">
        <f>regDebt_weighted</f>
        <v>3.5860000000000003E-2</v>
      </c>
      <c r="W7" s="73">
        <f>+U7-V7</f>
        <v>0.12559090836651873</v>
      </c>
      <c r="X7" s="73">
        <f>+((W7*(1-0.34))-Pfd_weighted)/Equity_percent</f>
        <v>0.22296511488925105</v>
      </c>
      <c r="Y7" s="73">
        <f>X7*equityP</f>
        <v>0.13377906893355063</v>
      </c>
      <c r="Z7" s="73">
        <f>+Y7/(1-taxrate)</f>
        <v>0.16934059358677295</v>
      </c>
      <c r="AA7" s="73">
        <f>debtP*Debt_Rate</f>
        <v>1.2E-2</v>
      </c>
      <c r="AB7" s="73">
        <f>AA7+Z7</f>
        <v>0.18134059358677296</v>
      </c>
      <c r="AC7" s="73">
        <f>AB7/(S7/100)</f>
        <v>9.4125509656517489E-2</v>
      </c>
      <c r="AD7" s="73">
        <f>1-AC7</f>
        <v>0.90587449034348255</v>
      </c>
      <c r="AE7" s="74">
        <f>expenses/(AD7)</f>
        <v>4150081.2388408976</v>
      </c>
      <c r="AF7" s="75">
        <f>+AE7-Revenue</f>
        <v>386574.48884089757</v>
      </c>
      <c r="AG7" s="76">
        <f ca="1">+AF7/$J$49</f>
        <v>433794.33561601088</v>
      </c>
      <c r="AH7" s="76">
        <f ca="1">+AG7*$J$47</f>
        <v>9803.7519849218461</v>
      </c>
      <c r="AI7" s="74">
        <f ca="1">ROUND(+AH7+AE7,5)</f>
        <v>4159884.99083</v>
      </c>
    </row>
    <row r="8" spans="1:46" ht="15.75">
      <c r="A8" s="27"/>
      <c r="B8" s="49" t="s">
        <v>121</v>
      </c>
      <c r="C8" s="77">
        <v>0.4</v>
      </c>
      <c r="D8" s="45"/>
      <c r="E8" s="27"/>
      <c r="F8" s="78">
        <f>+F7+1</f>
        <v>2</v>
      </c>
      <c r="G8" s="52"/>
      <c r="H8" s="68" t="s">
        <v>115</v>
      </c>
      <c r="I8" s="69">
        <f>IF(A65=TRUE,C6,0)</f>
        <v>3759452.7271190467</v>
      </c>
      <c r="J8" s="3"/>
      <c r="K8" s="69">
        <f>+I8</f>
        <v>3759452.7271190467</v>
      </c>
      <c r="L8" s="69">
        <f ca="1">+L7</f>
        <v>8918.3279218106763</v>
      </c>
      <c r="M8" s="69">
        <f ca="1">IFERROR(+K8+L8,0.00001)</f>
        <v>3768371.0550408573</v>
      </c>
      <c r="O8" s="54"/>
      <c r="P8" s="27"/>
      <c r="Q8" s="36"/>
      <c r="R8" s="79">
        <v>3</v>
      </c>
      <c r="S8" s="71">
        <f>Revenue/Investment*100</f>
        <v>192.65828599337254</v>
      </c>
      <c r="T8" s="72">
        <f>EXP(y_inter1-(slope*LN(+S8)))</f>
        <v>8.3801694556792974</v>
      </c>
      <c r="U8" s="73">
        <f>(+S8*T8/100)/100</f>
        <v>0.16145090836651874</v>
      </c>
      <c r="V8" s="73">
        <f>regDebt_weighted</f>
        <v>3.5860000000000003E-2</v>
      </c>
      <c r="W8" s="73">
        <f>+U8-V8</f>
        <v>0.12559090836651873</v>
      </c>
      <c r="X8" s="73">
        <f>+((W8*(1-0.34))-Pfd_weighted)/Equity_percent</f>
        <v>0.22296511488925105</v>
      </c>
      <c r="Y8" s="73">
        <f>X8*equityP</f>
        <v>0.13377906893355063</v>
      </c>
      <c r="Z8" s="73">
        <f>+Y8/(1-taxrate)</f>
        <v>0.16934059358677295</v>
      </c>
      <c r="AA8" s="73">
        <f>debtP*Debt_Rate</f>
        <v>1.2E-2</v>
      </c>
      <c r="AB8" s="73">
        <f>AA8+Z8</f>
        <v>0.18134059358677296</v>
      </c>
      <c r="AC8" s="73">
        <f>AB8/(S8/100)</f>
        <v>9.4125509656517489E-2</v>
      </c>
      <c r="AD8" s="73">
        <f>1-AC8</f>
        <v>0.90587449034348255</v>
      </c>
      <c r="AE8" s="74">
        <f>expenses/(AD8)</f>
        <v>4150081.2388408976</v>
      </c>
      <c r="AF8" s="75">
        <f>+AE8-Revenue</f>
        <v>386574.48884089757</v>
      </c>
      <c r="AG8" s="76">
        <f ca="1">+AF8/$J$49</f>
        <v>433794.33561601088</v>
      </c>
      <c r="AH8" s="76">
        <f ca="1">+AG8*$J$47</f>
        <v>9803.7519849218461</v>
      </c>
      <c r="AI8" s="74">
        <f ca="1">ROUND(+AH8+AE8,5)</f>
        <v>4159884.99083</v>
      </c>
    </row>
    <row r="9" spans="1:46" ht="15.75">
      <c r="A9" s="27"/>
      <c r="B9" s="49" t="s">
        <v>122</v>
      </c>
      <c r="C9" s="77">
        <v>0.03</v>
      </c>
      <c r="D9" s="45"/>
      <c r="E9" s="27"/>
      <c r="F9" s="78">
        <f t="shared" ref="F9:F49" si="0">+F8+1</f>
        <v>3</v>
      </c>
      <c r="G9" s="52"/>
      <c r="H9" s="68" t="s">
        <v>36</v>
      </c>
      <c r="I9" s="80">
        <f>+I7-I8</f>
        <v>4054.0228809532709</v>
      </c>
      <c r="J9" s="3"/>
      <c r="K9" s="80">
        <f ca="1">+K7-K8</f>
        <v>355715.1076362473</v>
      </c>
      <c r="L9" s="52"/>
      <c r="M9" s="81">
        <f ca="1">+M7-M8</f>
        <v>355715.1076362473</v>
      </c>
      <c r="O9" s="54"/>
      <c r="P9" s="27"/>
      <c r="Q9" s="36"/>
      <c r="R9" s="82">
        <v>4</v>
      </c>
      <c r="S9" s="71">
        <f>Revenue/Investment*100</f>
        <v>192.65828599337254</v>
      </c>
      <c r="T9" s="72">
        <f>EXP(y_inter1-(slope*LN(+S9)))</f>
        <v>8.3801694556792974</v>
      </c>
      <c r="U9" s="73">
        <f>(+S9*T9/100)/100</f>
        <v>0.16145090836651874</v>
      </c>
      <c r="V9" s="73">
        <f>regDebt_weighted</f>
        <v>3.5860000000000003E-2</v>
      </c>
      <c r="W9" s="73">
        <f>+U9-V9</f>
        <v>0.12559090836651873</v>
      </c>
      <c r="X9" s="73">
        <f>+((W9*(1-0.34))-Pfd_weighted)/Equity_percent</f>
        <v>0.22296511488925105</v>
      </c>
      <c r="Y9" s="73">
        <f>X9*equityP</f>
        <v>0.13377906893355063</v>
      </c>
      <c r="Z9" s="73">
        <f>+Y9/(1-taxrate)</f>
        <v>0.16934059358677295</v>
      </c>
      <c r="AA9" s="73">
        <f>debtP*Debt_Rate</f>
        <v>1.2E-2</v>
      </c>
      <c r="AB9" s="73">
        <f>AA9+Z9</f>
        <v>0.18134059358677296</v>
      </c>
      <c r="AC9" s="73">
        <f>AB9/(S9/100)</f>
        <v>9.4125509656517489E-2</v>
      </c>
      <c r="AD9" s="73">
        <f>1-AC9</f>
        <v>0.90587449034348255</v>
      </c>
      <c r="AE9" s="74">
        <f>expenses/(AD9)</f>
        <v>4150081.2388408976</v>
      </c>
      <c r="AF9" s="75">
        <f>+AE9-Revenue</f>
        <v>386574.48884089757</v>
      </c>
      <c r="AG9" s="76">
        <f ca="1">+AF9/$J$49</f>
        <v>433794.33561601088</v>
      </c>
      <c r="AH9" s="76">
        <f ca="1">+AG9*$J$47</f>
        <v>9803.7519849218461</v>
      </c>
      <c r="AI9" s="74">
        <f ca="1">ROUND(+AH9+AE9,5)</f>
        <v>4159884.99083</v>
      </c>
    </row>
    <row r="10" spans="1:46" ht="15.75">
      <c r="A10" s="27"/>
      <c r="B10" s="83" t="s">
        <v>123</v>
      </c>
      <c r="C10" s="77">
        <v>0.21</v>
      </c>
      <c r="D10" s="45"/>
      <c r="E10" s="27"/>
      <c r="F10" s="78">
        <f t="shared" si="0"/>
        <v>4</v>
      </c>
      <c r="G10" s="52"/>
      <c r="H10" s="52"/>
      <c r="I10" s="3"/>
      <c r="J10" s="3"/>
      <c r="K10" s="69"/>
      <c r="L10" s="52"/>
      <c r="M10" s="52"/>
      <c r="N10" s="52"/>
      <c r="O10" s="54"/>
      <c r="P10" s="27"/>
      <c r="Q10" s="36"/>
      <c r="R10" s="42" t="s">
        <v>124</v>
      </c>
    </row>
    <row r="11" spans="1:46" ht="15.75">
      <c r="A11" s="27"/>
      <c r="B11" s="49" t="s">
        <v>125</v>
      </c>
      <c r="C11" s="84">
        <v>1.7500000000000002E-2</v>
      </c>
      <c r="D11" s="45"/>
      <c r="E11" s="27"/>
      <c r="F11" s="78">
        <f t="shared" si="0"/>
        <v>5</v>
      </c>
      <c r="G11" s="52"/>
      <c r="H11" s="68" t="s">
        <v>126</v>
      </c>
      <c r="I11" s="69">
        <f>+K11</f>
        <v>23441.546138095291</v>
      </c>
      <c r="J11" s="3"/>
      <c r="K11" s="69">
        <f>+M27</f>
        <v>23441.546138095291</v>
      </c>
      <c r="L11" s="52"/>
      <c r="M11" s="69">
        <f>+K11</f>
        <v>23441.546138095291</v>
      </c>
      <c r="O11" s="54"/>
      <c r="P11" s="27"/>
      <c r="Q11" s="36"/>
      <c r="R11" s="60">
        <v>1</v>
      </c>
      <c r="S11" s="61">
        <f ca="1">IF((AI6/Investment*100)&gt;0,(AI6/Investment*100),0)</f>
        <v>212.94934897163768</v>
      </c>
      <c r="T11" s="62">
        <f ca="1">EXP(y_inter1-(slope*LN(S11)))</f>
        <v>7.8256592332296826</v>
      </c>
      <c r="U11" s="63">
        <f ca="1">(+S11*T11/100)/100</f>
        <v>0.16664690389901463</v>
      </c>
      <c r="V11" s="63">
        <f>regDebt_weighted</f>
        <v>3.5860000000000003E-2</v>
      </c>
      <c r="W11" s="63">
        <f ca="1">+U11-V11</f>
        <v>0.13078690389901462</v>
      </c>
      <c r="X11" s="63">
        <f ca="1">+((W11*(1-0.34))-Pfd_weighted)/Equity_percent</f>
        <v>0.23293417608531874</v>
      </c>
      <c r="Y11" s="63">
        <f ca="1">+X11*equityP</f>
        <v>0.13976050565119125</v>
      </c>
      <c r="Z11" s="63">
        <f ca="1">+Y11/(1-taxrate)</f>
        <v>0.17691203246986234</v>
      </c>
      <c r="AA11" s="63">
        <f>debtP*Debt_Rate</f>
        <v>1.2E-2</v>
      </c>
      <c r="AB11" s="63">
        <f ca="1">+AA11+Z11</f>
        <v>0.18891203246986235</v>
      </c>
      <c r="AC11" s="63">
        <f ca="1">+AB11/(S11/100)</f>
        <v>8.8712190660429388E-2</v>
      </c>
      <c r="AD11" s="63">
        <f ca="1">1-AC11</f>
        <v>0.91128780933957065</v>
      </c>
      <c r="AE11" s="64">
        <f ca="1">expenses/(AD11)</f>
        <v>4125428.5293727354</v>
      </c>
      <c r="AF11" s="65">
        <f ca="1">+AE11-Revenue</f>
        <v>361921.77937273541</v>
      </c>
      <c r="AG11" s="66">
        <f ca="1">+AF11/$J$49</f>
        <v>406130.31216495135</v>
      </c>
      <c r="AH11" s="66">
        <f ca="1">+AG11*$J$47</f>
        <v>9178.5450549279012</v>
      </c>
      <c r="AI11" s="64">
        <f ca="1">ROUND(+AH11+AE11,5)</f>
        <v>4134607.07443</v>
      </c>
    </row>
    <row r="12" spans="1:46" ht="15.75">
      <c r="A12" s="27"/>
      <c r="B12" s="49" t="s">
        <v>127</v>
      </c>
      <c r="C12" s="84">
        <v>5.1000000000000004E-3</v>
      </c>
      <c r="D12" s="45"/>
      <c r="E12" s="27"/>
      <c r="F12" s="78">
        <f t="shared" si="0"/>
        <v>6</v>
      </c>
      <c r="G12" s="52"/>
      <c r="H12" s="68" t="s">
        <v>128</v>
      </c>
      <c r="I12" s="69">
        <f ca="1">IF(I14&lt;0,0,+J38*I14)</f>
        <v>0</v>
      </c>
      <c r="J12" s="69">
        <f ca="1">+K12-I12</f>
        <v>69777.447914611912</v>
      </c>
      <c r="K12" s="69">
        <f ca="1">+(K9-K11)*taxrate</f>
        <v>69777.447914611912</v>
      </c>
      <c r="L12" s="52"/>
      <c r="M12" s="69">
        <f ca="1">+K12</f>
        <v>69777.447914611912</v>
      </c>
      <c r="O12" s="54"/>
      <c r="P12" s="27"/>
      <c r="Q12" s="36"/>
      <c r="R12" s="70">
        <v>2</v>
      </c>
      <c r="S12" s="71">
        <f ca="1">IF((AI7/Investment*100)&gt;0,(AI7/Investment*100),0)</f>
        <v>212.94934897163768</v>
      </c>
      <c r="T12" s="85">
        <f ca="1">EXP(y_inter2-(slope*LN(+S12)))</f>
        <v>7.7143172073565713</v>
      </c>
      <c r="U12" s="73">
        <f ca="1">(+S12*T12/100)/100</f>
        <v>0.16427588270672838</v>
      </c>
      <c r="V12" s="73">
        <f>regDebt_weighted</f>
        <v>3.5860000000000003E-2</v>
      </c>
      <c r="W12" s="73">
        <f ca="1">+U12-V12</f>
        <v>0.12841588270672838</v>
      </c>
      <c r="X12" s="73">
        <f ca="1">+((W12*(1-0.34))-Pfd_weighted)/Equity_percent</f>
        <v>0.2283851237977928</v>
      </c>
      <c r="Y12" s="73">
        <f ca="1">+X12*equityP</f>
        <v>0.13703107427867567</v>
      </c>
      <c r="Z12" s="73">
        <f ca="1">+Y12/(1-taxrate)</f>
        <v>0.17345705604895653</v>
      </c>
      <c r="AA12" s="73">
        <f>debtP*Debt_Rate</f>
        <v>1.2E-2</v>
      </c>
      <c r="AB12" s="73">
        <f ca="1">+AA12+Z12</f>
        <v>0.18545705604895654</v>
      </c>
      <c r="AC12" s="73">
        <f ca="1">+AB12/(S12/100)</f>
        <v>8.7089750189213874E-2</v>
      </c>
      <c r="AD12" s="73">
        <f ca="1">1-AC12</f>
        <v>0.91291024981078617</v>
      </c>
      <c r="AE12" s="74">
        <f ca="1">expenses/(AD12)</f>
        <v>4118096.7437908025</v>
      </c>
      <c r="AF12" s="75">
        <f ca="1">+AE12-Revenue</f>
        <v>354589.99379080255</v>
      </c>
      <c r="AG12" s="76">
        <f ca="1">+AF12/$J$49</f>
        <v>397902.95328017347</v>
      </c>
      <c r="AH12" s="76">
        <f ca="1">+AG12*$J$47</f>
        <v>8992.606744131921</v>
      </c>
      <c r="AI12" s="74">
        <f ca="1">ROUND(+AH12+AE12,5)</f>
        <v>4127089.3505299999</v>
      </c>
    </row>
    <row r="13" spans="1:46" ht="15.75">
      <c r="A13" s="27"/>
      <c r="B13" s="49" t="s">
        <v>129</v>
      </c>
      <c r="C13" s="84">
        <v>0</v>
      </c>
      <c r="D13" s="45"/>
      <c r="E13" s="27"/>
      <c r="F13" s="78">
        <f t="shared" si="0"/>
        <v>7</v>
      </c>
      <c r="G13" s="52"/>
      <c r="H13" s="52"/>
      <c r="I13" s="3"/>
      <c r="J13" s="3"/>
      <c r="K13" s="69"/>
      <c r="L13" s="52"/>
      <c r="M13" s="52"/>
      <c r="O13" s="54"/>
      <c r="P13" s="27"/>
      <c r="Q13" s="36"/>
      <c r="R13" s="79">
        <v>3</v>
      </c>
      <c r="S13" s="71">
        <f ca="1">IF((AI8/Investment*100)&gt;0,(AI8/Investment*100),0)</f>
        <v>212.94934897163768</v>
      </c>
      <c r="T13" s="72">
        <f ca="1">EXP(y_inter3-(slope*LN(S13)))</f>
        <v>7.6393153091084178</v>
      </c>
      <c r="U13" s="73">
        <f ca="1">(+S13*T13/100)/100</f>
        <v>0.16267872216637028</v>
      </c>
      <c r="V13" s="73">
        <f>regDebt_weighted</f>
        <v>3.5860000000000003E-2</v>
      </c>
      <c r="W13" s="73">
        <f ca="1">+U13-V13</f>
        <v>0.12681872216637027</v>
      </c>
      <c r="X13" s="73">
        <f ca="1">+((W13*(1-0.34))-Pfd_weighted)/Equity_percent</f>
        <v>0.22532080415640804</v>
      </c>
      <c r="Y13" s="73">
        <f ca="1">+X13*equityP</f>
        <v>0.13519248249384483</v>
      </c>
      <c r="Z13" s="73">
        <f ca="1">+Y13/(1-taxrate)</f>
        <v>0.17112972467575294</v>
      </c>
      <c r="AA13" s="73">
        <f>debtP*Debt_Rate</f>
        <v>1.2E-2</v>
      </c>
      <c r="AB13" s="73">
        <f ca="1">+AA13+Z13</f>
        <v>0.18312972467575295</v>
      </c>
      <c r="AC13" s="73">
        <f ca="1">+AB13/(S13/100)</f>
        <v>8.5996846461429494E-2</v>
      </c>
      <c r="AD13" s="73">
        <f ca="1">1-AC13</f>
        <v>0.91400315353857053</v>
      </c>
      <c r="AE13" s="74">
        <f ca="1">expenses/(AD13)</f>
        <v>4113172.5996396132</v>
      </c>
      <c r="AF13" s="75">
        <f ca="1">+AE13-Revenue</f>
        <v>349665.84963961318</v>
      </c>
      <c r="AG13" s="76">
        <f ca="1">+AF13/$J$49</f>
        <v>392377.32781288668</v>
      </c>
      <c r="AH13" s="76">
        <f ca="1">+AG13*$J$47</f>
        <v>8867.7276085712401</v>
      </c>
      <c r="AI13" s="74">
        <f ca="1">ROUND(+AH13+AE13,5)</f>
        <v>4122040.3272500001</v>
      </c>
    </row>
    <row r="14" spans="1:46" ht="16.5" thickBot="1">
      <c r="A14" s="27"/>
      <c r="B14" s="86" t="s">
        <v>130</v>
      </c>
      <c r="C14" s="84">
        <v>0</v>
      </c>
      <c r="D14" s="45"/>
      <c r="E14" s="27"/>
      <c r="F14" s="78">
        <f t="shared" si="0"/>
        <v>8</v>
      </c>
      <c r="G14" s="52"/>
      <c r="H14" s="52" t="s">
        <v>44</v>
      </c>
      <c r="I14" s="87">
        <f ca="1">+I9-SUM(I11:I13)</f>
        <v>-19387.52325714202</v>
      </c>
      <c r="J14" s="3"/>
      <c r="K14" s="87">
        <f ca="1">+K9-SUM(K11:K13)</f>
        <v>262496.11358354008</v>
      </c>
      <c r="L14" s="52"/>
      <c r="M14" s="87">
        <f ca="1">+M9-SUM(M11:M13)</f>
        <v>262496.11358354008</v>
      </c>
      <c r="O14" s="54"/>
      <c r="P14" s="27"/>
      <c r="Q14" s="36"/>
      <c r="R14" s="82">
        <v>4</v>
      </c>
      <c r="S14" s="71">
        <f ca="1">IF((AI9/Investment*100)&gt;0,(AI9/Investment*100),0)</f>
        <v>212.94934897163768</v>
      </c>
      <c r="T14" s="88">
        <f ca="1">EXP(y_inter4-(slope*LN(S14)))</f>
        <v>7.5913389070094883</v>
      </c>
      <c r="U14" s="73">
        <f ca="1">(+S14*T14/100)/100</f>
        <v>0.1616570678070734</v>
      </c>
      <c r="V14" s="73">
        <f>regDebt_weighted</f>
        <v>3.5860000000000003E-2</v>
      </c>
      <c r="W14" s="73">
        <f ca="1">+U14-V14</f>
        <v>0.12579706780707339</v>
      </c>
      <c r="X14" s="73">
        <f ca="1">+((W14*(1-0.34))-Pfd_weighted)/Equity_percent</f>
        <v>0.22336065335078031</v>
      </c>
      <c r="Y14" s="73">
        <f ca="1">+X14*equityP</f>
        <v>0.13401639201046819</v>
      </c>
      <c r="Z14" s="73">
        <f ca="1">+Y14/(1-taxrate)</f>
        <v>0.16964100254489645</v>
      </c>
      <c r="AA14" s="73">
        <f>debtP*Debt_Rate</f>
        <v>1.2E-2</v>
      </c>
      <c r="AB14" s="73">
        <f ca="1">+AA14+Z14</f>
        <v>0.18164100254489646</v>
      </c>
      <c r="AC14" s="73">
        <f ca="1">+AB14/(S14/100)</f>
        <v>8.5297749639558121E-2</v>
      </c>
      <c r="AD14" s="73">
        <f ca="1">1-AC14</f>
        <v>0.91470225036044184</v>
      </c>
      <c r="AE14" s="74">
        <f ca="1">expenses/(AD14)</f>
        <v>4110028.9472750509</v>
      </c>
      <c r="AF14" s="75">
        <f ca="1">+AE14-Revenue</f>
        <v>346522.19727505092</v>
      </c>
      <c r="AG14" s="76">
        <f ca="1">+AF14/$J$49</f>
        <v>388849.6801582732</v>
      </c>
      <c r="AH14" s="76">
        <f ca="1">+AG14*$J$47</f>
        <v>8788.0027715769756</v>
      </c>
      <c r="AI14" s="74">
        <f ca="1">ROUND(+AH14+AE14,5)</f>
        <v>4118816.9500500001</v>
      </c>
    </row>
    <row r="15" spans="1:46" ht="16.5" thickTop="1">
      <c r="A15" s="27"/>
      <c r="B15" s="382"/>
      <c r="C15" s="382"/>
      <c r="D15" s="27"/>
      <c r="E15" s="27"/>
      <c r="F15" s="78">
        <f t="shared" si="0"/>
        <v>9</v>
      </c>
      <c r="G15" s="3"/>
      <c r="H15" s="3"/>
      <c r="I15" s="3"/>
      <c r="J15" s="3"/>
      <c r="K15" s="89"/>
      <c r="L15" s="3"/>
      <c r="M15" s="3"/>
      <c r="O15" s="54"/>
      <c r="P15" s="27"/>
      <c r="Q15" s="36"/>
      <c r="R15" s="42" t="s">
        <v>131</v>
      </c>
    </row>
    <row r="16" spans="1:46" ht="15.75">
      <c r="A16" s="27"/>
      <c r="B16" s="90" t="s">
        <v>132</v>
      </c>
      <c r="C16" s="382"/>
      <c r="D16" s="382"/>
      <c r="E16" s="27"/>
      <c r="F16" s="78">
        <f t="shared" si="0"/>
        <v>10</v>
      </c>
      <c r="G16" s="3"/>
      <c r="H16" s="91" t="s">
        <v>133</v>
      </c>
      <c r="I16" s="92">
        <f>+I8/I7</f>
        <v>0.99892280706525816</v>
      </c>
      <c r="J16" s="93"/>
      <c r="K16" s="92">
        <f ca="1">+K8/K7</f>
        <v>0.91356000000000004</v>
      </c>
      <c r="L16" s="94"/>
      <c r="M16" s="92">
        <f ca="1">+M8/M7</f>
        <v>0.91374692632383347</v>
      </c>
      <c r="O16" s="54"/>
      <c r="P16" s="27"/>
      <c r="Q16" s="36"/>
      <c r="R16" s="95">
        <v>1</v>
      </c>
      <c r="S16" s="96">
        <f ca="1">AI11/Investment*100</f>
        <v>211.6553430429629</v>
      </c>
      <c r="T16" s="97">
        <f ca="1">EXP(y_inter1-(slope*LN(+S16)))</f>
        <v>7.8583372320025449</v>
      </c>
      <c r="U16" s="98">
        <f ca="1">(+S16*T16/100)/100</f>
        <v>0.1663259062586786</v>
      </c>
      <c r="V16" s="98">
        <f>regDebt_weighted</f>
        <v>3.5860000000000003E-2</v>
      </c>
      <c r="W16" s="98">
        <f ca="1">+U16-V16</f>
        <v>0.1304659062586786</v>
      </c>
      <c r="X16" s="98">
        <f ca="1">+((W16*(1-0.34))-Pfd_weighted)/Equity_percent</f>
        <v>0.23231830851955776</v>
      </c>
      <c r="Y16" s="98">
        <f ca="1">+X16*equityP</f>
        <v>0.13939098511173464</v>
      </c>
      <c r="Z16" s="98">
        <f ca="1">+Y16/(1-taxrate)</f>
        <v>0.17644428495156284</v>
      </c>
      <c r="AA16" s="98">
        <f>debtP*Debt_Rate</f>
        <v>1.2E-2</v>
      </c>
      <c r="AB16" s="98">
        <f ca="1">+AA16+Z16</f>
        <v>0.18844428495156285</v>
      </c>
      <c r="AC16" s="98">
        <f ca="1">+AB16/(S16/100)</f>
        <v>8.9033559107133647E-2</v>
      </c>
      <c r="AD16" s="98">
        <f ca="1">1-AC16</f>
        <v>0.91096644089286638</v>
      </c>
      <c r="AE16" s="99">
        <f ca="1">expenses/(AD16)</f>
        <v>4126883.8876592326</v>
      </c>
      <c r="AF16" s="100">
        <f ca="1">+AE16-Revenue</f>
        <v>363377.1376592326</v>
      </c>
      <c r="AG16" s="101">
        <f ca="1">+AF16/$J$49</f>
        <v>407763.44161140622</v>
      </c>
      <c r="AH16" s="101">
        <f ca="1">+AG16*$J$47</f>
        <v>9215.4537804177817</v>
      </c>
      <c r="AI16" s="99">
        <f ca="1">ROUND(+AH16+AE16,5)</f>
        <v>4136099.3414400001</v>
      </c>
    </row>
    <row r="17" spans="1:35" ht="15.75">
      <c r="A17" s="27"/>
      <c r="B17" s="383"/>
      <c r="C17" s="382"/>
      <c r="D17" s="27" t="s">
        <v>134</v>
      </c>
      <c r="E17" s="27"/>
      <c r="F17" s="78">
        <f t="shared" si="0"/>
        <v>11</v>
      </c>
      <c r="G17" s="3"/>
      <c r="H17" s="102"/>
      <c r="I17" s="102"/>
      <c r="J17" s="103"/>
      <c r="K17" s="102"/>
      <c r="L17" s="91"/>
      <c r="M17" s="91"/>
      <c r="N17" s="104"/>
      <c r="O17" s="27"/>
      <c r="P17" s="27"/>
      <c r="Q17" s="36"/>
      <c r="R17" s="70">
        <v>2</v>
      </c>
      <c r="S17" s="71">
        <f ca="1">AI12/Investment*100</f>
        <v>211.27050201640026</v>
      </c>
      <c r="T17" s="85">
        <f ca="1">EXP(y_inter2-(slope*LN(+S17)))</f>
        <v>7.7561745805841795</v>
      </c>
      <c r="U17" s="73">
        <f ca="1">(+S17*T17/100)/100</f>
        <v>0.16386508973668626</v>
      </c>
      <c r="V17" s="73">
        <f>regDebt_weighted</f>
        <v>3.5860000000000003E-2</v>
      </c>
      <c r="W17" s="73">
        <f ca="1">+U17-V17</f>
        <v>0.12800508973668626</v>
      </c>
      <c r="X17" s="73">
        <f ca="1">+((W17*(1-0.34))-Pfd_weighted)/Equity_percent</f>
        <v>0.22759697449480501</v>
      </c>
      <c r="Y17" s="73">
        <f ca="1">+X17*equityP</f>
        <v>0.13655818469688299</v>
      </c>
      <c r="Z17" s="73">
        <f ca="1">+Y17/(1-taxrate)</f>
        <v>0.17285846164162402</v>
      </c>
      <c r="AA17" s="73">
        <f>debtP*Debt_Rate</f>
        <v>1.2E-2</v>
      </c>
      <c r="AB17" s="73">
        <f ca="1">+AA17+Z17</f>
        <v>0.18485846164162403</v>
      </c>
      <c r="AC17" s="73">
        <f ca="1">+AB17/(S17/100)</f>
        <v>8.7498472279520623E-2</v>
      </c>
      <c r="AD17" s="73">
        <f ca="1">1-AC17</f>
        <v>0.91250152772047932</v>
      </c>
      <c r="AE17" s="74">
        <f ca="1">expenses/(AD17)</f>
        <v>4119941.2964387448</v>
      </c>
      <c r="AF17" s="75">
        <f ca="1">+AE17-Revenue</f>
        <v>356434.54643874476</v>
      </c>
      <c r="AG17" s="76">
        <f ca="1">+AF17/$J$49</f>
        <v>399972.81695074844</v>
      </c>
      <c r="AH17" s="76">
        <f ca="1">+AG17*$J$47</f>
        <v>9039.3856630869159</v>
      </c>
      <c r="AI17" s="74">
        <f ca="1">ROUND(+AH17+AE17,5)</f>
        <v>4128980.6820999999</v>
      </c>
    </row>
    <row r="18" spans="1:35" ht="15.75">
      <c r="A18" s="27"/>
      <c r="B18" s="377" t="s">
        <v>135</v>
      </c>
      <c r="C18" s="377"/>
      <c r="D18" s="27"/>
      <c r="E18" s="27"/>
      <c r="F18" s="78">
        <f t="shared" si="0"/>
        <v>12</v>
      </c>
      <c r="G18" s="3"/>
      <c r="H18" s="105" t="s">
        <v>136</v>
      </c>
      <c r="I18" s="106"/>
      <c r="J18" s="106"/>
      <c r="K18" s="106"/>
      <c r="L18" s="106"/>
      <c r="M18" s="107"/>
      <c r="N18" s="103"/>
      <c r="O18" s="27"/>
      <c r="P18" s="27"/>
      <c r="Q18" s="36"/>
      <c r="R18" s="79">
        <v>3</v>
      </c>
      <c r="S18" s="71">
        <f ca="1">AI13/Investment*100</f>
        <v>211.01203664469193</v>
      </c>
      <c r="T18" s="72">
        <f ca="1">EXP(y_inter3-(slope*LN(S18)))</f>
        <v>7.6871964837039855</v>
      </c>
      <c r="U18" s="73">
        <f ca="1">(+S18*T18/100)/100</f>
        <v>0.16220909861142921</v>
      </c>
      <c r="V18" s="73">
        <f>regDebt_weighted</f>
        <v>3.5860000000000003E-2</v>
      </c>
      <c r="W18" s="73">
        <f ca="1">+U18-V18</f>
        <v>0.12634909861142921</v>
      </c>
      <c r="X18" s="73">
        <f ca="1">+((W18*(1-0.34))-Pfd_weighted)/Equity_percent</f>
        <v>0.22441978221960254</v>
      </c>
      <c r="Y18" s="73">
        <f ca="1">+X18*equityP</f>
        <v>0.13465186933176151</v>
      </c>
      <c r="Z18" s="73">
        <f ca="1">+Y18/(1-taxrate)</f>
        <v>0.17044540421741963</v>
      </c>
      <c r="AA18" s="73">
        <f>debtP*Debt_Rate</f>
        <v>1.2E-2</v>
      </c>
      <c r="AB18" s="73">
        <f ca="1">+AA18+Z18</f>
        <v>0.18244540421741964</v>
      </c>
      <c r="AC18" s="73">
        <f ca="1">+AB18/(S18/100)</f>
        <v>8.6462083925869321E-2</v>
      </c>
      <c r="AD18" s="73">
        <f ca="1">1-AC18</f>
        <v>0.91353791607413071</v>
      </c>
      <c r="AE18" s="74">
        <f ca="1">expenses/(AD18)</f>
        <v>4115267.3150940994</v>
      </c>
      <c r="AF18" s="75">
        <f ca="1">+AE18-Revenue</f>
        <v>351760.56509409938</v>
      </c>
      <c r="AG18" s="76">
        <f ca="1">+AF18/$J$49</f>
        <v>394727.91152990324</v>
      </c>
      <c r="AH18" s="76">
        <f ca="1">+AG18*$J$47</f>
        <v>8920.850800575814</v>
      </c>
      <c r="AI18" s="74">
        <f ca="1">ROUND(+AH18+AE18,5)</f>
        <v>4124188.1658899998</v>
      </c>
    </row>
    <row r="19" spans="1:35" ht="15.75">
      <c r="A19" s="27"/>
      <c r="B19" s="27"/>
      <c r="C19" s="27"/>
      <c r="D19" s="27"/>
      <c r="E19" s="27"/>
      <c r="F19" s="78">
        <f t="shared" si="0"/>
        <v>13</v>
      </c>
      <c r="G19" s="3"/>
      <c r="H19" s="108"/>
      <c r="I19" s="91" t="s">
        <v>137</v>
      </c>
      <c r="J19" s="109">
        <f>+Revenue</f>
        <v>3763506.75</v>
      </c>
      <c r="K19" s="110"/>
      <c r="L19" s="91" t="s">
        <v>138</v>
      </c>
      <c r="M19" s="111">
        <f ca="1">+J7</f>
        <v>351661.08475529402</v>
      </c>
      <c r="O19" s="27"/>
      <c r="P19" s="27"/>
      <c r="Q19" s="36"/>
      <c r="R19" s="82">
        <v>4</v>
      </c>
      <c r="S19" s="71">
        <f ca="1">AI14/Investment*100</f>
        <v>210.84702821831885</v>
      </c>
      <c r="T19" s="88">
        <f ca="1">EXP(y_inter4-(slope*LN(S19)))</f>
        <v>7.6430059898535996</v>
      </c>
      <c r="U19" s="73">
        <f ca="1">(+S19*T19/100)/100</f>
        <v>0.1611505099615442</v>
      </c>
      <c r="V19" s="73">
        <f>regDebt_weighted</f>
        <v>3.5860000000000003E-2</v>
      </c>
      <c r="W19" s="73">
        <f ca="1">+U19-V19</f>
        <v>0.1252905099615442</v>
      </c>
      <c r="X19" s="73">
        <f ca="1">+((W19*(1-0.34))-Pfd_weighted)/Equity_percent</f>
        <v>0.22238876911226502</v>
      </c>
      <c r="Y19" s="73">
        <f ca="1">+X19*equityP</f>
        <v>0.13343326146735901</v>
      </c>
      <c r="Z19" s="73">
        <f ca="1">+Y19/(1-taxrate)</f>
        <v>0.16890286261691012</v>
      </c>
      <c r="AA19" s="73">
        <f>debtP*Debt_Rate</f>
        <v>1.2E-2</v>
      </c>
      <c r="AB19" s="73">
        <f ca="1">+AA19+Z19</f>
        <v>0.18090286261691013</v>
      </c>
      <c r="AC19" s="73">
        <f ca="1">+AB19/(S19/100)</f>
        <v>8.5798156201469716E-2</v>
      </c>
      <c r="AD19" s="73">
        <f ca="1">1-AC19</f>
        <v>0.91420184379853031</v>
      </c>
      <c r="AE19" s="74">
        <f ca="1">expenses/(AD19)</f>
        <v>4112278.6533643724</v>
      </c>
      <c r="AF19" s="75">
        <f ca="1">+AE19-Revenue</f>
        <v>348771.90336437244</v>
      </c>
      <c r="AG19" s="76">
        <f ca="1">+AF19/$J$49</f>
        <v>391374.18652514362</v>
      </c>
      <c r="AH19" s="76">
        <f ca="1">+AG19*$J$47</f>
        <v>8845.0566154682474</v>
      </c>
      <c r="AI19" s="74">
        <f ca="1">ROUND(+AH19+AE19,5)</f>
        <v>4121123.7099799998</v>
      </c>
    </row>
    <row r="20" spans="1:35" ht="15.75">
      <c r="A20" s="27"/>
      <c r="B20" s="112"/>
      <c r="C20" s="27"/>
      <c r="D20" s="27"/>
      <c r="E20" s="27"/>
      <c r="F20" s="78">
        <f t="shared" si="0"/>
        <v>14</v>
      </c>
      <c r="G20" s="3"/>
      <c r="H20" s="108"/>
      <c r="I20" s="91" t="s">
        <v>139</v>
      </c>
      <c r="J20" s="109">
        <f ca="1">+J21-J19</f>
        <v>360579.41267710458</v>
      </c>
      <c r="K20" s="110"/>
      <c r="L20" s="91" t="s">
        <v>140</v>
      </c>
      <c r="M20" s="111">
        <f ca="1">+L8</f>
        <v>8918.3279218106763</v>
      </c>
      <c r="O20" s="27"/>
      <c r="P20" s="27"/>
      <c r="Q20" s="36"/>
      <c r="R20" s="42" t="s">
        <v>141</v>
      </c>
    </row>
    <row r="21" spans="1:35" ht="16.5" thickBot="1">
      <c r="A21" s="27"/>
      <c r="B21" s="112" t="s">
        <v>142</v>
      </c>
      <c r="C21" s="27"/>
      <c r="D21" s="27"/>
      <c r="E21" s="27"/>
      <c r="F21" s="78">
        <f t="shared" si="0"/>
        <v>15</v>
      </c>
      <c r="G21" s="3"/>
      <c r="H21" s="108"/>
      <c r="I21" s="113" t="s">
        <v>136</v>
      </c>
      <c r="J21" s="114">
        <f ca="1">+M7</f>
        <v>4124086.1626771046</v>
      </c>
      <c r="K21" s="103"/>
      <c r="L21" s="113" t="s">
        <v>139</v>
      </c>
      <c r="M21" s="115">
        <f ca="1">+M19+M20</f>
        <v>360579.4126771047</v>
      </c>
      <c r="O21" s="27"/>
      <c r="P21" s="27"/>
      <c r="Q21" s="36"/>
      <c r="R21" s="95">
        <v>1</v>
      </c>
      <c r="S21" s="96">
        <f ca="1">AI16/Investment*100</f>
        <v>211.73173392611756</v>
      </c>
      <c r="T21" s="97">
        <f ca="1">EXP(y_inter1-(slope*LN(+S21)))</f>
        <v>7.8563987688587487</v>
      </c>
      <c r="U21" s="98">
        <f ca="1">(+S21*T21/100)/100</f>
        <v>0.1663448933745478</v>
      </c>
      <c r="V21" s="98">
        <f>regDebt_weighted</f>
        <v>3.5860000000000003E-2</v>
      </c>
      <c r="W21" s="98">
        <f ca="1">+U21-V21</f>
        <v>0.1304848933745478</v>
      </c>
      <c r="X21" s="98">
        <f ca="1">+((W21*(1-0.34))-Pfd_weighted)/Equity_percent</f>
        <v>0.23235473728837658</v>
      </c>
      <c r="Y21" s="98">
        <f ca="1">+X21*equityP</f>
        <v>0.13941284237302595</v>
      </c>
      <c r="Z21" s="98">
        <f ca="1">+Y21/(1-taxrate)</f>
        <v>0.17647195237091892</v>
      </c>
      <c r="AA21" s="98">
        <f>debtP*Debt_Rate</f>
        <v>1.2E-2</v>
      </c>
      <c r="AB21" s="98">
        <f ca="1">+AA21+Z21</f>
        <v>0.18847195237091893</v>
      </c>
      <c r="AC21" s="98">
        <f ca="1">+AB21/(S21/100)</f>
        <v>8.9014503813908699E-2</v>
      </c>
      <c r="AD21" s="98">
        <f ca="1">1-AC21</f>
        <v>0.91098549618609126</v>
      </c>
      <c r="AE21" s="99">
        <f ca="1">expenses/(AD21)</f>
        <v>4126797.5646794336</v>
      </c>
      <c r="AF21" s="100">
        <f ca="1">+AE21-Revenue</f>
        <v>363290.81467943359</v>
      </c>
      <c r="AG21" s="101">
        <f ca="1">+AF21/$J$49</f>
        <v>407666.57433032262</v>
      </c>
      <c r="AH21" s="101">
        <f ca="1">+AG21*$J$47</f>
        <v>9213.264579865292</v>
      </c>
      <c r="AI21" s="99">
        <f ca="1">ROUND(+AH21+AE21,5)</f>
        <v>4136010.82926</v>
      </c>
    </row>
    <row r="22" spans="1:35" ht="16.5" thickTop="1">
      <c r="A22" s="27"/>
      <c r="B22" s="27" t="s">
        <v>143</v>
      </c>
      <c r="C22" s="27"/>
      <c r="D22" s="27"/>
      <c r="E22" s="27"/>
      <c r="F22" s="78">
        <f t="shared" si="0"/>
        <v>16</v>
      </c>
      <c r="G22" s="3"/>
      <c r="H22" s="116"/>
      <c r="I22" s="117"/>
      <c r="J22" s="118" t="s">
        <v>144</v>
      </c>
      <c r="K22" s="119">
        <f ca="1">+(J21/J19)-1</f>
        <v>9.5809423665071058E-2</v>
      </c>
      <c r="L22" s="117"/>
      <c r="M22" s="120"/>
      <c r="O22" s="27"/>
      <c r="P22" s="27"/>
      <c r="Q22" s="36"/>
      <c r="R22" s="70">
        <v>2</v>
      </c>
      <c r="S22" s="71">
        <f ca="1">AI17/Investment*100</f>
        <v>211.36732147833462</v>
      </c>
      <c r="T22" s="85">
        <f ca="1">EXP(y_inter2-(slope*LN(+S22)))</f>
        <v>7.753745452643467</v>
      </c>
      <c r="U22" s="73">
        <f ca="1">(+S22*T22/100)/100</f>
        <v>0.16388884077500665</v>
      </c>
      <c r="V22" s="73">
        <f>regDebt_weighted</f>
        <v>3.5860000000000003E-2</v>
      </c>
      <c r="W22" s="73">
        <f ca="1">+U22-V22</f>
        <v>0.12802884077500665</v>
      </c>
      <c r="X22" s="73">
        <f ca="1">+((W22*(1-0.34))-Pfd_weighted)/Equity_percent</f>
        <v>0.22764254334739645</v>
      </c>
      <c r="Y22" s="73">
        <f ca="1">+X22*equityP</f>
        <v>0.13658552600843787</v>
      </c>
      <c r="Z22" s="73">
        <f ca="1">+Y22/(1-taxrate)</f>
        <v>0.17289307089675679</v>
      </c>
      <c r="AA22" s="73">
        <f>debtP*Debt_Rate</f>
        <v>1.2E-2</v>
      </c>
      <c r="AB22" s="73">
        <f ca="1">+AA22+Z22</f>
        <v>0.1848930708967568</v>
      </c>
      <c r="AC22" s="73">
        <f ca="1">+AB22/(S22/100)</f>
        <v>8.7474766488777472E-2</v>
      </c>
      <c r="AD22" s="73">
        <f ca="1">1-AC22</f>
        <v>0.9125252335112225</v>
      </c>
      <c r="AE22" s="74">
        <f ca="1">expenses/(AD22)</f>
        <v>4119834.2676545964</v>
      </c>
      <c r="AF22" s="75">
        <f ca="1">+AE22-Revenue</f>
        <v>356327.51765459636</v>
      </c>
      <c r="AG22" s="76">
        <f ca="1">+AF22/$J$49</f>
        <v>399852.71466347476</v>
      </c>
      <c r="AH22" s="76">
        <f ca="1">+AG22*$J$47</f>
        <v>9036.6713513945306</v>
      </c>
      <c r="AI22" s="74">
        <f ca="1">ROUND(+AH22+AE22,5)</f>
        <v>4128870.9390099999</v>
      </c>
    </row>
    <row r="23" spans="1:35" ht="15.75">
      <c r="A23" s="27"/>
      <c r="B23" s="27" t="s">
        <v>145</v>
      </c>
      <c r="C23" s="27"/>
      <c r="D23" s="27"/>
      <c r="E23" s="27"/>
      <c r="F23" s="78">
        <f t="shared" si="0"/>
        <v>17</v>
      </c>
      <c r="H23" s="3"/>
      <c r="I23" s="3"/>
      <c r="J23" s="3"/>
      <c r="K23" s="3"/>
      <c r="L23" s="3"/>
      <c r="M23" s="3"/>
      <c r="N23" s="3"/>
      <c r="O23" s="27"/>
      <c r="P23" s="27"/>
      <c r="Q23" s="36"/>
      <c r="R23" s="79">
        <v>3</v>
      </c>
      <c r="S23" s="71">
        <f ca="1">AI18/Investment*100</f>
        <v>211.12198700175523</v>
      </c>
      <c r="T23" s="72">
        <f ca="1">EXP(y_inter3-(slope*LN(S23)))</f>
        <v>7.6844592400084419</v>
      </c>
      <c r="U23" s="73">
        <f ca="1">(+S23*T23/100)/100</f>
        <v>0.16223583037845801</v>
      </c>
      <c r="V23" s="73">
        <f>regDebt_weighted</f>
        <v>3.5860000000000003E-2</v>
      </c>
      <c r="W23" s="73">
        <f ca="1">+U23-V23</f>
        <v>0.12637583037845801</v>
      </c>
      <c r="X23" s="73">
        <f ca="1">+((W23*(1-0.34))-Pfd_weighted)/Equity_percent</f>
        <v>0.22447106991215779</v>
      </c>
      <c r="Y23" s="73">
        <f ca="1">+X23*equityP</f>
        <v>0.13468264194729468</v>
      </c>
      <c r="Z23" s="73">
        <f ca="1">+Y23/(1-taxrate)</f>
        <v>0.17048435689530972</v>
      </c>
      <c r="AA23" s="73">
        <f>debtP*Debt_Rate</f>
        <v>1.2E-2</v>
      </c>
      <c r="AB23" s="73">
        <f ca="1">+AA23+Z23</f>
        <v>0.18248435689530973</v>
      </c>
      <c r="AC23" s="73">
        <f ca="1">+AB23/(S23/100)</f>
        <v>8.6435505598851992E-2</v>
      </c>
      <c r="AD23" s="73">
        <f ca="1">1-AC23</f>
        <v>0.91356449440114806</v>
      </c>
      <c r="AE23" s="74">
        <f ca="1">expenses/(AD23)</f>
        <v>4115147.5896438058</v>
      </c>
      <c r="AF23" s="75">
        <f ca="1">+AE23-Revenue</f>
        <v>351640.83964380575</v>
      </c>
      <c r="AG23" s="76">
        <f ca="1">+AF23/$J$49</f>
        <v>394593.56168617151</v>
      </c>
      <c r="AH23" s="76">
        <f ca="1">+AG23*$J$47</f>
        <v>8917.814494107477</v>
      </c>
      <c r="AI23" s="74">
        <f ca="1">ROUND(+AH23+AE23,5)</f>
        <v>4124065.4041400002</v>
      </c>
    </row>
    <row r="24" spans="1:35" ht="15.75">
      <c r="A24" s="27"/>
      <c r="B24" s="27" t="s">
        <v>146</v>
      </c>
      <c r="C24" s="27"/>
      <c r="D24" s="27"/>
      <c r="E24" s="27"/>
      <c r="F24" s="78">
        <f t="shared" si="0"/>
        <v>18</v>
      </c>
      <c r="H24" s="3"/>
      <c r="J24" s="121" t="s">
        <v>147</v>
      </c>
      <c r="K24" s="122" t="s">
        <v>148</v>
      </c>
      <c r="L24" s="122"/>
      <c r="M24" s="122"/>
      <c r="N24" s="122"/>
      <c r="O24" s="27"/>
      <c r="P24" s="27"/>
      <c r="Q24" s="36"/>
      <c r="R24" s="82">
        <v>4</v>
      </c>
      <c r="S24" s="71">
        <f ca="1">AI19/Investment*100</f>
        <v>210.96511394097948</v>
      </c>
      <c r="T24" s="88">
        <f ca="1">EXP(y_inter4-(slope*LN(S24)))</f>
        <v>7.6400809221230936</v>
      </c>
      <c r="U24" s="73">
        <f ca="1">(+S24*T24/100)/100</f>
        <v>0.16117905422540019</v>
      </c>
      <c r="V24" s="73">
        <f>regDebt_weighted</f>
        <v>3.5860000000000003E-2</v>
      </c>
      <c r="W24" s="73">
        <f ca="1">+U24-V24</f>
        <v>0.12531905422540018</v>
      </c>
      <c r="X24" s="73">
        <f ca="1">+((W24*(1-0.34))-Pfd_weighted)/Equity_percent</f>
        <v>0.22244353426966315</v>
      </c>
      <c r="Y24" s="73">
        <f ca="1">+X24*equityP</f>
        <v>0.13346612056179788</v>
      </c>
      <c r="Z24" s="73">
        <f ca="1">+Y24/(1-taxrate)</f>
        <v>0.16894445640733907</v>
      </c>
      <c r="AA24" s="73">
        <f>debtP*Debt_Rate</f>
        <v>1.2E-2</v>
      </c>
      <c r="AB24" s="73">
        <f ca="1">+AA24+Z24</f>
        <v>0.18094445640733908</v>
      </c>
      <c r="AC24" s="73">
        <f ca="1">+AB24/(S24/100)</f>
        <v>8.5769847453527739E-2</v>
      </c>
      <c r="AD24" s="73">
        <f ca="1">1-AC24</f>
        <v>0.91423015254647222</v>
      </c>
      <c r="AE24" s="74">
        <f ca="1">expenses/(AD24)</f>
        <v>4112151.3184044166</v>
      </c>
      <c r="AF24" s="75">
        <f ca="1">+AE24-Revenue</f>
        <v>348644.56840441655</v>
      </c>
      <c r="AG24" s="76">
        <f ca="1">+AF24/$J$49</f>
        <v>391231.29767461348</v>
      </c>
      <c r="AH24" s="76">
        <f ca="1">+AG24*$J$47</f>
        <v>8841.8273274462663</v>
      </c>
      <c r="AI24" s="74">
        <f ca="1">ROUND(+AH24+AE24,5)</f>
        <v>4120993.14573</v>
      </c>
    </row>
    <row r="25" spans="1:35" ht="15.75">
      <c r="A25" s="27"/>
      <c r="B25" s="27" t="s">
        <v>149</v>
      </c>
      <c r="C25" s="27"/>
      <c r="D25" s="27"/>
      <c r="E25" s="27"/>
      <c r="F25" s="78">
        <f t="shared" si="0"/>
        <v>19</v>
      </c>
      <c r="H25" s="123" t="s">
        <v>150</v>
      </c>
      <c r="I25" s="124" t="s">
        <v>151</v>
      </c>
      <c r="J25" s="125" t="s">
        <v>152</v>
      </c>
      <c r="K25" s="123" t="s">
        <v>153</v>
      </c>
      <c r="L25" s="125" t="s">
        <v>154</v>
      </c>
      <c r="M25" s="125" t="s">
        <v>152</v>
      </c>
      <c r="O25" s="27"/>
      <c r="P25" s="27"/>
      <c r="Q25" s="36"/>
      <c r="R25" s="42" t="s">
        <v>155</v>
      </c>
      <c r="W25" s="126"/>
      <c r="X25" s="10"/>
      <c r="Y25" s="72"/>
      <c r="Z25" s="72"/>
      <c r="AA25" s="10"/>
      <c r="AC25" s="10"/>
      <c r="AD25" s="10"/>
      <c r="AE25" s="72"/>
      <c r="AF25" s="126"/>
    </row>
    <row r="26" spans="1:35" ht="15.75">
      <c r="A26" s="27"/>
      <c r="B26" s="27"/>
      <c r="C26" s="27"/>
      <c r="D26" s="27"/>
      <c r="E26" s="27"/>
      <c r="F26" s="78">
        <f t="shared" si="0"/>
        <v>20</v>
      </c>
      <c r="H26" s="68" t="s">
        <v>108</v>
      </c>
      <c r="I26" s="127">
        <f>1-I27</f>
        <v>0.6</v>
      </c>
      <c r="J26" s="128">
        <f>+I26*J28</f>
        <v>1172077.3069047644</v>
      </c>
      <c r="K26" s="104">
        <f ca="1">+K34</f>
        <v>0.22395802054793035</v>
      </c>
      <c r="L26" s="127">
        <f ca="1">+K26*I26</f>
        <v>0.1343748123287582</v>
      </c>
      <c r="M26" s="69">
        <f ca="1">+J26*K26</f>
        <v>262496.11358354008</v>
      </c>
      <c r="O26" s="27"/>
      <c r="P26" s="27"/>
      <c r="Q26" s="36"/>
      <c r="R26" s="95">
        <v>1</v>
      </c>
      <c r="S26" s="96">
        <f ca="1">AI21/Investment*100</f>
        <v>211.72720288471888</v>
      </c>
      <c r="T26" s="97">
        <f ca="1">EXP(y_inter1-(slope*LN(+S26)))</f>
        <v>7.856513713821041</v>
      </c>
      <c r="U26" s="98">
        <f ca="1">(+S26*T26/100)/100</f>
        <v>0.16634376730527639</v>
      </c>
      <c r="V26" s="98">
        <f>regDebt_weighted</f>
        <v>3.5860000000000003E-2</v>
      </c>
      <c r="W26" s="98">
        <f ca="1">+U26-V26</f>
        <v>0.13048376730527639</v>
      </c>
      <c r="X26" s="98">
        <f ca="1">+((W26*(1-0.34))-Pfd_weighted)/Equity_percent</f>
        <v>0.23235257680663493</v>
      </c>
      <c r="Y26" s="98">
        <f ca="1">+X26*equityP</f>
        <v>0.13941154608398096</v>
      </c>
      <c r="Z26" s="98">
        <f ca="1">+Y26/(1-taxrate)</f>
        <v>0.17647031149871006</v>
      </c>
      <c r="AA26" s="98">
        <f>debtP*Debt_Rate</f>
        <v>1.2E-2</v>
      </c>
      <c r="AB26" s="98">
        <f ca="1">+AA26+Z26</f>
        <v>0.18847031149871007</v>
      </c>
      <c r="AC26" s="98">
        <f ca="1">+AB26/(S26/100)</f>
        <v>8.9015633764041313E-2</v>
      </c>
      <c r="AD26" s="98">
        <f ca="1">1-AC26</f>
        <v>0.91098436623595869</v>
      </c>
      <c r="AE26" s="99">
        <f ca="1">expenses/(AD26)</f>
        <v>4126802.683401146</v>
      </c>
      <c r="AF26" s="100">
        <f ca="1">+AE26-Revenue</f>
        <v>363295.93340114597</v>
      </c>
      <c r="AG26" s="101">
        <f ca="1">+AF26/$J$49</f>
        <v>407672.31830088591</v>
      </c>
      <c r="AH26" s="101">
        <f ca="1">+AG26*$J$47</f>
        <v>9213.3943936000214</v>
      </c>
      <c r="AI26" s="99">
        <f ca="1">ROUND(+AH26+AE26,5)</f>
        <v>4136016.07779</v>
      </c>
    </row>
    <row r="27" spans="1:35" ht="15.75">
      <c r="A27" s="27"/>
      <c r="B27" s="27"/>
      <c r="C27" s="27"/>
      <c r="D27" s="27"/>
      <c r="E27" s="27"/>
      <c r="F27" s="78">
        <f t="shared" si="0"/>
        <v>21</v>
      </c>
      <c r="H27" s="68" t="s">
        <v>110</v>
      </c>
      <c r="I27" s="127">
        <f>IF(A65=TRUE,C8,0)</f>
        <v>0.4</v>
      </c>
      <c r="J27" s="129">
        <f>+I27*J28</f>
        <v>781384.87126984308</v>
      </c>
      <c r="K27" s="104">
        <f>IF(A65=TRUE,C9,0)</f>
        <v>0.03</v>
      </c>
      <c r="L27" s="127">
        <f>+K27*I27</f>
        <v>1.2E-2</v>
      </c>
      <c r="M27" s="69">
        <f>+K27*J27</f>
        <v>23441.546138095291</v>
      </c>
      <c r="O27" s="27"/>
      <c r="P27" s="27"/>
      <c r="Q27" s="36"/>
      <c r="R27" s="70">
        <v>2</v>
      </c>
      <c r="S27" s="71">
        <f ca="1">AI22/Investment*100</f>
        <v>211.36170360196994</v>
      </c>
      <c r="T27" s="85">
        <f ca="1">EXP(y_inter2-(slope*LN(+S27)))</f>
        <v>7.7538863497625981</v>
      </c>
      <c r="U27" s="73">
        <f ca="1">(+S27*T27/100)/100</f>
        <v>0.1638874628421883</v>
      </c>
      <c r="V27" s="73">
        <f>regDebt_weighted</f>
        <v>3.5860000000000003E-2</v>
      </c>
      <c r="W27" s="73">
        <f ca="1">+U27-V27</f>
        <v>0.1280274628421883</v>
      </c>
      <c r="X27" s="73">
        <f ca="1">+((W27*(1-0.34))-Pfd_weighted)/Equity_percent</f>
        <v>0.22763989963908221</v>
      </c>
      <c r="Y27" s="73">
        <f ca="1">+X27*equityP</f>
        <v>0.13658393978344932</v>
      </c>
      <c r="Z27" s="73">
        <f ca="1">+Y27/(1-taxrate)</f>
        <v>0.17289106301702445</v>
      </c>
      <c r="AA27" s="73">
        <f>debtP*Debt_Rate</f>
        <v>1.2E-2</v>
      </c>
      <c r="AB27" s="73">
        <f ca="1">+AA27+Z27</f>
        <v>0.18489106301702446</v>
      </c>
      <c r="AC27" s="73">
        <f ca="1">+AB27/(S27/100)</f>
        <v>8.747614154606069E-2</v>
      </c>
      <c r="AD27" s="73">
        <f ca="1">1-AC27</f>
        <v>0.91252385845393935</v>
      </c>
      <c r="AE27" s="74">
        <f ca="1">expenses/(AD27)</f>
        <v>4119840.4757203497</v>
      </c>
      <c r="AF27" s="75">
        <f ca="1">+AE27-Revenue</f>
        <v>356333.7257203497</v>
      </c>
      <c r="AG27" s="76">
        <f ca="1">+AF27/$J$49</f>
        <v>399859.68104081386</v>
      </c>
      <c r="AH27" s="76">
        <f ca="1">+AG27*$J$47</f>
        <v>9036.8287915223937</v>
      </c>
      <c r="AI27" s="74">
        <f ca="1">ROUND(+AH27+AE27,5)</f>
        <v>4128877.3045100002</v>
      </c>
    </row>
    <row r="28" spans="1:35" ht="16.5" thickBot="1">
      <c r="A28" s="27"/>
      <c r="B28" s="27"/>
      <c r="C28" s="27"/>
      <c r="D28" s="27"/>
      <c r="E28" s="27"/>
      <c r="F28" s="78">
        <f t="shared" si="0"/>
        <v>22</v>
      </c>
      <c r="H28" s="68" t="s">
        <v>2</v>
      </c>
      <c r="I28" s="130">
        <f>SUM(I26:I27)</f>
        <v>1</v>
      </c>
      <c r="J28" s="131">
        <f>IF(A65=TRUE,C7,0)</f>
        <v>1953462.1781746075</v>
      </c>
      <c r="K28" s="132"/>
      <c r="L28" s="133">
        <f ca="1">SUM(L26:L27)</f>
        <v>0.14637481232875821</v>
      </c>
      <c r="M28" s="131">
        <f ca="1">SUM(M26:M27)</f>
        <v>285937.6597216354</v>
      </c>
      <c r="O28" s="27"/>
      <c r="P28" s="27"/>
      <c r="Q28" s="36"/>
      <c r="R28" s="79">
        <v>3</v>
      </c>
      <c r="S28" s="71">
        <f ca="1">AI23/Investment*100</f>
        <v>211.11570268504968</v>
      </c>
      <c r="T28" s="72">
        <f ca="1">EXP(y_inter3-(slope*LN(S28)))</f>
        <v>7.6846156250883508</v>
      </c>
      <c r="U28" s="73">
        <f ca="1">(+S28*T28/100)/100</f>
        <v>0.16223430275550396</v>
      </c>
      <c r="V28" s="73">
        <f>regDebt_weighted</f>
        <v>3.5860000000000003E-2</v>
      </c>
      <c r="W28" s="73">
        <f ca="1">+U28-V28</f>
        <v>0.12637430275550396</v>
      </c>
      <c r="X28" s="73">
        <f ca="1">+((W28*(1-0.34))-Pfd_weighted)/Equity_percent</f>
        <v>0.22446813900765294</v>
      </c>
      <c r="Y28" s="73">
        <f ca="1">+X28*equityP</f>
        <v>0.13468088340459175</v>
      </c>
      <c r="Z28" s="73">
        <f ca="1">+Y28/(1-taxrate)</f>
        <v>0.17048213089188829</v>
      </c>
      <c r="AA28" s="73">
        <f>debtP*Debt_Rate</f>
        <v>1.2E-2</v>
      </c>
      <c r="AB28" s="73">
        <f ca="1">+AA28+Z28</f>
        <v>0.18248213089188831</v>
      </c>
      <c r="AC28" s="73">
        <f ca="1">+AB28/(S28/100)</f>
        <v>8.643702413937536E-2</v>
      </c>
      <c r="AD28" s="73">
        <f ca="1">1-AC28</f>
        <v>0.91356297586062463</v>
      </c>
      <c r="AE28" s="74">
        <f ca="1">expenses/(AD28)</f>
        <v>4115154.4299148545</v>
      </c>
      <c r="AF28" s="75">
        <f ca="1">+AE28-Revenue</f>
        <v>351647.67991485447</v>
      </c>
      <c r="AG28" s="76">
        <f ca="1">+AF28/$J$49</f>
        <v>394601.23749231151</v>
      </c>
      <c r="AH28" s="76">
        <f ca="1">+AG28*$J$47</f>
        <v>8917.9879673262403</v>
      </c>
      <c r="AI28" s="74">
        <f ca="1">ROUND(+AH28+AE28,5)</f>
        <v>4124072.4178800001</v>
      </c>
    </row>
    <row r="29" spans="1:35" ht="16.5" thickTop="1">
      <c r="A29" s="27"/>
      <c r="B29" s="27"/>
      <c r="C29" s="27"/>
      <c r="D29" s="27"/>
      <c r="E29" s="27"/>
      <c r="F29" s="78">
        <f t="shared" si="0"/>
        <v>23</v>
      </c>
      <c r="G29" s="3"/>
      <c r="H29" s="3"/>
      <c r="I29" s="3"/>
      <c r="J29" s="3"/>
      <c r="K29" s="3"/>
      <c r="L29" s="3"/>
      <c r="M29" s="3"/>
      <c r="N29" s="3"/>
      <c r="O29" s="27"/>
      <c r="P29" s="27"/>
      <c r="Q29" s="36"/>
      <c r="R29" s="82">
        <v>4</v>
      </c>
      <c r="S29" s="71">
        <f ca="1">AI24/Investment*100</f>
        <v>210.9584302052277</v>
      </c>
      <c r="T29" s="88">
        <f ca="1">EXP(y_inter4-(slope*LN(S29)))</f>
        <v>7.6402464094312039</v>
      </c>
      <c r="U29" s="73">
        <f ca="1">(+S29*T29/100)/100</f>
        <v>0.1611774388914734</v>
      </c>
      <c r="V29" s="73">
        <f>regDebt_weighted</f>
        <v>3.5860000000000003E-2</v>
      </c>
      <c r="W29" s="73">
        <f ca="1">+U29-V29</f>
        <v>0.1253174388914734</v>
      </c>
      <c r="X29" s="73">
        <f ca="1">+((W29*(1-0.34))-Pfd_weighted)/Equity_percent</f>
        <v>0.22244043508247799</v>
      </c>
      <c r="Y29" s="73">
        <f ca="1">+X29*equityP</f>
        <v>0.13346426104948678</v>
      </c>
      <c r="Z29" s="73">
        <f ca="1">+Y29/(1-taxrate)</f>
        <v>0.16894210259428705</v>
      </c>
      <c r="AA29" s="73">
        <f>debtP*Debt_Rate</f>
        <v>1.2E-2</v>
      </c>
      <c r="AB29" s="73">
        <f ca="1">+AA29+Z29</f>
        <v>0.18094210259428706</v>
      </c>
      <c r="AC29" s="73">
        <f ca="1">+AB29/(S29/100)</f>
        <v>8.577144910410088E-2</v>
      </c>
      <c r="AD29" s="73">
        <f ca="1">1-AC29</f>
        <v>0.91422855089589916</v>
      </c>
      <c r="AE29" s="74">
        <f ca="1">expenses/(AD29)</f>
        <v>4112158.5225433698</v>
      </c>
      <c r="AF29" s="75">
        <f ca="1">+AE29-Revenue</f>
        <v>348651.77254336979</v>
      </c>
      <c r="AG29" s="76">
        <f ca="1">+AF29/$J$49</f>
        <v>391239.38179490884</v>
      </c>
      <c r="AH29" s="76">
        <f ca="1">+AG29*$J$47</f>
        <v>8842.0100285649405</v>
      </c>
      <c r="AI29" s="74">
        <f ca="1">ROUND(+AH29+AE29,5)</f>
        <v>4121000.5325699998</v>
      </c>
    </row>
    <row r="30" spans="1:35" ht="15.75">
      <c r="A30" s="27"/>
      <c r="B30" s="27"/>
      <c r="C30" s="27"/>
      <c r="D30" s="27"/>
      <c r="E30" s="27"/>
      <c r="F30" s="78">
        <f t="shared" si="0"/>
        <v>24</v>
      </c>
      <c r="G30" s="3"/>
      <c r="H30" s="3"/>
      <c r="I30" s="3"/>
      <c r="J30" s="134" t="s">
        <v>156</v>
      </c>
      <c r="K30" s="134" t="s">
        <v>157</v>
      </c>
      <c r="L30" s="3"/>
      <c r="M30" s="3"/>
      <c r="N30" s="3"/>
      <c r="O30" s="27"/>
      <c r="P30" s="27"/>
      <c r="Q30" s="36"/>
      <c r="R30" s="42" t="s">
        <v>158</v>
      </c>
      <c r="W30" s="126"/>
      <c r="X30" s="10"/>
      <c r="Y30" s="72"/>
      <c r="Z30" s="72"/>
      <c r="AA30" s="10"/>
      <c r="AC30" s="10"/>
      <c r="AD30" s="10"/>
      <c r="AE30" s="72"/>
      <c r="AF30" s="126"/>
      <c r="AH30" s="72"/>
    </row>
    <row r="31" spans="1:35" ht="15.75">
      <c r="A31" s="27"/>
      <c r="B31" s="27"/>
      <c r="C31" s="27"/>
      <c r="D31" s="27"/>
      <c r="E31" s="27"/>
      <c r="F31" s="78">
        <f t="shared" si="0"/>
        <v>25</v>
      </c>
      <c r="G31" s="3"/>
      <c r="H31" s="135" t="s">
        <v>159</v>
      </c>
      <c r="I31" s="136"/>
      <c r="J31" s="137" t="s">
        <v>160</v>
      </c>
      <c r="K31" s="137" t="s">
        <v>160</v>
      </c>
      <c r="L31" s="3"/>
      <c r="M31" s="3"/>
      <c r="N31" s="3"/>
      <c r="O31" s="27"/>
      <c r="P31" s="27"/>
      <c r="Q31" s="36"/>
      <c r="R31" s="95">
        <v>1</v>
      </c>
      <c r="S31" s="96">
        <f ca="1">AI26/Investment*100</f>
        <v>211.72747156307156</v>
      </c>
      <c r="T31" s="97">
        <f ca="1">EXP(y_inter1-(slope*LN(+S31)))</f>
        <v>7.8565068977838894</v>
      </c>
      <c r="U31" s="98">
        <f ca="1">(+S31*T31/100)/100</f>
        <v>0.16634383407856138</v>
      </c>
      <c r="V31" s="98">
        <f>regDebt_weighted</f>
        <v>3.5860000000000003E-2</v>
      </c>
      <c r="W31" s="98">
        <f ca="1">+U31-V31</f>
        <v>0.13048383407856137</v>
      </c>
      <c r="X31" s="98">
        <f ca="1">+((W31*(1-0.34))-Pfd_weighted)/Equity_percent</f>
        <v>0.23235270491817006</v>
      </c>
      <c r="Y31" s="98">
        <f ca="1">+X31*equityP</f>
        <v>0.13941162295090204</v>
      </c>
      <c r="Z31" s="98">
        <f ca="1">+Y31/(1-taxrate)</f>
        <v>0.17647040879861017</v>
      </c>
      <c r="AA31" s="98">
        <f>debtP*Debt_Rate</f>
        <v>1.2E-2</v>
      </c>
      <c r="AB31" s="98">
        <f ca="1">+AA31+Z31</f>
        <v>0.18847040879861018</v>
      </c>
      <c r="AC31" s="98">
        <f ca="1">+AB31/(S31/100)</f>
        <v>8.9015566760058659E-2</v>
      </c>
      <c r="AD31" s="98">
        <f ca="1">1-AC31</f>
        <v>0.91098443323994138</v>
      </c>
      <c r="AE31" s="99">
        <f ca="1">expenses/(AD31)</f>
        <v>4126802.3798699272</v>
      </c>
      <c r="AF31" s="100">
        <f ca="1">+AE31-Revenue</f>
        <v>363295.62986992719</v>
      </c>
      <c r="AG31" s="101">
        <f ca="1">+AF31/$J$49</f>
        <v>407671.97769350698</v>
      </c>
      <c r="AH31" s="101">
        <f ca="1">+AG31*$J$47</f>
        <v>9213.3866958732578</v>
      </c>
      <c r="AI31" s="99">
        <f ca="1">ROUND(+AH31+AE31,5)</f>
        <v>4136015.76657</v>
      </c>
    </row>
    <row r="32" spans="1:35" ht="15.75">
      <c r="A32" s="27"/>
      <c r="B32" s="27"/>
      <c r="C32" s="27"/>
      <c r="D32" s="27"/>
      <c r="E32" s="27"/>
      <c r="F32" s="78">
        <f t="shared" si="0"/>
        <v>26</v>
      </c>
      <c r="G32" s="3"/>
      <c r="H32" s="52"/>
      <c r="I32" s="52"/>
      <c r="J32" s="52"/>
      <c r="K32" s="52"/>
      <c r="L32" s="3"/>
      <c r="M32" s="3"/>
      <c r="N32" s="3"/>
      <c r="O32" s="27"/>
      <c r="P32" s="27"/>
      <c r="Q32" s="36"/>
      <c r="R32" s="70">
        <v>2</v>
      </c>
      <c r="S32" s="71">
        <f ca="1">AI27/Investment*100</f>
        <v>211.36202945931552</v>
      </c>
      <c r="T32" s="85">
        <f ca="1">EXP(y_inter2-(slope*LN(+S32)))</f>
        <v>7.7538781770428722</v>
      </c>
      <c r="U32" s="73">
        <f ca="1">(+S32*T32/100)/100</f>
        <v>0.16388754276800793</v>
      </c>
      <c r="V32" s="73">
        <f>regDebt_weighted</f>
        <v>3.5860000000000003E-2</v>
      </c>
      <c r="W32" s="73">
        <f ca="1">+U32-V32</f>
        <v>0.12802754276800793</v>
      </c>
      <c r="X32" s="73">
        <f ca="1">+((W32*(1-0.34))-Pfd_weighted)/Equity_percent</f>
        <v>0.22764005298513149</v>
      </c>
      <c r="Y32" s="73">
        <f ca="1">+X32*equityP</f>
        <v>0.13658403179107889</v>
      </c>
      <c r="Z32" s="73">
        <f ca="1">+Y32/(1-taxrate)</f>
        <v>0.17289117948237834</v>
      </c>
      <c r="AA32" s="73">
        <f>debtP*Debt_Rate</f>
        <v>1.2E-2</v>
      </c>
      <c r="AB32" s="73">
        <f ca="1">+AA32+Z32</f>
        <v>0.18489117948237835</v>
      </c>
      <c r="AC32" s="73">
        <f ca="1">+AB32/(S32/100)</f>
        <v>8.7476061786191134E-2</v>
      </c>
      <c r="AD32" s="73">
        <f ca="1">1-AC32</f>
        <v>0.91252393821380884</v>
      </c>
      <c r="AE32" s="74">
        <f ca="1">expenses/(AD32)</f>
        <v>4119840.1156224664</v>
      </c>
      <c r="AF32" s="75">
        <f ca="1">+AE32-Revenue</f>
        <v>356333.36562246643</v>
      </c>
      <c r="AG32" s="76">
        <f ca="1">+AF32/$J$49</f>
        <v>399859.27695718559</v>
      </c>
      <c r="AH32" s="76">
        <f ca="1">+AG32*$J$47</f>
        <v>9036.8196592323948</v>
      </c>
      <c r="AI32" s="74">
        <f ca="1">ROUND(+AH32+AE32,5)</f>
        <v>4128876.9352799999</v>
      </c>
    </row>
    <row r="33" spans="1:46" ht="15.75">
      <c r="A33" s="27"/>
      <c r="B33" s="27"/>
      <c r="C33" s="27"/>
      <c r="D33" s="27"/>
      <c r="E33" s="27"/>
      <c r="F33" s="78">
        <f t="shared" si="0"/>
        <v>27</v>
      </c>
      <c r="G33" s="3"/>
      <c r="H33" s="52" t="s">
        <v>161</v>
      </c>
      <c r="I33" s="52"/>
      <c r="J33" s="138">
        <f ca="1">+K9/J28</f>
        <v>0.18209469915032683</v>
      </c>
      <c r="K33" s="138">
        <f ca="1">+(M14+M11)/J28</f>
        <v>0.14637481232875821</v>
      </c>
      <c r="L33" s="3"/>
      <c r="M33" s="3"/>
      <c r="N33" s="3"/>
      <c r="O33" s="27"/>
      <c r="P33" s="27"/>
      <c r="Q33" s="36"/>
      <c r="R33" s="79">
        <v>3</v>
      </c>
      <c r="S33" s="71">
        <f ca="1">AI28/Investment*100</f>
        <v>211.11606172655448</v>
      </c>
      <c r="T33" s="72">
        <f ca="1">EXP(y_inter3-(slope*LN(S33)))</f>
        <v>7.6846066901374721</v>
      </c>
      <c r="U33" s="73">
        <f ca="1">(+S33*T33/100)/100</f>
        <v>0.16223439003393558</v>
      </c>
      <c r="V33" s="73">
        <f>regDebt_weighted</f>
        <v>3.5860000000000003E-2</v>
      </c>
      <c r="W33" s="73">
        <f ca="1">+U33-V33</f>
        <v>0.12637439003393558</v>
      </c>
      <c r="X33" s="73">
        <f ca="1">+((W33*(1-0.34))-Pfd_weighted)/Equity_percent</f>
        <v>0.22446830646045779</v>
      </c>
      <c r="Y33" s="73">
        <f ca="1">+X33*equityP</f>
        <v>0.13468098387627467</v>
      </c>
      <c r="Z33" s="73">
        <f ca="1">+Y33/(1-taxrate)</f>
        <v>0.17048225807123374</v>
      </c>
      <c r="AA33" s="73">
        <f>debtP*Debt_Rate</f>
        <v>1.2E-2</v>
      </c>
      <c r="AB33" s="73">
        <f ca="1">+AA33+Z33</f>
        <v>0.18248225807123375</v>
      </c>
      <c r="AC33" s="73">
        <f ca="1">+AB33/(S33/100)</f>
        <v>8.6436937378829889E-2</v>
      </c>
      <c r="AD33" s="73">
        <f ca="1">1-AC33</f>
        <v>0.91356306262117015</v>
      </c>
      <c r="AE33" s="74">
        <f ca="1">expenses/(AD33)</f>
        <v>4115154.0391010642</v>
      </c>
      <c r="AF33" s="75">
        <f ca="1">+AE33-Revenue</f>
        <v>351647.28910106421</v>
      </c>
      <c r="AG33" s="76">
        <f ca="1">+AF33/$J$49</f>
        <v>394600.79894084629</v>
      </c>
      <c r="AH33" s="76">
        <f ca="1">+AG33*$J$47</f>
        <v>8917.9780560631261</v>
      </c>
      <c r="AI33" s="74">
        <f ca="1">ROUND(+AH33+AE33,5)</f>
        <v>4124072.0171599998</v>
      </c>
    </row>
    <row r="34" spans="1:46" ht="15.75">
      <c r="A34" s="27"/>
      <c r="B34" s="27"/>
      <c r="C34" s="27"/>
      <c r="D34" s="27"/>
      <c r="E34" s="27"/>
      <c r="F34" s="78">
        <f t="shared" si="0"/>
        <v>28</v>
      </c>
      <c r="G34" s="3"/>
      <c r="H34" s="52" t="s">
        <v>162</v>
      </c>
      <c r="I34" s="52"/>
      <c r="J34" s="138">
        <f ca="1">+(M9-M11)/J26</f>
        <v>0.28349116525054474</v>
      </c>
      <c r="K34" s="138">
        <f ca="1">+M14/J26</f>
        <v>0.22395802054793035</v>
      </c>
      <c r="L34" s="3"/>
      <c r="M34" s="3"/>
      <c r="N34" s="3"/>
      <c r="O34" s="139"/>
      <c r="P34" s="27"/>
      <c r="Q34" s="36"/>
      <c r="R34" s="82">
        <v>4</v>
      </c>
      <c r="S34" s="71">
        <f ca="1">AI29/Investment*100</f>
        <v>210.95880834615522</v>
      </c>
      <c r="T34" s="88">
        <f ca="1">EXP(y_inter4-(slope*LN(S34)))</f>
        <v>7.6402370465387879</v>
      </c>
      <c r="U34" s="73">
        <f ca="1">(+S34*T34/100)/100</f>
        <v>0.16117753028199711</v>
      </c>
      <c r="V34" s="73">
        <f>regDebt_weighted</f>
        <v>3.5860000000000003E-2</v>
      </c>
      <c r="W34" s="73">
        <f ca="1">+U34-V34</f>
        <v>0.1253175302819971</v>
      </c>
      <c r="X34" s="73">
        <f ca="1">+((W34*(1-0.34))-Pfd_weighted)/Equity_percent</f>
        <v>0.22244061042476185</v>
      </c>
      <c r="Y34" s="73">
        <f ca="1">+X34*equityP</f>
        <v>0.13346436625485711</v>
      </c>
      <c r="Z34" s="73">
        <f ca="1">+Y34/(1-taxrate)</f>
        <v>0.16894223576564191</v>
      </c>
      <c r="AA34" s="73">
        <f>debtP*Debt_Rate</f>
        <v>1.2E-2</v>
      </c>
      <c r="AB34" s="73">
        <f ca="1">+AA34+Z34</f>
        <v>0.18094223576564192</v>
      </c>
      <c r="AC34" s="73">
        <f ca="1">+AB34/(S34/100)</f>
        <v>8.5771358486600793E-2</v>
      </c>
      <c r="AD34" s="73">
        <f ca="1">1-AC34</f>
        <v>0.91422864151339922</v>
      </c>
      <c r="AE34" s="74">
        <f ca="1">expenses/(AD34)</f>
        <v>4112158.1149500082</v>
      </c>
      <c r="AF34" s="75">
        <f ca="1">+AE34-Revenue</f>
        <v>348651.36495000822</v>
      </c>
      <c r="AG34" s="76">
        <f ca="1">+AF34/$J$49</f>
        <v>391238.92441425752</v>
      </c>
      <c r="AH34" s="76">
        <f ca="1">+AG34*$J$47</f>
        <v>8841.9996917622211</v>
      </c>
      <c r="AI34" s="74">
        <f ca="1">ROUND(+AH34+AE34,5)</f>
        <v>4121000.1146399998</v>
      </c>
    </row>
    <row r="35" spans="1:46" ht="15.75">
      <c r="A35" s="27"/>
      <c r="B35" s="27"/>
      <c r="C35" s="27"/>
      <c r="D35" s="27"/>
      <c r="E35" s="27"/>
      <c r="F35" s="78">
        <f t="shared" si="0"/>
        <v>29</v>
      </c>
      <c r="G35" s="3"/>
      <c r="H35" s="140" t="s">
        <v>112</v>
      </c>
      <c r="I35" s="52"/>
      <c r="J35" s="138">
        <f ca="1">+K8/K7</f>
        <v>0.91356000000000004</v>
      </c>
      <c r="K35" s="138">
        <f ca="1">+M8/M7</f>
        <v>0.91374692632383347</v>
      </c>
      <c r="L35" s="3"/>
      <c r="M35" s="3"/>
      <c r="N35" s="3"/>
      <c r="O35" s="27"/>
      <c r="P35" s="27"/>
      <c r="Q35" s="36"/>
      <c r="R35" s="42" t="s">
        <v>163</v>
      </c>
      <c r="X35" s="10"/>
      <c r="Y35" s="141"/>
      <c r="Z35" s="72"/>
      <c r="AA35" s="10"/>
      <c r="AC35" s="10"/>
      <c r="AD35" s="10"/>
      <c r="AE35" s="72"/>
      <c r="AF35" s="126"/>
      <c r="AH35" s="72"/>
    </row>
    <row r="36" spans="1:46" ht="15.75">
      <c r="A36" s="27"/>
      <c r="B36" s="27"/>
      <c r="C36" s="27"/>
      <c r="D36" s="27"/>
      <c r="E36" s="27"/>
      <c r="F36" s="78">
        <f t="shared" si="0"/>
        <v>30</v>
      </c>
      <c r="G36" s="3"/>
      <c r="H36" s="52" t="s">
        <v>164</v>
      </c>
      <c r="I36" s="52"/>
      <c r="J36" s="138">
        <f ca="1">+K9/K7</f>
        <v>8.643999999999992E-2</v>
      </c>
      <c r="K36" s="138">
        <f ca="1">+J36</f>
        <v>8.643999999999992E-2</v>
      </c>
      <c r="L36" s="3"/>
      <c r="M36" s="3"/>
      <c r="N36" s="3"/>
      <c r="O36" s="27"/>
      <c r="P36" s="27"/>
      <c r="Q36" s="36"/>
      <c r="R36" s="95">
        <v>1</v>
      </c>
      <c r="S36" s="96">
        <f ca="1">AI31/Investment*100</f>
        <v>211.72745563135794</v>
      </c>
      <c r="T36" s="97">
        <f ca="1">EXP(y_inter1-(slope*LN(+S36)))</f>
        <v>7.8565073019513347</v>
      </c>
      <c r="U36" s="98">
        <f ca="1">(+S36*T36/100)/100</f>
        <v>0.16634383011913412</v>
      </c>
      <c r="V36" s="98">
        <f>regDebt_weighted</f>
        <v>3.5860000000000003E-2</v>
      </c>
      <c r="W36" s="98">
        <f ca="1">+U36-V36</f>
        <v>0.13048383011913411</v>
      </c>
      <c r="X36" s="98">
        <f ca="1">+((W36*(1-0.34))-Pfd_weighted)/Equity_percent</f>
        <v>0.2323526973215945</v>
      </c>
      <c r="Y36" s="98">
        <f ca="1">+X36*equityP</f>
        <v>0.13941161839295668</v>
      </c>
      <c r="Z36" s="98">
        <f ca="1">+Y36/(1-taxrate)</f>
        <v>0.17647040302905909</v>
      </c>
      <c r="AA36" s="98">
        <f>debtP*Debt_Rate</f>
        <v>1.2E-2</v>
      </c>
      <c r="AB36" s="98">
        <f ca="1">+AA36+Z36</f>
        <v>0.1884704030290591</v>
      </c>
      <c r="AC36" s="98">
        <f ca="1">+AB36/(S36/100)</f>
        <v>8.9015570733163643E-2</v>
      </c>
      <c r="AD36" s="98">
        <f ca="1">1-AC36</f>
        <v>0.91098442926683632</v>
      </c>
      <c r="AE36" s="99">
        <f ca="1">expenses/(AD36)</f>
        <v>4126802.3978682803</v>
      </c>
      <c r="AF36" s="100">
        <f ca="1">+AE36-Revenue</f>
        <v>363295.6478682803</v>
      </c>
      <c r="AG36" s="101">
        <f ca="1">+AF36/$J$49</f>
        <v>407671.99789034837</v>
      </c>
      <c r="AH36" s="101">
        <f ca="1">+AG36*$J$47</f>
        <v>9213.3871523218731</v>
      </c>
      <c r="AI36" s="99">
        <f ca="1">ROUND(+AH36+AE36,5)</f>
        <v>4136015.7850199998</v>
      </c>
    </row>
    <row r="37" spans="1:46" ht="15.75">
      <c r="A37" s="27"/>
      <c r="B37" s="27"/>
      <c r="C37" s="27"/>
      <c r="D37" s="27"/>
      <c r="E37" s="27"/>
      <c r="F37" s="78">
        <f t="shared" si="0"/>
        <v>31</v>
      </c>
      <c r="G37" s="3"/>
      <c r="H37" s="52" t="s">
        <v>165</v>
      </c>
      <c r="I37" s="142"/>
      <c r="J37" s="143">
        <f ca="1">+S39/100</f>
        <v>2.1095878695183266</v>
      </c>
      <c r="K37" s="143">
        <f ca="1">+J37</f>
        <v>2.1095878695183266</v>
      </c>
      <c r="L37" s="3"/>
      <c r="M37" s="3"/>
      <c r="N37" s="3"/>
      <c r="O37" s="27"/>
      <c r="P37" s="27"/>
      <c r="Q37" s="36"/>
      <c r="R37" s="70">
        <v>2</v>
      </c>
      <c r="S37" s="71">
        <f ca="1">AI32/Investment*100</f>
        <v>211.36201055800251</v>
      </c>
      <c r="T37" s="85">
        <f ca="1">EXP(y_inter2-(slope*LN(+S37)))</f>
        <v>7.7538786510998419</v>
      </c>
      <c r="U37" s="73">
        <f ca="1">(+S37*T37/100)/100</f>
        <v>0.16388753813192347</v>
      </c>
      <c r="V37" s="73">
        <f>regDebt_weighted</f>
        <v>3.5860000000000003E-2</v>
      </c>
      <c r="W37" s="73">
        <f ca="1">+U37-V37</f>
        <v>0.12802753813192347</v>
      </c>
      <c r="X37" s="73">
        <f ca="1">+((W37*(1-0.34))-Pfd_weighted)/Equity_percent</f>
        <v>0.22764004409031827</v>
      </c>
      <c r="Y37" s="73">
        <f ca="1">+X37*equityP</f>
        <v>0.13658402645419096</v>
      </c>
      <c r="Z37" s="73">
        <f ca="1">+Y37/(1-taxrate)</f>
        <v>0.172891172726824</v>
      </c>
      <c r="AA37" s="73">
        <f>debtP*Debt_Rate</f>
        <v>1.2E-2</v>
      </c>
      <c r="AB37" s="73">
        <f ca="1">+AA37+Z37</f>
        <v>0.18489117272682401</v>
      </c>
      <c r="AC37" s="73">
        <f ca="1">+AB37/(S37/100)</f>
        <v>8.747606641264688E-2</v>
      </c>
      <c r="AD37" s="73">
        <f ca="1">1-AC37</f>
        <v>0.91252393358735318</v>
      </c>
      <c r="AE37" s="74">
        <f ca="1">expenses/(AD37)</f>
        <v>4119840.1365098725</v>
      </c>
      <c r="AF37" s="75">
        <f ca="1">+AE37-Revenue</f>
        <v>356333.38650987251</v>
      </c>
      <c r="AG37" s="76">
        <f ca="1">+AF37/$J$49</f>
        <v>399859.30039597605</v>
      </c>
      <c r="AH37" s="76">
        <f ca="1">+AG37*$J$47</f>
        <v>9036.8201889490592</v>
      </c>
      <c r="AI37" s="74">
        <f ca="1">ROUND(+AH37+AE37,5)</f>
        <v>4128876.9567</v>
      </c>
    </row>
    <row r="38" spans="1:46" ht="15.75">
      <c r="A38" s="27"/>
      <c r="B38" s="27"/>
      <c r="C38" s="27"/>
      <c r="D38" s="27"/>
      <c r="E38" s="27"/>
      <c r="F38" s="78">
        <f t="shared" si="0"/>
        <v>32</v>
      </c>
      <c r="G38" s="3"/>
      <c r="H38" s="52" t="s">
        <v>166</v>
      </c>
      <c r="I38" s="3"/>
      <c r="J38" s="138">
        <f>+C10</f>
        <v>0.21</v>
      </c>
      <c r="K38" s="138">
        <f>+J38</f>
        <v>0.21</v>
      </c>
      <c r="L38" s="3"/>
      <c r="M38" s="3"/>
      <c r="N38" s="3"/>
      <c r="O38" s="27"/>
      <c r="P38" s="27"/>
      <c r="Q38" s="144"/>
      <c r="R38" s="79">
        <v>3</v>
      </c>
      <c r="S38" s="71">
        <f ca="1">AI33/Investment*100</f>
        <v>211.1160412132318</v>
      </c>
      <c r="T38" s="72">
        <f ca="1">EXP(y_inter3-(slope*LN(S38)))</f>
        <v>7.6846072006224189</v>
      </c>
      <c r="U38" s="73">
        <f ca="1">(+S38*T38/100)/100</f>
        <v>0.16223438504741006</v>
      </c>
      <c r="V38" s="73">
        <f>regDebt_weighted</f>
        <v>3.5860000000000003E-2</v>
      </c>
      <c r="W38" s="73">
        <f ca="1">+U38-V38</f>
        <v>0.12637438504741005</v>
      </c>
      <c r="X38" s="73">
        <f ca="1">+((W38*(1-0.34))-Pfd_weighted)/Equity_percent</f>
        <v>0.22446829689328673</v>
      </c>
      <c r="Y38" s="73">
        <f ca="1">+X38*equityP</f>
        <v>0.13468097813597205</v>
      </c>
      <c r="Z38" s="73">
        <f ca="1">+Y38/(1-taxrate)</f>
        <v>0.17048225080502791</v>
      </c>
      <c r="AA38" s="73">
        <f>debtP*Debt_Rate</f>
        <v>1.2E-2</v>
      </c>
      <c r="AB38" s="73">
        <f ca="1">+AA38+Z38</f>
        <v>0.18248225080502792</v>
      </c>
      <c r="AC38" s="73">
        <f ca="1">+AB38/(S38/100)</f>
        <v>8.6436942335763517E-2</v>
      </c>
      <c r="AD38" s="73">
        <f ca="1">1-AC38</f>
        <v>0.91356305766423651</v>
      </c>
      <c r="AE38" s="74">
        <f ca="1">expenses/(AD38)</f>
        <v>4115154.0614296217</v>
      </c>
      <c r="AF38" s="75">
        <f ca="1">+AE38-Revenue</f>
        <v>351647.31142962165</v>
      </c>
      <c r="AG38" s="76">
        <f ca="1">+AF38/$J$49</f>
        <v>394600.82399682392</v>
      </c>
      <c r="AH38" s="76">
        <f ca="1">+AG38*$J$47</f>
        <v>8917.9786223282208</v>
      </c>
      <c r="AI38" s="74">
        <f ca="1">ROUND(+AH38+AE38,5)</f>
        <v>4124072.04005</v>
      </c>
    </row>
    <row r="39" spans="1:46" ht="15.75">
      <c r="A39" s="27"/>
      <c r="B39" s="27"/>
      <c r="C39" s="27"/>
      <c r="D39" s="27"/>
      <c r="E39" s="27"/>
      <c r="F39" s="78">
        <f t="shared" si="0"/>
        <v>33</v>
      </c>
      <c r="G39" s="3"/>
      <c r="H39" s="3"/>
      <c r="I39" s="3"/>
      <c r="J39" s="3"/>
      <c r="K39" s="3"/>
      <c r="L39" s="3"/>
      <c r="M39" s="3"/>
      <c r="N39" s="3"/>
      <c r="O39" s="27"/>
      <c r="P39" s="27"/>
      <c r="Q39" s="36"/>
      <c r="R39" s="82">
        <v>4</v>
      </c>
      <c r="S39" s="71">
        <f ca="1">AI34/Investment*100</f>
        <v>210.95878695183265</v>
      </c>
      <c r="T39" s="88">
        <f ca="1">EXP(y_inter4-(slope*LN(S39)))</f>
        <v>7.6402375762684223</v>
      </c>
      <c r="U39" s="73">
        <f ca="1">(+S39*T39/100)/100</f>
        <v>0.16117752511133962</v>
      </c>
      <c r="V39" s="73">
        <f>regDebt_weighted</f>
        <v>3.5860000000000003E-2</v>
      </c>
      <c r="W39" s="73">
        <f ca="1">+U39-V39</f>
        <v>0.12531752511133962</v>
      </c>
      <c r="X39" s="73">
        <f ca="1">+((W39*(1-0.34))-Pfd_weighted)/Equity_percent</f>
        <v>0.22244060050431436</v>
      </c>
      <c r="Y39" s="73">
        <f ca="1">+X39*equityP</f>
        <v>0.1334643603025886</v>
      </c>
      <c r="Z39" s="73">
        <f ca="1">+Y39/(1-taxrate)</f>
        <v>0.16894222823112479</v>
      </c>
      <c r="AA39" s="73">
        <f>debtP*Debt_Rate</f>
        <v>1.2E-2</v>
      </c>
      <c r="AB39" s="73">
        <f ca="1">+AA39+Z39</f>
        <v>0.1809422282311248</v>
      </c>
      <c r="AC39" s="73">
        <f ca="1">+AB39/(S39/100)</f>
        <v>8.5771363613518781E-2</v>
      </c>
      <c r="AD39" s="73">
        <f ca="1">1-AC39</f>
        <v>0.91422863638648122</v>
      </c>
      <c r="AE39" s="74">
        <f ca="1">expenses/(AD39)</f>
        <v>4112158.1380106485</v>
      </c>
      <c r="AF39" s="75">
        <f ca="1">+AE39-Revenue</f>
        <v>348651.38801064854</v>
      </c>
      <c r="AG39" s="76">
        <f ca="1">+AF39/$J$49</f>
        <v>391238.95029174152</v>
      </c>
      <c r="AH39" s="76">
        <f ca="1">+AG39*$J$47</f>
        <v>8842.0002765933586</v>
      </c>
      <c r="AI39" s="74">
        <f ca="1">ROUND(+AH39+AE39,5)</f>
        <v>4121000.1382900001</v>
      </c>
    </row>
    <row r="40" spans="1:46" ht="15.75">
      <c r="A40" s="27"/>
      <c r="B40" s="27"/>
      <c r="C40" s="27"/>
      <c r="D40" s="27"/>
      <c r="E40" s="27"/>
      <c r="F40" s="78">
        <f t="shared" si="0"/>
        <v>34</v>
      </c>
      <c r="G40" s="142"/>
      <c r="H40" s="3"/>
      <c r="I40" s="3"/>
      <c r="J40" s="3"/>
      <c r="K40" s="3"/>
      <c r="L40" s="3"/>
      <c r="M40" s="3"/>
      <c r="N40" s="3"/>
      <c r="O40" s="27"/>
      <c r="P40" s="27"/>
      <c r="Q40" s="36"/>
      <c r="R40" s="42"/>
      <c r="X40" s="10"/>
      <c r="Y40" s="141"/>
      <c r="Z40" s="72"/>
      <c r="AA40" s="10"/>
      <c r="AC40" s="10"/>
      <c r="AD40" s="10"/>
      <c r="AE40" s="72"/>
      <c r="AF40" s="126"/>
      <c r="AH40" s="72"/>
    </row>
    <row r="41" spans="1:46" ht="15.75">
      <c r="A41" s="27"/>
      <c r="B41" s="27"/>
      <c r="C41" s="27"/>
      <c r="D41" s="27"/>
      <c r="E41" s="27"/>
      <c r="F41" s="78">
        <f t="shared" si="0"/>
        <v>35</v>
      </c>
      <c r="G41" s="3"/>
      <c r="H41" s="135" t="s">
        <v>167</v>
      </c>
      <c r="I41" s="145"/>
      <c r="J41" s="3"/>
      <c r="K41" s="3"/>
      <c r="L41" s="3"/>
      <c r="M41" s="3"/>
      <c r="N41" s="3"/>
      <c r="O41" s="27"/>
      <c r="P41" s="27"/>
      <c r="Q41" s="36"/>
      <c r="R41" s="146" t="s">
        <v>168</v>
      </c>
      <c r="S41" s="147"/>
      <c r="T41" s="148"/>
      <c r="U41" s="148"/>
      <c r="V41" s="149"/>
      <c r="X41" s="150"/>
      <c r="Y41" s="141"/>
      <c r="Z41" s="72"/>
      <c r="AA41" s="10"/>
      <c r="AC41" s="10"/>
      <c r="AD41" s="10"/>
      <c r="AE41" s="72"/>
      <c r="AF41" s="126"/>
      <c r="AH41" s="72"/>
    </row>
    <row r="42" spans="1:46" ht="15.75">
      <c r="A42" s="27"/>
      <c r="B42" s="27"/>
      <c r="C42" s="27"/>
      <c r="D42" s="27"/>
      <c r="E42" s="27"/>
      <c r="F42" s="78">
        <f t="shared" si="0"/>
        <v>36</v>
      </c>
      <c r="G42" s="3"/>
      <c r="H42" s="3"/>
      <c r="I42" s="3"/>
      <c r="J42" s="151" t="s">
        <v>169</v>
      </c>
      <c r="K42" s="152" t="s">
        <v>113</v>
      </c>
      <c r="L42" s="3"/>
      <c r="M42" s="3"/>
      <c r="N42" s="3"/>
      <c r="O42" s="27"/>
      <c r="P42" s="27"/>
      <c r="Q42" s="36"/>
      <c r="R42" s="153" t="s">
        <v>170</v>
      </c>
      <c r="S42" s="154"/>
      <c r="V42" s="155"/>
      <c r="X42" s="10"/>
      <c r="Y42" s="141"/>
      <c r="Z42" s="72"/>
      <c r="AA42" s="10"/>
      <c r="AC42" s="10"/>
      <c r="AD42" s="10"/>
      <c r="AE42" s="72"/>
      <c r="AH42" s="72"/>
    </row>
    <row r="43" spans="1:46" ht="15.75">
      <c r="A43" s="27"/>
      <c r="B43" s="27"/>
      <c r="C43" s="27"/>
      <c r="D43" s="27"/>
      <c r="E43" s="27"/>
      <c r="F43" s="78">
        <f t="shared" si="0"/>
        <v>37</v>
      </c>
      <c r="G43" s="3"/>
      <c r="H43" s="52" t="s">
        <v>171</v>
      </c>
      <c r="I43" s="156"/>
      <c r="J43" s="157">
        <f>IF($A$65=TRUE,C11,0)</f>
        <v>1.7500000000000002E-2</v>
      </c>
      <c r="K43" s="158">
        <f ca="1">+J43*($J$7/$J$49)</f>
        <v>6905.7848952074164</v>
      </c>
      <c r="L43" s="3"/>
      <c r="M43" s="3"/>
      <c r="N43" s="3"/>
      <c r="O43" s="27"/>
      <c r="P43" s="27"/>
      <c r="Q43" s="36"/>
      <c r="R43" s="79">
        <v>0</v>
      </c>
      <c r="S43" s="159">
        <v>1</v>
      </c>
      <c r="U43" s="160" t="s">
        <v>164</v>
      </c>
      <c r="V43" s="161">
        <f ca="1">VLOOKUP(R49,R36:AE39,12)</f>
        <v>8.6436942335763517E-2</v>
      </c>
      <c r="AA43" s="10"/>
      <c r="AC43" s="10"/>
      <c r="AH43" s="72"/>
      <c r="AL43" s="10"/>
      <c r="AM43" s="10"/>
      <c r="AN43" s="10"/>
      <c r="AO43" s="10"/>
      <c r="AP43" s="10"/>
      <c r="AQ43" s="10"/>
      <c r="AR43" s="10"/>
      <c r="AS43" s="10"/>
      <c r="AT43" s="10"/>
    </row>
    <row r="44" spans="1:46" ht="15.75">
      <c r="A44" s="27"/>
      <c r="B44" s="27"/>
      <c r="C44" s="27"/>
      <c r="D44" s="27"/>
      <c r="E44" s="27"/>
      <c r="F44" s="78">
        <f t="shared" si="0"/>
        <v>38</v>
      </c>
      <c r="G44" s="3"/>
      <c r="H44" s="52" t="s">
        <v>172</v>
      </c>
      <c r="I44" s="156"/>
      <c r="J44" s="157">
        <f>IF($A$65=TRUE,C12,0)</f>
        <v>5.1000000000000004E-3</v>
      </c>
      <c r="K44" s="158">
        <f ca="1">+J44*($J$7/$J$49)</f>
        <v>2012.5430266033043</v>
      </c>
      <c r="L44" s="3"/>
      <c r="M44" s="3"/>
      <c r="N44" s="3"/>
      <c r="O44" s="27"/>
      <c r="P44" s="27"/>
      <c r="Q44" s="36"/>
      <c r="R44" s="79">
        <v>50</v>
      </c>
      <c r="S44" s="159">
        <v>2</v>
      </c>
      <c r="U44" s="160" t="s">
        <v>112</v>
      </c>
      <c r="V44" s="161">
        <f ca="1">ROUND(1-V43,5)</f>
        <v>0.91356000000000004</v>
      </c>
      <c r="Y44" s="162"/>
      <c r="Z44" s="42"/>
      <c r="AA44" s="42"/>
      <c r="AC44" s="10"/>
      <c r="AF44" s="126"/>
      <c r="AH44" s="72"/>
      <c r="AL44" s="10"/>
      <c r="AM44" s="10"/>
      <c r="AN44" s="10"/>
      <c r="AO44" s="10"/>
      <c r="AP44" s="10"/>
      <c r="AQ44" s="10"/>
      <c r="AR44" s="10"/>
      <c r="AS44" s="10"/>
      <c r="AT44" s="10"/>
    </row>
    <row r="45" spans="1:46" ht="15.75">
      <c r="A45" s="27"/>
      <c r="B45" s="27"/>
      <c r="C45" s="27"/>
      <c r="D45" s="27"/>
      <c r="E45" s="27"/>
      <c r="F45" s="78">
        <f t="shared" si="0"/>
        <v>39</v>
      </c>
      <c r="G45" s="3"/>
      <c r="H45" s="52" t="s">
        <v>173</v>
      </c>
      <c r="I45" s="156"/>
      <c r="J45" s="157">
        <f>IF($A$65=TRUE,C13,0)</f>
        <v>0</v>
      </c>
      <c r="K45" s="158">
        <f ca="1">+J45*($J$7/$J$49)</f>
        <v>0</v>
      </c>
      <c r="L45" s="3"/>
      <c r="M45" s="3"/>
      <c r="N45" s="3"/>
      <c r="O45" s="27"/>
      <c r="P45" s="27"/>
      <c r="Q45" s="36"/>
      <c r="R45" s="79">
        <v>125</v>
      </c>
      <c r="S45" s="159">
        <v>3</v>
      </c>
      <c r="U45" t="s">
        <v>174</v>
      </c>
      <c r="V45" s="163">
        <f ca="1">+M7/Revenue-1</f>
        <v>9.5809423665071058E-2</v>
      </c>
      <c r="W45" s="76"/>
      <c r="X45" s="10"/>
      <c r="Y45" s="162"/>
      <c r="Z45" s="72"/>
      <c r="AA45" s="10"/>
      <c r="AC45" s="10"/>
      <c r="AD45" s="10"/>
      <c r="AE45" s="72"/>
      <c r="AF45" s="126"/>
      <c r="AH45" s="72"/>
      <c r="AL45" s="10"/>
      <c r="AM45" s="10"/>
      <c r="AN45" s="10"/>
      <c r="AO45" s="10"/>
      <c r="AP45" s="10"/>
      <c r="AQ45" s="10"/>
      <c r="AR45" s="10"/>
      <c r="AS45" s="10"/>
      <c r="AT45" s="10"/>
    </row>
    <row r="46" spans="1:46" ht="15.75">
      <c r="A46" s="27"/>
      <c r="B46" s="27"/>
      <c r="C46" s="27"/>
      <c r="D46" s="27"/>
      <c r="E46" s="27"/>
      <c r="F46" s="78">
        <f t="shared" si="0"/>
        <v>40</v>
      </c>
      <c r="G46" s="3"/>
      <c r="H46" s="52" t="s">
        <v>175</v>
      </c>
      <c r="I46" s="156"/>
      <c r="J46" s="157">
        <f>IF($A$65=TRUE,C14,0)</f>
        <v>0</v>
      </c>
      <c r="K46" s="158">
        <f ca="1">+J46*($J$7/$J$49)</f>
        <v>0</v>
      </c>
      <c r="L46" s="3"/>
      <c r="M46" s="3"/>
      <c r="N46" s="3"/>
      <c r="O46" s="27"/>
      <c r="P46" s="27"/>
      <c r="Q46" s="36"/>
      <c r="R46" s="82">
        <v>401</v>
      </c>
      <c r="S46" s="164">
        <v>4</v>
      </c>
      <c r="T46" s="165"/>
      <c r="U46" s="165"/>
      <c r="V46" s="166"/>
      <c r="X46" s="10"/>
      <c r="Y46" s="141"/>
      <c r="Z46" s="72"/>
      <c r="AA46" s="10"/>
      <c r="AC46" s="10"/>
      <c r="AD46" s="10"/>
      <c r="AE46" s="72"/>
      <c r="AF46" s="126"/>
      <c r="AH46" s="72"/>
      <c r="AL46" s="10"/>
      <c r="AM46" s="10"/>
      <c r="AN46" s="10"/>
      <c r="AO46" s="10"/>
      <c r="AP46" s="10"/>
      <c r="AQ46" s="10"/>
      <c r="AR46" s="10"/>
      <c r="AS46" s="10"/>
      <c r="AT46" s="10"/>
    </row>
    <row r="47" spans="1:46" ht="16.5" thickBot="1">
      <c r="A47" s="27"/>
      <c r="B47" s="27"/>
      <c r="C47" s="27"/>
      <c r="D47" s="27"/>
      <c r="E47" s="27"/>
      <c r="F47" s="78">
        <f t="shared" si="0"/>
        <v>41</v>
      </c>
      <c r="G47" s="3"/>
      <c r="H47" s="52" t="s">
        <v>176</v>
      </c>
      <c r="I47" s="142"/>
      <c r="J47" s="167">
        <f>SUM(J43:J46)</f>
        <v>2.2600000000000002E-2</v>
      </c>
      <c r="K47" s="131">
        <f ca="1">+K43+K44+K45+K46</f>
        <v>8918.32792181072</v>
      </c>
      <c r="L47" s="3"/>
      <c r="M47" s="3"/>
      <c r="N47" s="3"/>
      <c r="O47" s="27"/>
      <c r="P47" s="27"/>
      <c r="Q47" s="36"/>
      <c r="R47" s="79"/>
      <c r="S47" s="42"/>
      <c r="X47" s="10"/>
      <c r="Y47" s="141"/>
      <c r="Z47" s="72"/>
      <c r="AA47" s="10"/>
      <c r="AC47" s="10"/>
      <c r="AD47" s="10"/>
      <c r="AE47" s="72"/>
      <c r="AF47" s="126"/>
      <c r="AH47" s="72"/>
      <c r="AL47" s="10"/>
      <c r="AM47" s="10"/>
      <c r="AN47" s="10"/>
      <c r="AO47" s="10"/>
      <c r="AP47" s="10"/>
      <c r="AQ47" s="10"/>
      <c r="AR47" s="10"/>
      <c r="AS47" s="10"/>
      <c r="AT47" s="10"/>
    </row>
    <row r="48" spans="1:46" ht="16.5" thickTop="1">
      <c r="A48" s="27"/>
      <c r="B48" s="27"/>
      <c r="C48" s="27"/>
      <c r="D48" s="27"/>
      <c r="E48" s="27"/>
      <c r="F48" s="78">
        <f t="shared" si="0"/>
        <v>42</v>
      </c>
      <c r="G48" s="3"/>
      <c r="H48" s="52"/>
      <c r="I48" s="142"/>
      <c r="J48" s="157"/>
      <c r="K48" s="69"/>
      <c r="L48" s="3"/>
      <c r="M48" s="3"/>
      <c r="N48" s="3"/>
      <c r="O48" s="27"/>
      <c r="P48" s="27"/>
      <c r="Q48" s="36"/>
      <c r="R48" s="168">
        <f ca="1">VLOOKUP(R49,R36:S39,2)</f>
        <v>211.1160412132318</v>
      </c>
      <c r="S48" s="169" t="s">
        <v>177</v>
      </c>
      <c r="T48" s="149"/>
      <c r="V48" s="148"/>
      <c r="X48" t="s">
        <v>178</v>
      </c>
      <c r="AC48" s="10"/>
      <c r="AF48" s="126"/>
      <c r="AH48" s="72"/>
    </row>
    <row r="49" spans="1:46" ht="15.75">
      <c r="A49" s="27"/>
      <c r="B49" s="27"/>
      <c r="C49" s="27"/>
      <c r="D49" s="27"/>
      <c r="E49" s="27"/>
      <c r="F49" s="78">
        <f t="shared" si="0"/>
        <v>43</v>
      </c>
      <c r="G49" s="46"/>
      <c r="H49" s="52" t="s">
        <v>179</v>
      </c>
      <c r="I49" s="3"/>
      <c r="J49" s="138">
        <f ca="1">((K35)-J47)</f>
        <v>0.89114692632383352</v>
      </c>
      <c r="K49" s="3"/>
      <c r="L49" s="3"/>
      <c r="M49" s="3"/>
      <c r="N49" s="3"/>
      <c r="O49" s="27"/>
      <c r="P49" s="27"/>
      <c r="Q49" s="36"/>
      <c r="R49" s="79">
        <f ca="1">VLOOKUP(S36,R43:S46,2)</f>
        <v>3</v>
      </c>
      <c r="S49" s="170" t="s">
        <v>180</v>
      </c>
      <c r="T49" s="155"/>
      <c r="X49" t="s">
        <v>181</v>
      </c>
      <c r="AA49" s="42"/>
      <c r="AC49" s="10"/>
      <c r="AH49" s="72"/>
    </row>
    <row r="50" spans="1:46" ht="15.7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171"/>
      <c r="L50" s="27"/>
      <c r="M50" s="27"/>
      <c r="N50" s="172"/>
      <c r="O50" s="27"/>
      <c r="P50" s="27"/>
      <c r="Q50" s="36"/>
      <c r="R50" s="79"/>
      <c r="T50" s="155"/>
      <c r="X50" t="s">
        <v>182</v>
      </c>
      <c r="AA50" s="10"/>
      <c r="AC50" s="10"/>
      <c r="AD50" s="10"/>
      <c r="AE50" s="72"/>
      <c r="AH50" s="72"/>
    </row>
    <row r="51" spans="1:46" ht="15.7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171"/>
      <c r="L51" s="27"/>
      <c r="M51" s="27"/>
      <c r="N51" s="172"/>
      <c r="O51" s="27"/>
      <c r="P51" s="27"/>
      <c r="Q51" s="36"/>
      <c r="R51" s="173">
        <f ca="1">+V44</f>
        <v>0.91356000000000004</v>
      </c>
      <c r="S51" s="165" t="s">
        <v>112</v>
      </c>
      <c r="T51" s="174"/>
      <c r="X51" t="s">
        <v>183</v>
      </c>
      <c r="AA51" s="10"/>
      <c r="AC51" s="10"/>
      <c r="AD51" s="10"/>
      <c r="AE51" s="72"/>
      <c r="AF51" s="10"/>
      <c r="AH51" s="72"/>
      <c r="AL51" s="10"/>
      <c r="AM51" s="10"/>
      <c r="AN51" s="10"/>
      <c r="AO51" s="10"/>
      <c r="AP51" s="10"/>
      <c r="AQ51" s="10"/>
      <c r="AR51" s="10"/>
      <c r="AS51" s="10"/>
      <c r="AT51" s="10"/>
    </row>
    <row r="52" spans="1:46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36"/>
      <c r="R52" s="42"/>
      <c r="Z52" s="72"/>
      <c r="AA52" s="10"/>
      <c r="AC52" s="10"/>
      <c r="AD52" s="10"/>
      <c r="AE52" s="72"/>
      <c r="AF52" s="126"/>
      <c r="AH52" s="72"/>
      <c r="AL52" s="10"/>
      <c r="AM52" s="10"/>
      <c r="AN52" s="10"/>
      <c r="AO52" s="10"/>
      <c r="AP52" s="10"/>
      <c r="AQ52" s="10"/>
      <c r="AR52" s="10"/>
      <c r="AS52" s="10"/>
      <c r="AT52" s="10"/>
    </row>
    <row r="53" spans="1:46" ht="15.75">
      <c r="A53" s="27"/>
      <c r="B53" s="27"/>
      <c r="C53" s="27"/>
      <c r="D53" s="27"/>
      <c r="E53" s="27"/>
      <c r="F53" s="27"/>
      <c r="G53" s="27"/>
      <c r="H53" s="27"/>
      <c r="I53" s="27"/>
      <c r="J53" s="175"/>
      <c r="K53" s="175"/>
      <c r="L53" s="175"/>
      <c r="M53" s="175"/>
      <c r="N53" s="27"/>
      <c r="O53" s="27"/>
      <c r="P53" s="27"/>
      <c r="Q53" s="36"/>
      <c r="Z53" s="72"/>
      <c r="AA53" s="10"/>
      <c r="AC53" s="10"/>
      <c r="AD53" s="10"/>
      <c r="AE53" s="72"/>
      <c r="AF53" s="126"/>
      <c r="AH53" s="72"/>
      <c r="AL53" s="10"/>
      <c r="AM53" s="10"/>
      <c r="AN53" s="10"/>
      <c r="AO53" s="10"/>
      <c r="AP53" s="10"/>
      <c r="AQ53" s="10"/>
      <c r="AR53" s="10"/>
      <c r="AS53" s="10"/>
      <c r="AT53" s="10"/>
    </row>
    <row r="54" spans="1:46" ht="15.75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175"/>
      <c r="L54" s="175"/>
      <c r="M54" s="175"/>
      <c r="N54" s="27"/>
      <c r="O54" s="27"/>
      <c r="P54" s="27"/>
      <c r="Q54" s="36"/>
      <c r="S54" t="s">
        <v>184</v>
      </c>
      <c r="T54" s="10"/>
      <c r="U54" s="176"/>
      <c r="W54" s="177" t="s">
        <v>185</v>
      </c>
      <c r="X54" s="13"/>
      <c r="Y54" s="13"/>
      <c r="Z54" s="13"/>
      <c r="AC54" s="10"/>
      <c r="AF54" s="126"/>
      <c r="AH54" s="72"/>
      <c r="AL54" s="10"/>
      <c r="AM54" s="10"/>
      <c r="AN54" s="10"/>
      <c r="AO54" s="10"/>
      <c r="AP54" s="10"/>
      <c r="AQ54" s="10"/>
      <c r="AR54" s="10"/>
      <c r="AS54" s="10"/>
      <c r="AT54" s="10"/>
    </row>
    <row r="55" spans="1:46" ht="15.7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178"/>
      <c r="M55" s="178"/>
      <c r="N55" s="27"/>
      <c r="O55" s="27"/>
      <c r="P55" s="27"/>
      <c r="Q55" s="36"/>
      <c r="R55" s="179"/>
      <c r="S55" s="180" t="s">
        <v>151</v>
      </c>
      <c r="T55" s="180" t="s">
        <v>186</v>
      </c>
      <c r="U55" s="181" t="s">
        <v>154</v>
      </c>
      <c r="W55" s="182" t="s">
        <v>187</v>
      </c>
      <c r="X55" s="183">
        <v>5.7225999999999999</v>
      </c>
      <c r="Y55" s="184" t="s">
        <v>188</v>
      </c>
      <c r="Z55" s="185">
        <v>5.6985000000000001</v>
      </c>
      <c r="AA55" s="42"/>
      <c r="AC55" s="10"/>
      <c r="AH55" s="72"/>
    </row>
    <row r="56" spans="1:46" ht="15.75">
      <c r="A56" s="27"/>
      <c r="B56" s="27"/>
      <c r="C56" s="27"/>
      <c r="D56" s="27"/>
      <c r="E56" s="27"/>
      <c r="F56" s="27"/>
      <c r="G56" s="27"/>
      <c r="H56" s="27"/>
      <c r="I56" s="27"/>
      <c r="J56" s="178"/>
      <c r="K56" s="27"/>
      <c r="L56" s="178"/>
      <c r="M56" s="178"/>
      <c r="N56" s="27"/>
      <c r="O56" s="27"/>
      <c r="P56" s="27"/>
      <c r="Q56" s="36"/>
      <c r="R56" s="36" t="s">
        <v>110</v>
      </c>
      <c r="S56" s="186">
        <v>0.56200000000000006</v>
      </c>
      <c r="T56" s="186">
        <v>6.3799999999999996E-2</v>
      </c>
      <c r="U56" s="161">
        <f>ROUND(+S56*T56,5)</f>
        <v>3.5860000000000003E-2</v>
      </c>
      <c r="W56" s="187" t="s">
        <v>189</v>
      </c>
      <c r="X56" s="188">
        <v>5.7082699999999997</v>
      </c>
      <c r="Y56" s="189" t="s">
        <v>190</v>
      </c>
      <c r="Z56" s="190">
        <v>5.6921999999999997</v>
      </c>
      <c r="AA56" s="10"/>
      <c r="AC56" s="10"/>
      <c r="AD56" s="10"/>
      <c r="AE56" s="72"/>
      <c r="AH56" s="72"/>
    </row>
    <row r="57" spans="1:46" ht="15.75">
      <c r="A57" s="27"/>
      <c r="B57" s="27"/>
      <c r="C57" s="27"/>
      <c r="D57" s="27"/>
      <c r="E57" s="175"/>
      <c r="F57" s="27"/>
      <c r="G57" s="27"/>
      <c r="H57" s="27"/>
      <c r="I57" s="27"/>
      <c r="J57" s="178"/>
      <c r="K57" s="27"/>
      <c r="L57" s="178"/>
      <c r="M57" s="178"/>
      <c r="N57" s="27"/>
      <c r="O57" s="27"/>
      <c r="P57" s="27"/>
      <c r="Q57" s="36"/>
      <c r="R57" s="36" t="s">
        <v>191</v>
      </c>
      <c r="S57" s="186">
        <v>9.4E-2</v>
      </c>
      <c r="T57" s="186">
        <v>6.59E-2</v>
      </c>
      <c r="U57" s="161">
        <f>ROUND(+S57*T57,5)</f>
        <v>6.1900000000000002E-3</v>
      </c>
      <c r="W57" s="36"/>
      <c r="Y57" s="191"/>
      <c r="Z57" s="192"/>
      <c r="AA57" s="10"/>
      <c r="AC57" s="10"/>
      <c r="AD57" s="10"/>
      <c r="AE57" s="72"/>
      <c r="AF57" s="126"/>
      <c r="AH57" s="72"/>
      <c r="AL57" s="10"/>
    </row>
    <row r="58" spans="1:46" ht="15.75">
      <c r="A58" s="27"/>
      <c r="B58" s="27"/>
      <c r="C58" s="27"/>
      <c r="D58" s="27"/>
      <c r="E58" s="175"/>
      <c r="F58" s="175"/>
      <c r="G58" s="175"/>
      <c r="H58" s="193"/>
      <c r="I58" s="175"/>
      <c r="J58" s="178"/>
      <c r="K58" s="27"/>
      <c r="L58" s="27"/>
      <c r="M58" s="27"/>
      <c r="N58" s="27"/>
      <c r="O58" s="27"/>
      <c r="P58" s="27"/>
      <c r="Q58" s="36"/>
      <c r="R58" s="36" t="s">
        <v>108</v>
      </c>
      <c r="S58" s="194">
        <v>0.34399999999999997</v>
      </c>
      <c r="T58" s="195"/>
      <c r="U58" s="196"/>
      <c r="W58" s="197"/>
      <c r="X58" s="198" t="s">
        <v>192</v>
      </c>
      <c r="Y58" s="199">
        <v>0.68367</v>
      </c>
      <c r="Z58" s="200"/>
      <c r="AA58" s="10"/>
      <c r="AC58" s="10"/>
      <c r="AD58" s="10"/>
      <c r="AE58" s="72"/>
      <c r="AF58" s="126"/>
      <c r="AH58" s="72"/>
    </row>
    <row r="59" spans="1:4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36"/>
      <c r="R59" s="197"/>
      <c r="S59" s="194">
        <f>SUM(S56:S58)</f>
        <v>1</v>
      </c>
      <c r="T59" s="201"/>
      <c r="U59" s="202"/>
      <c r="X59" s="10"/>
      <c r="Y59" s="141"/>
      <c r="Z59" s="72"/>
      <c r="AA59" s="10"/>
      <c r="AC59" s="10"/>
      <c r="AD59" s="10"/>
      <c r="AE59" s="72"/>
      <c r="AF59" s="126"/>
      <c r="AH59" s="72"/>
    </row>
    <row r="60" spans="1:4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36"/>
      <c r="R60" s="42"/>
      <c r="X60" s="203"/>
      <c r="AC60" s="10"/>
      <c r="AF60" s="126"/>
      <c r="AH60" s="72"/>
      <c r="AL60" s="126"/>
      <c r="AM60" s="126"/>
      <c r="AN60" s="126"/>
      <c r="AO60" s="126"/>
      <c r="AP60" s="126"/>
      <c r="AQ60" s="126"/>
      <c r="AR60" s="126"/>
      <c r="AS60" s="126"/>
      <c r="AT60" s="126"/>
    </row>
    <row r="61" spans="1:46" ht="15.75">
      <c r="A61" s="27"/>
      <c r="B61" s="27"/>
      <c r="C61" s="27"/>
      <c r="D61" s="27"/>
      <c r="E61" s="175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36"/>
      <c r="R61" s="42"/>
      <c r="W61" s="179" t="s">
        <v>159</v>
      </c>
      <c r="X61" s="204"/>
      <c r="Y61" s="148" t="s">
        <v>193</v>
      </c>
      <c r="Z61" s="149" t="s">
        <v>91</v>
      </c>
      <c r="AC61" s="10"/>
      <c r="AH61" s="72"/>
      <c r="AL61" s="126"/>
      <c r="AM61" s="126"/>
      <c r="AN61" s="126"/>
      <c r="AO61" s="126"/>
      <c r="AP61" s="126"/>
      <c r="AQ61" s="126"/>
      <c r="AR61" s="126"/>
      <c r="AS61" s="126"/>
      <c r="AT61" s="126"/>
    </row>
    <row r="62" spans="1:46" ht="15.75">
      <c r="A62" s="27"/>
      <c r="B62" s="27"/>
      <c r="C62" s="27"/>
      <c r="D62" s="27"/>
      <c r="E62" s="27"/>
      <c r="F62" s="175"/>
      <c r="G62" s="175"/>
      <c r="H62" s="175"/>
      <c r="I62" s="175"/>
      <c r="J62" s="175"/>
      <c r="K62" s="175"/>
      <c r="L62" s="175"/>
      <c r="M62" s="175"/>
      <c r="N62" s="175"/>
      <c r="O62" s="27"/>
      <c r="P62" s="27"/>
      <c r="Q62" s="36"/>
      <c r="R62" s="42"/>
      <c r="W62" s="205"/>
      <c r="X62" s="206"/>
      <c r="Y62" s="206"/>
      <c r="Z62" s="207"/>
      <c r="AC62" s="10"/>
      <c r="AD62" s="10"/>
      <c r="AE62" s="72"/>
      <c r="AH62" s="72"/>
      <c r="AL62" s="126"/>
      <c r="AM62" s="126"/>
      <c r="AN62" s="126"/>
      <c r="AO62" s="126"/>
      <c r="AP62" s="126"/>
      <c r="AQ62" s="126"/>
      <c r="AR62" s="126"/>
      <c r="AS62" s="126"/>
      <c r="AT62" s="126"/>
    </row>
    <row r="63" spans="1:4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36"/>
      <c r="R63" s="42"/>
      <c r="W63" s="36" t="s">
        <v>161</v>
      </c>
      <c r="X63" s="206"/>
      <c r="Y63" s="161">
        <f t="shared" ref="Y63:Z68" ca="1" si="1">+J33</f>
        <v>0.18209469915032683</v>
      </c>
      <c r="Z63" s="161">
        <f ca="1">+K33</f>
        <v>0.14637481232875821</v>
      </c>
      <c r="AC63" s="10"/>
      <c r="AD63" s="10"/>
      <c r="AE63" s="72"/>
      <c r="AF63" s="126"/>
      <c r="AH63" s="72"/>
      <c r="AL63" s="126"/>
      <c r="AM63" s="126"/>
      <c r="AN63" s="126"/>
      <c r="AO63" s="126"/>
      <c r="AP63" s="126"/>
      <c r="AQ63" s="126"/>
      <c r="AR63" s="126"/>
      <c r="AS63" s="126"/>
      <c r="AT63" s="126"/>
    </row>
    <row r="64" spans="1:4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36"/>
      <c r="R64" s="42"/>
      <c r="W64" s="36" t="s">
        <v>162</v>
      </c>
      <c r="X64" s="206"/>
      <c r="Y64" s="161">
        <f t="shared" ca="1" si="1"/>
        <v>0.28349116525054474</v>
      </c>
      <c r="Z64" s="161">
        <f t="shared" ca="1" si="1"/>
        <v>0.22395802054793035</v>
      </c>
      <c r="AC64" s="10"/>
      <c r="AD64" s="10"/>
      <c r="AE64" s="72"/>
      <c r="AF64" s="126"/>
      <c r="AH64" s="72"/>
    </row>
    <row r="65" spans="1:38">
      <c r="A65" t="b">
        <v>1</v>
      </c>
      <c r="B65" s="208"/>
      <c r="C65" s="208"/>
      <c r="D65" s="208"/>
      <c r="E65" s="208"/>
      <c r="F65" s="27"/>
      <c r="G65" s="27"/>
      <c r="H65" s="27"/>
      <c r="I65" s="27"/>
      <c r="J65" s="27"/>
      <c r="K65" s="27"/>
      <c r="L65" s="27"/>
      <c r="M65" s="27"/>
      <c r="N65" s="27"/>
      <c r="O65" s="208"/>
      <c r="P65" s="208"/>
      <c r="Q65" s="36"/>
      <c r="R65" s="42"/>
      <c r="W65" s="36" t="s">
        <v>112</v>
      </c>
      <c r="X65" s="206"/>
      <c r="Y65" s="161">
        <f t="shared" ca="1" si="1"/>
        <v>0.91356000000000004</v>
      </c>
      <c r="Z65" s="161">
        <f t="shared" ca="1" si="1"/>
        <v>0.91374692632383347</v>
      </c>
      <c r="AC65" s="10"/>
      <c r="AD65" s="10"/>
      <c r="AE65" s="72"/>
      <c r="AF65" s="126"/>
      <c r="AH65" s="72"/>
    </row>
    <row r="66" spans="1:38">
      <c r="B66" s="208"/>
      <c r="C66" s="208"/>
      <c r="D66" s="208"/>
      <c r="E66" s="208"/>
      <c r="H66" s="126"/>
      <c r="I66" s="126"/>
      <c r="J66" s="126"/>
      <c r="K66" s="126"/>
      <c r="L66" s="126"/>
      <c r="M66" s="126"/>
      <c r="N66" s="126"/>
      <c r="O66" s="126"/>
      <c r="P66" s="208"/>
      <c r="Q66" s="36"/>
      <c r="R66" s="42"/>
      <c r="W66" s="36" t="s">
        <v>164</v>
      </c>
      <c r="X66" s="206"/>
      <c r="Y66" s="161">
        <f t="shared" ca="1" si="1"/>
        <v>8.643999999999992E-2</v>
      </c>
      <c r="Z66" s="161">
        <f t="shared" ca="1" si="1"/>
        <v>8.643999999999992E-2</v>
      </c>
      <c r="AC66" s="10"/>
      <c r="AF66" s="126"/>
      <c r="AH66" s="72"/>
      <c r="AL66" s="126"/>
    </row>
    <row r="67" spans="1:38">
      <c r="B67" s="208"/>
      <c r="C67" s="208"/>
      <c r="D67" s="208"/>
      <c r="E67" s="208"/>
      <c r="H67" s="126"/>
      <c r="I67" s="126"/>
      <c r="J67" s="126"/>
      <c r="K67" s="126"/>
      <c r="L67" s="126"/>
      <c r="M67" s="126"/>
      <c r="N67" s="126"/>
      <c r="O67" s="126"/>
      <c r="P67" s="208"/>
      <c r="Q67" s="36"/>
      <c r="R67" s="42"/>
      <c r="W67" s="36" t="s">
        <v>165</v>
      </c>
      <c r="X67" s="209"/>
      <c r="Y67" s="161">
        <f t="shared" ca="1" si="1"/>
        <v>2.1095878695183266</v>
      </c>
      <c r="Z67" s="161">
        <f t="shared" ca="1" si="1"/>
        <v>2.1095878695183266</v>
      </c>
      <c r="AC67" s="10"/>
      <c r="AH67" s="72"/>
    </row>
    <row r="68" spans="1:38">
      <c r="B68" s="208"/>
      <c r="C68" s="208"/>
      <c r="D68" s="208"/>
      <c r="E68" s="208"/>
      <c r="O68" s="126"/>
      <c r="P68" s="208"/>
      <c r="Q68" s="36"/>
      <c r="R68" s="42"/>
      <c r="W68" s="36" t="s">
        <v>166</v>
      </c>
      <c r="X68" s="8"/>
      <c r="Y68" s="161">
        <f t="shared" si="1"/>
        <v>0.21</v>
      </c>
      <c r="Z68" s="161">
        <f t="shared" si="1"/>
        <v>0.21</v>
      </c>
      <c r="AC68" s="10"/>
      <c r="AD68" s="10"/>
      <c r="AE68" s="72"/>
      <c r="AH68" s="72"/>
    </row>
    <row r="69" spans="1:38">
      <c r="B69" s="208"/>
      <c r="C69" s="208"/>
      <c r="D69" s="208"/>
      <c r="E69" s="208"/>
      <c r="O69" s="126"/>
      <c r="P69" s="208"/>
      <c r="Q69" s="36"/>
      <c r="R69" s="42"/>
      <c r="W69" s="36"/>
      <c r="Y69" s="195"/>
      <c r="Z69" s="210"/>
      <c r="AC69" s="10"/>
      <c r="AD69" s="10"/>
      <c r="AE69" s="72"/>
      <c r="AF69" s="126"/>
      <c r="AH69" s="72"/>
    </row>
    <row r="70" spans="1:38">
      <c r="B70" s="208"/>
      <c r="C70" s="208"/>
      <c r="D70" s="208"/>
      <c r="E70" s="208"/>
      <c r="O70" s="126"/>
      <c r="P70" s="208"/>
      <c r="Q70" s="36"/>
      <c r="R70" s="42"/>
      <c r="W70" s="197"/>
      <c r="X70" s="211"/>
      <c r="Y70" s="212"/>
      <c r="Z70" s="213"/>
      <c r="AA70" s="10"/>
      <c r="AC70" s="10"/>
      <c r="AD70" s="10"/>
      <c r="AE70" s="72"/>
      <c r="AF70" s="126"/>
      <c r="AH70" s="72"/>
    </row>
    <row r="71" spans="1:38">
      <c r="B71" s="208"/>
      <c r="C71" s="208"/>
      <c r="D71" s="208"/>
      <c r="E71" s="208"/>
      <c r="O71" s="208"/>
      <c r="P71" s="208"/>
      <c r="Q71" s="36"/>
      <c r="R71" s="42"/>
      <c r="X71" s="10"/>
      <c r="Y71" s="141"/>
      <c r="Z71" s="72"/>
      <c r="AA71" s="10"/>
      <c r="AC71" s="10"/>
      <c r="AD71" s="10"/>
      <c r="AE71" s="72"/>
      <c r="AF71" s="126"/>
      <c r="AH71" s="72"/>
    </row>
    <row r="72" spans="1:38">
      <c r="B72" s="208"/>
      <c r="C72" s="208"/>
      <c r="D72" s="208"/>
      <c r="E72" s="208"/>
      <c r="O72" s="208"/>
      <c r="P72" s="208"/>
      <c r="Q72" s="36"/>
      <c r="R72" s="42"/>
      <c r="AC72" s="10"/>
      <c r="AF72" s="126"/>
      <c r="AH72" s="72"/>
    </row>
    <row r="73" spans="1:38">
      <c r="B73" s="208"/>
      <c r="C73" s="208"/>
      <c r="D73" s="208"/>
      <c r="E73" s="208"/>
      <c r="O73" s="208"/>
      <c r="P73" s="208"/>
      <c r="Q73" s="36"/>
      <c r="R73" s="42"/>
      <c r="Y73" s="42"/>
      <c r="Z73" s="42"/>
      <c r="AA73" s="42"/>
      <c r="AC73" s="10"/>
      <c r="AH73" s="72"/>
    </row>
    <row r="74" spans="1:38">
      <c r="B74" s="208"/>
      <c r="C74" s="208"/>
      <c r="D74" s="208"/>
      <c r="E74" s="208"/>
      <c r="O74" s="208"/>
      <c r="P74" s="208"/>
      <c r="Q74" s="36"/>
      <c r="R74" s="42"/>
      <c r="X74" s="10"/>
      <c r="Y74" s="141"/>
      <c r="Z74" s="72"/>
      <c r="AA74" s="10"/>
      <c r="AC74" s="10"/>
      <c r="AD74" s="10"/>
      <c r="AE74" s="72"/>
      <c r="AH74" s="72"/>
    </row>
    <row r="75" spans="1:38">
      <c r="B75" s="208"/>
      <c r="C75" s="208"/>
      <c r="D75" s="208"/>
      <c r="E75" s="208"/>
      <c r="O75" s="208"/>
      <c r="P75" s="208"/>
      <c r="Q75" s="36"/>
      <c r="R75" s="42"/>
      <c r="X75" s="10"/>
      <c r="Y75" s="141"/>
      <c r="Z75" s="72"/>
      <c r="AA75" s="10"/>
      <c r="AC75" s="10"/>
      <c r="AD75" s="10"/>
      <c r="AE75" s="72"/>
      <c r="AF75" s="126"/>
      <c r="AH75" s="72"/>
    </row>
    <row r="76" spans="1:38">
      <c r="B76" s="208"/>
      <c r="C76" s="208"/>
      <c r="D76" s="208"/>
      <c r="E76" s="208"/>
      <c r="O76" s="208"/>
      <c r="P76" s="208"/>
      <c r="Q76" s="36"/>
      <c r="R76" s="42"/>
      <c r="X76" s="10"/>
      <c r="Y76" s="141"/>
      <c r="Z76" s="72"/>
      <c r="AA76" s="10"/>
      <c r="AC76" s="10"/>
      <c r="AD76" s="10"/>
      <c r="AE76" s="72"/>
      <c r="AF76" s="126"/>
      <c r="AH76" s="72"/>
    </row>
    <row r="77" spans="1:38">
      <c r="B77" s="208"/>
      <c r="C77" s="208"/>
      <c r="D77" s="208"/>
      <c r="E77" s="208"/>
      <c r="O77" s="208"/>
      <c r="P77" s="208"/>
      <c r="Q77" s="36"/>
      <c r="R77" s="42"/>
      <c r="X77" s="10"/>
      <c r="Y77" s="141"/>
      <c r="Z77" s="72"/>
      <c r="AA77" s="10"/>
      <c r="AC77" s="10"/>
      <c r="AD77" s="10"/>
      <c r="AE77" s="72"/>
      <c r="AF77" s="126"/>
      <c r="AH77" s="72"/>
    </row>
    <row r="78" spans="1:38">
      <c r="B78" s="208"/>
      <c r="C78" s="208"/>
      <c r="D78" s="208"/>
      <c r="E78" s="208"/>
      <c r="O78" s="208"/>
      <c r="P78" s="208"/>
      <c r="Q78" s="36"/>
      <c r="R78" s="42"/>
      <c r="AC78" s="10"/>
      <c r="AF78" s="126"/>
      <c r="AH78" s="72"/>
    </row>
    <row r="79" spans="1:38">
      <c r="B79" s="208"/>
      <c r="C79" s="208"/>
      <c r="D79" s="208"/>
      <c r="E79" s="208"/>
      <c r="O79" s="208"/>
      <c r="P79" s="208"/>
      <c r="Q79" s="36"/>
      <c r="R79" s="42"/>
    </row>
    <row r="80" spans="1:38">
      <c r="B80" s="208"/>
      <c r="C80" s="208"/>
      <c r="D80" s="208"/>
      <c r="E80" s="208"/>
      <c r="O80" s="208"/>
      <c r="P80" s="208"/>
      <c r="Q80" s="36"/>
      <c r="R80" s="42"/>
      <c r="X80" s="10"/>
      <c r="Y80" s="141"/>
      <c r="Z80" s="72"/>
      <c r="AA80" s="10"/>
      <c r="AD80" s="10"/>
      <c r="AE80" s="72"/>
    </row>
    <row r="81" spans="2:32">
      <c r="B81" s="208"/>
      <c r="C81" s="208"/>
      <c r="D81" s="208"/>
      <c r="E81" s="208"/>
      <c r="O81" s="208"/>
      <c r="P81" s="208"/>
      <c r="Q81" s="36"/>
      <c r="R81" s="42"/>
      <c r="X81" s="10"/>
      <c r="Y81" s="141"/>
      <c r="Z81" s="72"/>
      <c r="AA81" s="10"/>
      <c r="AD81" s="10"/>
      <c r="AE81" s="72"/>
      <c r="AF81" s="126"/>
    </row>
    <row r="82" spans="2:32">
      <c r="B82" s="208"/>
      <c r="C82" s="208"/>
      <c r="D82" s="208"/>
      <c r="E82" s="208"/>
      <c r="O82" s="208"/>
      <c r="P82" s="208"/>
      <c r="Q82" s="36"/>
      <c r="R82" s="42"/>
      <c r="X82" s="10"/>
      <c r="Y82" s="141"/>
      <c r="Z82" s="72"/>
      <c r="AA82" s="10"/>
      <c r="AD82" s="10"/>
      <c r="AE82" s="72"/>
      <c r="AF82" s="126"/>
    </row>
    <row r="83" spans="2:32">
      <c r="B83" s="208"/>
      <c r="C83" s="208"/>
      <c r="D83" s="208"/>
      <c r="E83" s="208"/>
      <c r="O83" s="208"/>
      <c r="P83" s="208"/>
      <c r="Q83" s="36"/>
      <c r="R83" s="42"/>
      <c r="X83" s="10"/>
      <c r="Y83" s="141"/>
      <c r="Z83" s="72"/>
      <c r="AA83" s="10"/>
      <c r="AD83" s="10"/>
      <c r="AE83" s="72"/>
      <c r="AF83" s="126"/>
    </row>
    <row r="84" spans="2:32">
      <c r="B84" s="208"/>
      <c r="C84" s="208"/>
      <c r="D84" s="208"/>
      <c r="E84" s="208"/>
      <c r="O84" s="208"/>
      <c r="P84" s="208"/>
      <c r="Q84" s="36"/>
      <c r="R84" s="42"/>
      <c r="AF84" s="126"/>
    </row>
    <row r="85" spans="2:32">
      <c r="B85" s="208"/>
      <c r="C85" s="208"/>
      <c r="D85" s="208"/>
      <c r="E85" s="208"/>
      <c r="O85" s="208"/>
      <c r="P85" s="208"/>
      <c r="Q85" s="36"/>
      <c r="R85" s="42"/>
    </row>
    <row r="86" spans="2:32">
      <c r="B86" s="208"/>
      <c r="C86" s="208"/>
      <c r="D86" s="208"/>
      <c r="E86" s="208"/>
      <c r="O86" s="208"/>
      <c r="P86" s="208"/>
      <c r="Q86" s="36"/>
      <c r="R86" s="42"/>
      <c r="X86" s="10"/>
      <c r="Y86" s="141"/>
      <c r="Z86" s="72"/>
      <c r="AA86" s="10"/>
      <c r="AD86" s="10"/>
      <c r="AE86" s="72"/>
    </row>
    <row r="87" spans="2:32">
      <c r="B87" s="208"/>
      <c r="C87" s="208"/>
      <c r="D87" s="208"/>
      <c r="E87" s="208"/>
      <c r="O87" s="208"/>
      <c r="P87" s="208"/>
      <c r="Q87" s="36"/>
      <c r="R87" s="42"/>
      <c r="X87" s="10"/>
      <c r="Y87" s="141"/>
      <c r="Z87" s="72"/>
      <c r="AA87" s="10"/>
      <c r="AD87" s="10"/>
      <c r="AE87" s="72"/>
      <c r="AF87" s="126"/>
    </row>
    <row r="88" spans="2:32">
      <c r="B88" s="208"/>
      <c r="C88" s="208"/>
      <c r="D88" s="208"/>
      <c r="E88" s="208"/>
      <c r="O88" s="208"/>
      <c r="P88" s="208"/>
      <c r="Q88" s="36"/>
      <c r="R88" s="42"/>
      <c r="X88" s="10"/>
      <c r="Y88" s="141"/>
      <c r="Z88" s="72"/>
      <c r="AA88" s="10"/>
      <c r="AD88" s="10"/>
      <c r="AE88" s="72"/>
      <c r="AF88" s="126"/>
    </row>
    <row r="89" spans="2:32">
      <c r="B89" s="208"/>
      <c r="C89" s="208"/>
      <c r="D89" s="208"/>
      <c r="E89" s="208"/>
      <c r="O89" s="208"/>
      <c r="P89" s="208"/>
      <c r="Q89" s="36"/>
      <c r="R89" s="42"/>
      <c r="X89" s="10"/>
      <c r="Y89" s="141"/>
      <c r="Z89" s="72"/>
      <c r="AA89" s="10"/>
      <c r="AD89" s="10"/>
      <c r="AE89" s="72"/>
      <c r="AF89" s="126"/>
    </row>
    <row r="90" spans="2:32">
      <c r="B90" s="208"/>
      <c r="C90" s="208"/>
      <c r="D90" s="208"/>
      <c r="E90" s="208"/>
      <c r="O90" s="208"/>
      <c r="P90" s="208"/>
      <c r="Q90" s="36"/>
      <c r="R90" s="42"/>
      <c r="AF90" s="126"/>
    </row>
    <row r="91" spans="2:32">
      <c r="B91" s="208"/>
      <c r="C91" s="208"/>
      <c r="D91" s="208"/>
      <c r="E91" s="208"/>
      <c r="O91" s="208"/>
      <c r="P91" s="208"/>
      <c r="Q91" s="36"/>
      <c r="R91" s="42"/>
    </row>
    <row r="92" spans="2:32">
      <c r="B92" s="208"/>
      <c r="C92" s="208"/>
      <c r="D92" s="208"/>
      <c r="E92" s="208"/>
      <c r="O92" s="208"/>
      <c r="P92" s="208"/>
      <c r="Q92" s="36"/>
      <c r="R92" s="42"/>
      <c r="X92" s="10"/>
      <c r="Y92" s="141"/>
      <c r="Z92" s="72"/>
      <c r="AA92" s="10"/>
      <c r="AD92" s="10"/>
      <c r="AE92" s="72"/>
    </row>
    <row r="93" spans="2:32">
      <c r="B93" s="208"/>
      <c r="C93" s="208"/>
      <c r="D93" s="208"/>
      <c r="E93" s="208"/>
      <c r="O93" s="208"/>
      <c r="P93" s="208"/>
      <c r="Q93" s="36"/>
      <c r="R93" s="42"/>
      <c r="X93" s="10"/>
      <c r="Y93" s="141"/>
      <c r="Z93" s="72"/>
      <c r="AA93" s="10"/>
      <c r="AD93" s="10"/>
      <c r="AE93" s="72"/>
      <c r="AF93" s="126"/>
    </row>
    <row r="94" spans="2:32">
      <c r="B94" s="208"/>
      <c r="C94" s="208"/>
      <c r="D94" s="208"/>
      <c r="E94" s="208"/>
      <c r="O94" s="208"/>
      <c r="P94" s="208"/>
      <c r="Q94" s="36"/>
      <c r="R94" s="42"/>
      <c r="X94" s="10"/>
      <c r="Y94" s="141"/>
      <c r="Z94" s="72"/>
      <c r="AA94" s="10"/>
      <c r="AD94" s="10"/>
      <c r="AE94" s="72"/>
      <c r="AF94" s="126"/>
    </row>
    <row r="95" spans="2:32">
      <c r="B95" s="208"/>
      <c r="C95" s="208"/>
      <c r="D95" s="208"/>
      <c r="E95" s="208"/>
      <c r="O95" s="208"/>
      <c r="P95" s="208"/>
      <c r="Q95" s="36"/>
      <c r="R95" s="42"/>
      <c r="X95" s="10"/>
      <c r="Y95" s="141"/>
      <c r="Z95" s="72"/>
      <c r="AA95" s="10"/>
      <c r="AD95" s="10"/>
      <c r="AE95" s="72"/>
      <c r="AF95" s="126"/>
    </row>
    <row r="96" spans="2:32">
      <c r="B96" s="208"/>
      <c r="C96" s="208"/>
      <c r="D96" s="208"/>
      <c r="E96" s="208"/>
      <c r="O96" s="208"/>
      <c r="P96" s="208"/>
      <c r="Q96" s="36"/>
      <c r="R96" s="42"/>
      <c r="AF96" s="126"/>
    </row>
    <row r="97" spans="2:32">
      <c r="B97" s="208"/>
      <c r="C97" s="208"/>
      <c r="D97" s="208"/>
      <c r="E97" s="208"/>
      <c r="O97" s="208"/>
      <c r="P97" s="208"/>
      <c r="Q97" s="36"/>
      <c r="R97" s="42"/>
    </row>
    <row r="98" spans="2:32">
      <c r="B98" s="208"/>
      <c r="C98" s="208"/>
      <c r="D98" s="208"/>
      <c r="E98" s="208"/>
      <c r="O98" s="208"/>
      <c r="P98" s="208"/>
      <c r="Q98" s="36"/>
      <c r="R98" s="42"/>
      <c r="X98" s="10"/>
      <c r="Y98" s="141"/>
      <c r="Z98" s="72"/>
      <c r="AA98" s="10"/>
      <c r="AD98" s="10"/>
      <c r="AE98" s="72"/>
    </row>
    <row r="99" spans="2:32">
      <c r="B99" s="208"/>
      <c r="C99" s="208"/>
      <c r="D99" s="208"/>
      <c r="E99" s="208"/>
      <c r="O99" s="208"/>
      <c r="P99" s="208"/>
      <c r="Q99" s="36"/>
      <c r="R99" s="42"/>
      <c r="X99" s="10"/>
      <c r="Y99" s="141"/>
      <c r="Z99" s="72"/>
      <c r="AA99" s="10"/>
      <c r="AD99" s="10"/>
      <c r="AE99" s="72"/>
      <c r="AF99" s="126"/>
    </row>
    <row r="100" spans="2:32">
      <c r="B100" s="208"/>
      <c r="C100" s="208"/>
      <c r="D100" s="208"/>
      <c r="E100" s="208"/>
      <c r="O100" s="208"/>
      <c r="P100" s="208"/>
      <c r="Q100" s="36"/>
      <c r="R100" s="42"/>
      <c r="X100" s="10"/>
      <c r="Y100" s="141"/>
      <c r="Z100" s="72"/>
      <c r="AA100" s="10"/>
      <c r="AD100" s="10"/>
      <c r="AE100" s="72"/>
      <c r="AF100" s="126"/>
    </row>
    <row r="101" spans="2:32">
      <c r="B101" s="208"/>
      <c r="C101" s="208"/>
      <c r="D101" s="208"/>
      <c r="E101" s="208"/>
      <c r="O101" s="208"/>
      <c r="P101" s="208"/>
      <c r="Q101" s="36"/>
      <c r="R101" s="42"/>
      <c r="X101" s="10"/>
      <c r="Y101" s="141"/>
      <c r="Z101" s="72"/>
      <c r="AA101" s="10"/>
      <c r="AD101" s="10"/>
      <c r="AE101" s="72"/>
      <c r="AF101" s="126"/>
    </row>
    <row r="102" spans="2:32">
      <c r="B102" s="208"/>
      <c r="C102" s="208"/>
      <c r="D102" s="208"/>
      <c r="E102" s="208"/>
      <c r="O102" s="208"/>
      <c r="P102" s="208"/>
      <c r="Q102" s="36"/>
      <c r="R102" s="42"/>
      <c r="AF102" s="126"/>
    </row>
    <row r="103" spans="2:32">
      <c r="B103" s="208"/>
      <c r="C103" s="208"/>
      <c r="D103" s="208"/>
      <c r="E103" s="208"/>
      <c r="O103" s="208"/>
      <c r="P103" s="208"/>
      <c r="Q103" s="36"/>
      <c r="R103" s="42"/>
    </row>
    <row r="104" spans="2:32">
      <c r="B104" s="208"/>
      <c r="C104" s="208"/>
      <c r="D104" s="208"/>
      <c r="E104" s="208"/>
      <c r="O104" s="208"/>
      <c r="P104" s="208"/>
      <c r="Q104" s="36"/>
      <c r="R104" s="42"/>
      <c r="X104" s="10"/>
      <c r="Y104" s="141"/>
      <c r="Z104" s="72"/>
      <c r="AA104" s="10"/>
      <c r="AD104" s="10"/>
      <c r="AE104" s="72"/>
    </row>
    <row r="105" spans="2:32">
      <c r="B105" s="208"/>
      <c r="C105" s="208"/>
      <c r="D105" s="208"/>
      <c r="E105" s="208"/>
      <c r="O105" s="208"/>
      <c r="P105" s="208"/>
      <c r="Q105" s="36"/>
      <c r="R105" s="42"/>
      <c r="X105" s="10"/>
      <c r="Y105" s="141"/>
      <c r="Z105" s="72"/>
      <c r="AA105" s="10"/>
      <c r="AD105" s="10"/>
      <c r="AE105" s="72"/>
      <c r="AF105" s="126"/>
    </row>
    <row r="106" spans="2:32">
      <c r="B106" s="208"/>
      <c r="C106" s="208"/>
      <c r="D106" s="208"/>
      <c r="E106" s="208"/>
      <c r="O106" s="208"/>
      <c r="P106" s="208"/>
      <c r="Q106" s="36"/>
      <c r="R106" s="42"/>
      <c r="X106" s="10"/>
      <c r="Y106" s="141"/>
      <c r="Z106" s="72"/>
      <c r="AA106" s="10"/>
      <c r="AD106" s="10"/>
      <c r="AE106" s="72"/>
      <c r="AF106" s="126"/>
    </row>
    <row r="107" spans="2:32">
      <c r="B107" s="208"/>
      <c r="C107" s="208"/>
      <c r="D107" s="208"/>
      <c r="E107" s="208"/>
      <c r="O107" s="208"/>
      <c r="P107" s="208"/>
      <c r="Q107" s="36"/>
      <c r="R107" s="42"/>
      <c r="X107" s="10"/>
      <c r="Y107" s="141"/>
      <c r="Z107" s="72"/>
      <c r="AA107" s="10"/>
      <c r="AD107" s="10"/>
      <c r="AE107" s="72"/>
      <c r="AF107" s="126"/>
    </row>
    <row r="108" spans="2:32">
      <c r="B108" s="208"/>
      <c r="C108" s="208"/>
      <c r="D108" s="208"/>
      <c r="E108" s="208"/>
      <c r="O108" s="208"/>
      <c r="P108" s="208"/>
      <c r="Q108" s="36"/>
      <c r="R108" s="42"/>
      <c r="AF108" s="126"/>
    </row>
    <row r="109" spans="2:32">
      <c r="B109" s="208"/>
      <c r="C109" s="208"/>
      <c r="D109" s="208"/>
      <c r="E109" s="208"/>
      <c r="O109" s="208"/>
      <c r="P109" s="208"/>
      <c r="Q109" s="36"/>
      <c r="R109" s="42"/>
    </row>
    <row r="110" spans="2:32">
      <c r="B110" s="208"/>
      <c r="C110" s="208"/>
      <c r="D110" s="208"/>
      <c r="E110" s="208"/>
      <c r="O110" s="208"/>
      <c r="P110" s="208"/>
      <c r="Q110" s="36"/>
      <c r="R110" s="42"/>
      <c r="X110" s="10"/>
      <c r="Y110" s="141"/>
      <c r="Z110" s="72"/>
      <c r="AA110" s="10"/>
      <c r="AD110" s="10"/>
      <c r="AE110" s="72"/>
    </row>
    <row r="111" spans="2:32">
      <c r="B111" s="208"/>
      <c r="C111" s="208"/>
      <c r="D111" s="208"/>
      <c r="E111" s="208"/>
      <c r="O111" s="208"/>
      <c r="P111" s="208"/>
      <c r="Q111" s="36"/>
      <c r="R111" s="42"/>
      <c r="X111" s="10"/>
      <c r="Y111" s="141"/>
      <c r="Z111" s="72"/>
      <c r="AA111" s="10"/>
      <c r="AD111" s="10"/>
      <c r="AE111" s="72"/>
    </row>
    <row r="112" spans="2:32">
      <c r="B112" s="208"/>
      <c r="C112" s="208"/>
      <c r="D112" s="208"/>
      <c r="E112" s="208"/>
      <c r="O112" s="208"/>
      <c r="P112" s="208"/>
      <c r="Q112" s="36"/>
      <c r="R112" s="42"/>
      <c r="X112" s="10"/>
      <c r="Y112" s="141"/>
      <c r="Z112" s="72"/>
      <c r="AA112" s="10"/>
      <c r="AD112" s="10"/>
      <c r="AE112" s="72"/>
    </row>
    <row r="113" spans="2:31">
      <c r="B113" s="208"/>
      <c r="C113" s="208"/>
      <c r="D113" s="208"/>
      <c r="E113" s="208"/>
      <c r="O113" s="208"/>
      <c r="P113" s="208"/>
      <c r="Q113" s="36"/>
      <c r="R113" s="42"/>
      <c r="X113" s="10"/>
      <c r="Y113" s="141"/>
      <c r="Z113" s="72"/>
      <c r="AA113" s="10"/>
      <c r="AD113" s="10"/>
      <c r="AE113" s="72"/>
    </row>
  </sheetData>
  <mergeCells count="6">
    <mergeCell ref="B18:C18"/>
    <mergeCell ref="B2:C2"/>
    <mergeCell ref="AF2:AI2"/>
    <mergeCell ref="B15:C15"/>
    <mergeCell ref="C16:D16"/>
    <mergeCell ref="B17:C17"/>
  </mergeCells>
  <pageMargins left="0.2" right="0" top="0.5" bottom="0.5" header="0.3" footer="0.3"/>
  <pageSetup scale="5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13871-4B4D-47B0-BEBB-0CB336200A5D}">
  <dimension ref="A1"/>
  <sheetViews>
    <sheetView workbookViewId="0"/>
  </sheetViews>
  <sheetFormatPr defaultRowHeight="1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46081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180975</xdr:colOff>
                <xdr:row>38</xdr:row>
                <xdr:rowOff>142875</xdr:rowOff>
              </to>
            </anchor>
          </objectPr>
        </oleObject>
      </mc:Choice>
      <mc:Fallback>
        <oleObject progId="AcroExch.Document.DC" shapeId="4608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5A7B2-A8C0-4B86-B3EA-B46F716F1428}">
  <dimension ref="A1:AH179"/>
  <sheetViews>
    <sheetView topLeftCell="A31" workbookViewId="0">
      <selection activeCell="K61" sqref="K61"/>
    </sheetView>
  </sheetViews>
  <sheetFormatPr defaultRowHeight="15"/>
  <cols>
    <col min="1" max="1" width="10.7109375" bestFit="1" customWidth="1"/>
    <col min="2" max="2" width="38.85546875" customWidth="1"/>
    <col min="3" max="3" width="9.42578125" customWidth="1"/>
    <col min="4" max="4" width="7.7109375" customWidth="1"/>
    <col min="5" max="5" width="8.42578125" customWidth="1"/>
    <col min="6" max="6" width="7.5703125" customWidth="1"/>
    <col min="7" max="7" width="7.140625" customWidth="1"/>
    <col min="8" max="8" width="11" customWidth="1"/>
    <col min="9" max="10" width="0" hidden="1" customWidth="1"/>
    <col min="11" max="11" width="9.5703125" bestFit="1" customWidth="1"/>
    <col min="12" max="12" width="0" hidden="1" customWidth="1"/>
    <col min="13" max="13" width="11.85546875" customWidth="1"/>
    <col min="14" max="14" width="14" customWidth="1"/>
    <col min="15" max="15" width="10.5703125" customWidth="1"/>
    <col min="16" max="20" width="0" hidden="1" customWidth="1"/>
    <col min="21" max="21" width="14.42578125" customWidth="1"/>
    <col min="22" max="24" width="0" hidden="1" customWidth="1"/>
    <col min="25" max="25" width="15" customWidth="1"/>
    <col min="26" max="26" width="12.85546875" customWidth="1"/>
  </cols>
  <sheetData>
    <row r="1" spans="1:34">
      <c r="A1" s="8"/>
      <c r="B1" s="236" t="s">
        <v>211</v>
      </c>
      <c r="C1" s="237"/>
      <c r="D1" s="237"/>
      <c r="E1" s="237"/>
      <c r="F1" s="237"/>
      <c r="G1" s="237"/>
      <c r="H1" s="237"/>
      <c r="I1" s="237"/>
      <c r="J1" s="237"/>
      <c r="K1" s="237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</row>
    <row r="2" spans="1:34">
      <c r="A2" s="8"/>
      <c r="B2" s="236" t="s">
        <v>212</v>
      </c>
      <c r="C2" s="237"/>
      <c r="D2" s="237"/>
      <c r="E2" s="237"/>
      <c r="F2" s="237"/>
      <c r="G2" s="237"/>
      <c r="H2" s="237"/>
      <c r="I2" s="237"/>
      <c r="J2" s="237"/>
      <c r="K2" s="237"/>
      <c r="L2" s="238"/>
      <c r="M2" s="238">
        <v>3</v>
      </c>
      <c r="N2" s="238"/>
      <c r="O2" s="239" t="s">
        <v>213</v>
      </c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</row>
    <row r="3" spans="1:34">
      <c r="A3" s="8"/>
      <c r="B3" s="240">
        <v>44104</v>
      </c>
      <c r="C3" s="237"/>
      <c r="D3" s="237"/>
      <c r="E3" s="237"/>
      <c r="F3" s="237"/>
      <c r="G3" s="237"/>
      <c r="H3" s="237"/>
      <c r="I3" s="237"/>
      <c r="J3" s="237"/>
      <c r="K3" s="237"/>
      <c r="L3" s="238"/>
      <c r="M3" s="238">
        <v>9</v>
      </c>
      <c r="N3" s="238"/>
      <c r="O3" s="239" t="s">
        <v>214</v>
      </c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9" t="s">
        <v>215</v>
      </c>
      <c r="AF3" s="239" t="s">
        <v>216</v>
      </c>
      <c r="AG3" s="238"/>
      <c r="AH3" s="238"/>
    </row>
    <row r="4" spans="1:34">
      <c r="A4" s="8"/>
      <c r="B4" s="238"/>
      <c r="C4" s="241"/>
      <c r="D4" s="241"/>
      <c r="E4" s="238"/>
      <c r="F4" s="241"/>
      <c r="G4" s="238"/>
      <c r="H4" s="238"/>
      <c r="I4" s="238"/>
      <c r="J4" s="238"/>
      <c r="K4" s="238"/>
      <c r="L4" s="238"/>
      <c r="M4" s="242">
        <v>2019</v>
      </c>
      <c r="N4" s="238"/>
      <c r="O4" s="239" t="s">
        <v>217</v>
      </c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9" t="s">
        <v>218</v>
      </c>
      <c r="AF4" s="239" t="s">
        <v>219</v>
      </c>
      <c r="AG4" s="238"/>
      <c r="AH4" s="238"/>
    </row>
    <row r="5" spans="1:34">
      <c r="A5" s="8"/>
      <c r="B5" s="238"/>
      <c r="C5" s="241"/>
      <c r="D5" s="241"/>
      <c r="E5" s="238"/>
      <c r="F5" s="241"/>
      <c r="G5" s="238"/>
      <c r="H5" s="238"/>
      <c r="I5" s="238"/>
      <c r="J5" s="238"/>
      <c r="K5" s="238"/>
      <c r="L5" s="238"/>
      <c r="M5" s="242">
        <v>2020</v>
      </c>
      <c r="N5" s="238"/>
      <c r="O5" s="239" t="s">
        <v>220</v>
      </c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9" t="s">
        <v>203</v>
      </c>
      <c r="AF5" s="239" t="s">
        <v>221</v>
      </c>
      <c r="AG5" s="238"/>
      <c r="AH5" s="238"/>
    </row>
    <row r="6" spans="1:34">
      <c r="A6" s="8"/>
      <c r="B6" s="238"/>
      <c r="C6" s="241"/>
      <c r="D6" s="241"/>
      <c r="E6" s="238"/>
      <c r="F6" s="241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9" t="s">
        <v>222</v>
      </c>
      <c r="AF6" s="239" t="s">
        <v>223</v>
      </c>
      <c r="AG6" s="238"/>
      <c r="AH6" s="238"/>
    </row>
    <row r="7" spans="1:34">
      <c r="A7" s="8"/>
      <c r="B7" s="238"/>
      <c r="C7" s="241"/>
      <c r="D7" s="241"/>
      <c r="E7" s="238"/>
      <c r="F7" s="241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41" t="s">
        <v>2</v>
      </c>
      <c r="T7" s="238"/>
      <c r="U7" s="243" t="s">
        <v>224</v>
      </c>
      <c r="V7" s="243" t="s">
        <v>225</v>
      </c>
      <c r="W7" s="244"/>
      <c r="X7" s="243" t="s">
        <v>225</v>
      </c>
      <c r="Y7" s="243" t="s">
        <v>226</v>
      </c>
      <c r="Z7" s="238"/>
      <c r="AA7" s="238"/>
      <c r="AB7" s="238"/>
      <c r="AC7" s="238"/>
      <c r="AD7" s="238"/>
      <c r="AE7" s="239" t="s">
        <v>227</v>
      </c>
      <c r="AF7" s="239" t="s">
        <v>228</v>
      </c>
      <c r="AG7" s="238"/>
      <c r="AH7" s="238"/>
    </row>
    <row r="8" spans="1:34">
      <c r="A8" s="8"/>
      <c r="B8" s="244"/>
      <c r="C8" s="236" t="s">
        <v>229</v>
      </c>
      <c r="D8" s="236"/>
      <c r="E8" s="243" t="s">
        <v>230</v>
      </c>
      <c r="F8" s="243"/>
      <c r="G8" s="244"/>
      <c r="H8" s="243" t="s">
        <v>231</v>
      </c>
      <c r="I8" s="244"/>
      <c r="J8" s="244"/>
      <c r="K8" s="244"/>
      <c r="L8" s="244"/>
      <c r="M8" s="244"/>
      <c r="N8" s="244"/>
      <c r="O8" s="244"/>
      <c r="P8" s="243" t="s">
        <v>204</v>
      </c>
      <c r="Q8" s="243" t="s">
        <v>2</v>
      </c>
      <c r="R8" s="244"/>
      <c r="S8" s="243" t="s">
        <v>225</v>
      </c>
      <c r="T8" s="244"/>
      <c r="U8" s="243" t="s">
        <v>232</v>
      </c>
      <c r="V8" s="243" t="s">
        <v>232</v>
      </c>
      <c r="W8" s="243" t="s">
        <v>233</v>
      </c>
      <c r="X8" s="243" t="s">
        <v>234</v>
      </c>
      <c r="Y8" s="243" t="s">
        <v>232</v>
      </c>
      <c r="Z8" s="244"/>
      <c r="AA8" s="238"/>
      <c r="AB8" s="238"/>
      <c r="AC8" s="238"/>
      <c r="AD8" s="238"/>
      <c r="AE8" s="238"/>
      <c r="AF8" s="238"/>
      <c r="AG8" s="238"/>
      <c r="AH8" s="238"/>
    </row>
    <row r="9" spans="1:34">
      <c r="A9" s="8"/>
      <c r="B9" s="244"/>
      <c r="C9" s="243"/>
      <c r="D9" s="243"/>
      <c r="E9" s="243" t="s">
        <v>235</v>
      </c>
      <c r="F9" s="243" t="s">
        <v>236</v>
      </c>
      <c r="G9" s="243" t="s">
        <v>237</v>
      </c>
      <c r="H9" s="243" t="s">
        <v>238</v>
      </c>
      <c r="I9" s="243" t="s">
        <v>204</v>
      </c>
      <c r="J9" s="244"/>
      <c r="K9" s="243" t="s">
        <v>239</v>
      </c>
      <c r="L9" s="243" t="s">
        <v>239</v>
      </c>
      <c r="M9" s="243" t="s">
        <v>240</v>
      </c>
      <c r="N9" s="243" t="s">
        <v>241</v>
      </c>
      <c r="O9" s="243" t="s">
        <v>242</v>
      </c>
      <c r="P9" s="243" t="s">
        <v>231</v>
      </c>
      <c r="Q9" s="243" t="s">
        <v>243</v>
      </c>
      <c r="R9" s="243" t="s">
        <v>244</v>
      </c>
      <c r="S9" s="243" t="s">
        <v>242</v>
      </c>
      <c r="T9" s="244"/>
      <c r="U9" s="243" t="s">
        <v>31</v>
      </c>
      <c r="V9" s="243" t="s">
        <v>31</v>
      </c>
      <c r="W9" s="243" t="s">
        <v>245</v>
      </c>
      <c r="X9" s="243" t="s">
        <v>246</v>
      </c>
      <c r="Y9" s="243" t="s">
        <v>31</v>
      </c>
      <c r="Z9" s="243" t="s">
        <v>247</v>
      </c>
      <c r="AA9" s="241"/>
      <c r="AB9" s="241"/>
      <c r="AC9" s="241"/>
      <c r="AD9" s="238"/>
      <c r="AE9" s="238"/>
      <c r="AF9" s="238"/>
      <c r="AG9" s="238"/>
      <c r="AH9" s="238"/>
    </row>
    <row r="10" spans="1:34">
      <c r="A10" s="6" t="s">
        <v>31</v>
      </c>
      <c r="B10" s="243" t="s">
        <v>248</v>
      </c>
      <c r="C10" s="245" t="s">
        <v>231</v>
      </c>
      <c r="D10" s="245" t="s">
        <v>249</v>
      </c>
      <c r="E10" s="245" t="s">
        <v>244</v>
      </c>
      <c r="F10" s="245"/>
      <c r="G10" s="245"/>
      <c r="H10" s="245" t="s">
        <v>250</v>
      </c>
      <c r="I10" s="245" t="s">
        <v>251</v>
      </c>
      <c r="J10" s="245" t="s">
        <v>252</v>
      </c>
      <c r="K10" s="245" t="s">
        <v>186</v>
      </c>
      <c r="L10" s="245" t="s">
        <v>204</v>
      </c>
      <c r="M10" s="245" t="s">
        <v>186</v>
      </c>
      <c r="N10" s="245" t="s">
        <v>31</v>
      </c>
      <c r="O10" s="245" t="s">
        <v>31</v>
      </c>
      <c r="P10" s="245" t="s">
        <v>246</v>
      </c>
      <c r="Q10" s="245" t="s">
        <v>246</v>
      </c>
      <c r="R10" s="245" t="s">
        <v>245</v>
      </c>
      <c r="S10" s="245" t="s">
        <v>246</v>
      </c>
      <c r="T10" s="246"/>
      <c r="U10" s="247">
        <v>43739</v>
      </c>
      <c r="V10" s="245">
        <v>39814</v>
      </c>
      <c r="W10" s="245" t="s">
        <v>244</v>
      </c>
      <c r="X10" s="245">
        <v>39814</v>
      </c>
      <c r="Y10" s="248">
        <v>44104</v>
      </c>
      <c r="Z10" s="245" t="s">
        <v>120</v>
      </c>
      <c r="AA10" s="241"/>
      <c r="AB10" s="241"/>
      <c r="AC10" s="241"/>
      <c r="AD10" s="241" t="s">
        <v>215</v>
      </c>
      <c r="AE10" s="241" t="s">
        <v>202</v>
      </c>
      <c r="AF10" s="241" t="s">
        <v>253</v>
      </c>
      <c r="AG10" s="241" t="s">
        <v>222</v>
      </c>
      <c r="AH10" s="241" t="s">
        <v>227</v>
      </c>
    </row>
    <row r="11" spans="1:34">
      <c r="A11" s="6" t="s">
        <v>254</v>
      </c>
      <c r="B11" s="249"/>
      <c r="C11" s="250"/>
      <c r="D11" s="241"/>
      <c r="E11" s="238"/>
      <c r="F11" s="241"/>
      <c r="G11" s="238"/>
      <c r="H11" s="242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51"/>
      <c r="AE11" s="251"/>
      <c r="AF11" s="251"/>
      <c r="AG11" s="251"/>
      <c r="AH11" s="251"/>
    </row>
    <row r="12" spans="1:34">
      <c r="A12" s="8"/>
      <c r="B12" s="252" t="s">
        <v>255</v>
      </c>
      <c r="C12" s="253"/>
      <c r="D12" s="250"/>
      <c r="E12" s="254"/>
      <c r="F12" s="241"/>
      <c r="G12" s="238"/>
      <c r="H12" s="242"/>
      <c r="I12" s="238"/>
      <c r="J12" s="238"/>
      <c r="K12" s="255"/>
      <c r="L12" s="238"/>
      <c r="M12" s="256"/>
      <c r="N12" s="256"/>
      <c r="O12" s="256"/>
      <c r="P12" s="256"/>
      <c r="Q12" s="256"/>
      <c r="R12" s="238"/>
      <c r="S12" s="256"/>
      <c r="T12" s="238"/>
      <c r="U12" s="256"/>
      <c r="V12" s="256"/>
      <c r="W12" s="238"/>
      <c r="X12" s="256"/>
      <c r="Y12" s="256"/>
      <c r="Z12" s="256"/>
      <c r="AA12" s="256"/>
      <c r="AB12" s="256"/>
      <c r="AC12" s="256"/>
      <c r="AD12" s="9"/>
      <c r="AE12" s="9"/>
      <c r="AF12" s="9"/>
      <c r="AG12" s="9"/>
      <c r="AH12" s="9"/>
    </row>
    <row r="13" spans="1:34">
      <c r="A13" s="257" t="s">
        <v>256</v>
      </c>
      <c r="B13" s="257" t="s">
        <v>257</v>
      </c>
      <c r="C13" s="258">
        <v>1993</v>
      </c>
      <c r="D13" s="259">
        <v>7</v>
      </c>
      <c r="E13" s="260">
        <v>0</v>
      </c>
      <c r="F13" s="261" t="s">
        <v>258</v>
      </c>
      <c r="G13" s="261">
        <v>7</v>
      </c>
      <c r="H13" s="259">
        <f t="shared" ref="H13:H58" si="0">+C13+G13</f>
        <v>2000</v>
      </c>
      <c r="I13" s="262"/>
      <c r="J13" s="262"/>
      <c r="K13" s="263">
        <f>24737-4947</f>
        <v>19790</v>
      </c>
      <c r="L13" s="262"/>
      <c r="M13" s="263">
        <f t="shared" ref="M13:M58" si="1">K13-K13*E13</f>
        <v>19790</v>
      </c>
      <c r="N13" s="263">
        <f t="shared" ref="N13:N58" si="2">M13/G13/12</f>
        <v>235.5952380952381</v>
      </c>
      <c r="O13" s="263">
        <f t="shared" ref="O13:O54" si="3">IF(L13&gt;0,0,IF((OR((AA13&gt;AB13),(AC13&lt;AD13))),0,IF((AND((AC13&gt;=AD13),(AC13&lt;=AB13))),N13*((AC13-AD13)*12),IF((AND((AD13&lt;=AA13),(AB13&gt;=AA13))),((AB13-AA13)*12)*N13,IF(AC13&gt;AB13,12*N13,0)))))</f>
        <v>0</v>
      </c>
      <c r="P13" s="263">
        <f t="shared" ref="P13:P58" si="4">IF(L13=0,0,IF((AND((AE13&gt;=AD13),(AE13&lt;=AC13))),((AE13-AD13)*12)*N13,0))</f>
        <v>0</v>
      </c>
      <c r="Q13" s="263">
        <f t="shared" ref="Q13:Q58" si="5">IF(P13&gt;0,P13,O13)</f>
        <v>0</v>
      </c>
      <c r="R13" s="262">
        <v>1</v>
      </c>
      <c r="S13" s="263">
        <f t="shared" ref="S13:S58" si="6">R13*SUM(O13:P13)</f>
        <v>0</v>
      </c>
      <c r="T13" s="262"/>
      <c r="U13" s="263">
        <f t="shared" ref="U13:U58" si="7">IF(AA13&gt;AB13,0,IF(AC13&lt;AD13,M13,IF((AND((AC13&gt;=AD13),(AC13&lt;=AB13))),(M13-Q13),IF((AND((AD13&lt;=AA13),(AB13&gt;=AA13))),0,IF(AC13&gt;AB13,((AD13-AA13)*12)*N13,0)))))</f>
        <v>19790</v>
      </c>
      <c r="V13" s="263">
        <f t="shared" ref="V13:V58" si="8">U13*R13</f>
        <v>19790</v>
      </c>
      <c r="W13" s="262">
        <v>1</v>
      </c>
      <c r="X13" s="263">
        <f t="shared" ref="X13:X58" si="9">V13*W13</f>
        <v>19790</v>
      </c>
      <c r="Y13" s="263">
        <f t="shared" ref="Y13:Y58" si="10">IF(L13&gt;0,0,X13+S13*W13)*W13</f>
        <v>19790</v>
      </c>
      <c r="Z13" s="263">
        <f t="shared" ref="Z13:Z54" si="11">IF(L13&gt;0,(K13-X13)/2,IF(AA13&gt;=AD13,(((K13*R13)*W13)-Y13)/2,((((K13*R13)*W13)-X13)+(((K13*R13)*W13)-Y13))/2))</f>
        <v>0</v>
      </c>
      <c r="AA13" s="263">
        <f t="shared" ref="AA13:AA60" si="12">$C13+(($D13-1)/12)</f>
        <v>1993.5</v>
      </c>
      <c r="AB13" s="263">
        <f t="shared" ref="AB13:AB64" si="13">($M$5+1)-($M$2/12)</f>
        <v>2020.75</v>
      </c>
      <c r="AC13" s="263">
        <f t="shared" ref="AC13:AC60" si="14">$H13+(($D13-1)/12)</f>
        <v>2000.5</v>
      </c>
      <c r="AD13" s="264">
        <f t="shared" ref="AD13:AD64" si="15">$M$4+($M$3/12)</f>
        <v>2019.75</v>
      </c>
      <c r="AE13" s="264">
        <f t="shared" ref="AE13:AE60" si="16">$I13+(($J13-1)/12)</f>
        <v>-8.3333333333333329E-2</v>
      </c>
      <c r="AF13" s="264">
        <f t="shared" ref="AF13:AF60" si="17">$H13+(($D13-1)/12)</f>
        <v>2000.5</v>
      </c>
      <c r="AG13" s="264">
        <f t="shared" ref="AG13:AG64" si="18">$M$4+($M$3/12)</f>
        <v>2019.75</v>
      </c>
      <c r="AH13" s="264">
        <f t="shared" ref="AH13:AH60" si="19">$I13+(($J13-1)/12)</f>
        <v>-8.3333333333333329E-2</v>
      </c>
    </row>
    <row r="14" spans="1:34">
      <c r="A14" s="257" t="s">
        <v>259</v>
      </c>
      <c r="B14" s="257" t="s">
        <v>260</v>
      </c>
      <c r="C14" s="258">
        <v>2017</v>
      </c>
      <c r="D14" s="259">
        <v>12</v>
      </c>
      <c r="E14" s="260">
        <v>0</v>
      </c>
      <c r="F14" s="261" t="s">
        <v>258</v>
      </c>
      <c r="G14" s="261">
        <v>7</v>
      </c>
      <c r="H14" s="259">
        <f>+C14+G14</f>
        <v>2024</v>
      </c>
      <c r="I14" s="262"/>
      <c r="J14" s="262"/>
      <c r="K14" s="263">
        <v>4947</v>
      </c>
      <c r="L14" s="262"/>
      <c r="M14" s="263">
        <f>K14-K14*E14</f>
        <v>4947</v>
      </c>
      <c r="N14" s="263">
        <f>M14/G14/12</f>
        <v>58.892857142857139</v>
      </c>
      <c r="O14" s="263">
        <f>IF(L14&gt;0,0,IF((OR((AA14&gt;AB14),(AC14&lt;AD14))),0,IF((AND((AC14&gt;=AD14),(AC14&lt;=AB14))),N14*((AC14-AD14)*12),IF((AND((AD14&lt;=AA14),(AB14&gt;=AA14))),((AB14-AA14)*12)*N14,IF(AC14&gt;AB14,12*N14,0)))))</f>
        <v>706.71428571428567</v>
      </c>
      <c r="P14" s="263">
        <f>IF(L14=0,0,IF((AND((AE14&gt;=AD14),(AE14&lt;=AC14))),((AE14-AD14)*12)*N14,0))</f>
        <v>0</v>
      </c>
      <c r="Q14" s="263">
        <f>IF(P14&gt;0,P14,O14)</f>
        <v>706.71428571428567</v>
      </c>
      <c r="R14" s="262">
        <v>1</v>
      </c>
      <c r="S14" s="263">
        <f>R14*SUM(O14:P14)</f>
        <v>706.71428571428567</v>
      </c>
      <c r="T14" s="262"/>
      <c r="U14" s="263">
        <f>IF(AA14&gt;AB14,0,IF(AC14&lt;AD14,M14,IF((AND((AC14&gt;=AD14),(AC14&lt;=AB14))),(M14-Q14),IF((AND((AD14&lt;=AA14),(AB14&gt;=AA14))),0,IF(AC14&gt;AB14,((AD14-AA14)*12)*N14,0)))))</f>
        <v>1295.6428571428035</v>
      </c>
      <c r="V14" s="263">
        <f>U14*R14</f>
        <v>1295.6428571428035</v>
      </c>
      <c r="W14" s="262">
        <v>1</v>
      </c>
      <c r="X14" s="263">
        <f>V14*W14</f>
        <v>1295.6428571428035</v>
      </c>
      <c r="Y14" s="263">
        <f>IF(L14&gt;0,0,X14+S14*W14)*W14</f>
        <v>2002.357142857089</v>
      </c>
      <c r="Z14" s="263">
        <f>IF(L14&gt;0,(K14-X14)/2,IF(AA14&gt;=AD14,(((K14*R14)*W14)-Y14)/2,((((K14*R14)*W14)-X14)+(((K14*R14)*W14)-Y14))/2))</f>
        <v>3298.0000000000537</v>
      </c>
      <c r="AA14" s="263">
        <f t="shared" si="12"/>
        <v>2017.9166666666667</v>
      </c>
      <c r="AB14" s="263">
        <f t="shared" si="13"/>
        <v>2020.75</v>
      </c>
      <c r="AC14" s="263">
        <f t="shared" si="14"/>
        <v>2024.9166666666667</v>
      </c>
      <c r="AD14" s="264">
        <f t="shared" si="15"/>
        <v>2019.75</v>
      </c>
      <c r="AE14" s="264">
        <f t="shared" si="16"/>
        <v>-8.3333333333333329E-2</v>
      </c>
      <c r="AF14" s="264">
        <f t="shared" si="17"/>
        <v>2024.9166666666667</v>
      </c>
      <c r="AG14" s="264">
        <f t="shared" si="18"/>
        <v>2019.75</v>
      </c>
      <c r="AH14" s="264">
        <f t="shared" si="19"/>
        <v>-8.3333333333333329E-2</v>
      </c>
    </row>
    <row r="15" spans="1:34">
      <c r="A15" s="257" t="s">
        <v>261</v>
      </c>
      <c r="B15" s="257" t="s">
        <v>262</v>
      </c>
      <c r="C15" s="258">
        <v>1998</v>
      </c>
      <c r="D15" s="259">
        <v>9</v>
      </c>
      <c r="E15" s="260">
        <v>0</v>
      </c>
      <c r="F15" s="261" t="s">
        <v>258</v>
      </c>
      <c r="G15" s="261">
        <v>5</v>
      </c>
      <c r="H15" s="259">
        <f t="shared" si="0"/>
        <v>2003</v>
      </c>
      <c r="I15" s="262"/>
      <c r="J15" s="262"/>
      <c r="K15" s="263">
        <f>7100-2343</f>
        <v>4757</v>
      </c>
      <c r="L15" s="262"/>
      <c r="M15" s="263">
        <f t="shared" si="1"/>
        <v>4757</v>
      </c>
      <c r="N15" s="263">
        <f t="shared" si="2"/>
        <v>79.283333333333331</v>
      </c>
      <c r="O15" s="263">
        <f t="shared" si="3"/>
        <v>0</v>
      </c>
      <c r="P15" s="263">
        <f t="shared" si="4"/>
        <v>0</v>
      </c>
      <c r="Q15" s="263">
        <f t="shared" si="5"/>
        <v>0</v>
      </c>
      <c r="R15" s="262">
        <v>1</v>
      </c>
      <c r="S15" s="263">
        <f t="shared" si="6"/>
        <v>0</v>
      </c>
      <c r="T15" s="262"/>
      <c r="U15" s="263">
        <f t="shared" si="7"/>
        <v>4757</v>
      </c>
      <c r="V15" s="263">
        <f t="shared" si="8"/>
        <v>4757</v>
      </c>
      <c r="W15" s="262">
        <v>1</v>
      </c>
      <c r="X15" s="263">
        <f t="shared" si="9"/>
        <v>4757</v>
      </c>
      <c r="Y15" s="263">
        <f t="shared" si="10"/>
        <v>4757</v>
      </c>
      <c r="Z15" s="263">
        <f t="shared" si="11"/>
        <v>0</v>
      </c>
      <c r="AA15" s="263">
        <f t="shared" si="12"/>
        <v>1998.6666666666667</v>
      </c>
      <c r="AB15" s="263">
        <f t="shared" si="13"/>
        <v>2020.75</v>
      </c>
      <c r="AC15" s="263">
        <f t="shared" si="14"/>
        <v>2003.6666666666667</v>
      </c>
      <c r="AD15" s="264">
        <f t="shared" si="15"/>
        <v>2019.75</v>
      </c>
      <c r="AE15" s="264">
        <f t="shared" si="16"/>
        <v>-8.3333333333333329E-2</v>
      </c>
      <c r="AF15" s="264">
        <f t="shared" si="17"/>
        <v>2003.6666666666667</v>
      </c>
      <c r="AG15" s="264">
        <f t="shared" si="18"/>
        <v>2019.75</v>
      </c>
      <c r="AH15" s="264">
        <f t="shared" si="19"/>
        <v>-8.3333333333333329E-2</v>
      </c>
    </row>
    <row r="16" spans="1:34">
      <c r="A16" s="257" t="s">
        <v>263</v>
      </c>
      <c r="B16" s="257" t="s">
        <v>264</v>
      </c>
      <c r="C16" s="258">
        <v>2017</v>
      </c>
      <c r="D16" s="259">
        <v>12</v>
      </c>
      <c r="E16" s="260">
        <v>0</v>
      </c>
      <c r="F16" s="261" t="s">
        <v>258</v>
      </c>
      <c r="G16" s="261">
        <v>5</v>
      </c>
      <c r="H16" s="259">
        <f>+C16+G16</f>
        <v>2022</v>
      </c>
      <c r="I16" s="262"/>
      <c r="J16" s="262"/>
      <c r="K16" s="263">
        <v>2343</v>
      </c>
      <c r="L16" s="262"/>
      <c r="M16" s="263">
        <f>K16-K16*E16</f>
        <v>2343</v>
      </c>
      <c r="N16" s="263">
        <f>M16/G16/12</f>
        <v>39.050000000000004</v>
      </c>
      <c r="O16" s="263">
        <f>IF(L16&gt;0,0,IF((OR((AA16&gt;AB16),(AC16&lt;AD16))),0,IF((AND((AC16&gt;=AD16),(AC16&lt;=AB16))),N16*((AC16-AD16)*12),IF((AND((AD16&lt;=AA16),(AB16&gt;=AA16))),((AB16-AA16)*12)*N16,IF(AC16&gt;AB16,12*N16,0)))))</f>
        <v>468.6</v>
      </c>
      <c r="P16" s="263">
        <f>IF(L16=0,0,IF((AND((AE16&gt;=AD16),(AE16&lt;=AC16))),((AE16-AD16)*12)*N16,0))</f>
        <v>0</v>
      </c>
      <c r="Q16" s="263">
        <f>IF(P16&gt;0,P16,O16)</f>
        <v>468.6</v>
      </c>
      <c r="R16" s="262">
        <v>1</v>
      </c>
      <c r="S16" s="263">
        <f>R16*SUM(O16:P16)</f>
        <v>468.6</v>
      </c>
      <c r="T16" s="262"/>
      <c r="U16" s="263">
        <f>IF(AA16&gt;AB16,0,IF(AC16&lt;AD16,M16,IF((AND((AC16&gt;=AD16),(AC16&lt;=AB16))),(M16-Q16),IF((AND((AD16&lt;=AA16),(AB16&gt;=AA16))),0,IF(AC16&gt;AB16,((AD16-AA16)*12)*N16,0)))))</f>
        <v>859.09999999996455</v>
      </c>
      <c r="V16" s="263">
        <f>U16*R16</f>
        <v>859.09999999996455</v>
      </c>
      <c r="W16" s="262">
        <v>1</v>
      </c>
      <c r="X16" s="263">
        <f>V16*W16</f>
        <v>859.09999999996455</v>
      </c>
      <c r="Y16" s="263">
        <f>IF(L16&gt;0,0,X16+S16*W16)*W16</f>
        <v>1327.6999999999646</v>
      </c>
      <c r="Z16" s="263">
        <f>IF(L16&gt;0,(K16-X16)/2,IF(AA16&gt;=AD16,(((K16*R16)*W16)-Y16)/2,((((K16*R16)*W16)-X16)+(((K16*R16)*W16)-Y16))/2))</f>
        <v>1249.6000000000354</v>
      </c>
      <c r="AA16" s="263">
        <f t="shared" si="12"/>
        <v>2017.9166666666667</v>
      </c>
      <c r="AB16" s="263">
        <f t="shared" si="13"/>
        <v>2020.75</v>
      </c>
      <c r="AC16" s="263">
        <f t="shared" si="14"/>
        <v>2022.9166666666667</v>
      </c>
      <c r="AD16" s="264">
        <f t="shared" si="15"/>
        <v>2019.75</v>
      </c>
      <c r="AE16" s="264">
        <f t="shared" si="16"/>
        <v>-8.3333333333333329E-2</v>
      </c>
      <c r="AF16" s="264">
        <f t="shared" si="17"/>
        <v>2022.9166666666667</v>
      </c>
      <c r="AG16" s="264">
        <f t="shared" si="18"/>
        <v>2019.75</v>
      </c>
      <c r="AH16" s="264">
        <f t="shared" si="19"/>
        <v>-8.3333333333333329E-2</v>
      </c>
    </row>
    <row r="17" spans="1:34">
      <c r="A17" s="257" t="s">
        <v>265</v>
      </c>
      <c r="B17" s="257" t="s">
        <v>266</v>
      </c>
      <c r="C17" s="258">
        <v>2001</v>
      </c>
      <c r="D17" s="259">
        <v>7</v>
      </c>
      <c r="E17" s="260">
        <v>0</v>
      </c>
      <c r="F17" s="261" t="s">
        <v>258</v>
      </c>
      <c r="G17" s="261">
        <v>5</v>
      </c>
      <c r="H17" s="259">
        <f t="shared" si="0"/>
        <v>2006</v>
      </c>
      <c r="I17" s="262"/>
      <c r="J17" s="262"/>
      <c r="K17" s="263">
        <f>31129-10273</f>
        <v>20856</v>
      </c>
      <c r="L17" s="262"/>
      <c r="M17" s="263">
        <f t="shared" si="1"/>
        <v>20856</v>
      </c>
      <c r="N17" s="263">
        <f t="shared" si="2"/>
        <v>347.59999999999997</v>
      </c>
      <c r="O17" s="263">
        <f t="shared" si="3"/>
        <v>0</v>
      </c>
      <c r="P17" s="263">
        <f t="shared" si="4"/>
        <v>0</v>
      </c>
      <c r="Q17" s="263">
        <f t="shared" si="5"/>
        <v>0</v>
      </c>
      <c r="R17" s="262">
        <v>1</v>
      </c>
      <c r="S17" s="263">
        <f t="shared" si="6"/>
        <v>0</v>
      </c>
      <c r="T17" s="262"/>
      <c r="U17" s="263">
        <f t="shared" si="7"/>
        <v>20856</v>
      </c>
      <c r="V17" s="263">
        <f t="shared" si="8"/>
        <v>20856</v>
      </c>
      <c r="W17" s="262">
        <v>1</v>
      </c>
      <c r="X17" s="263">
        <f t="shared" si="9"/>
        <v>20856</v>
      </c>
      <c r="Y17" s="263">
        <f t="shared" si="10"/>
        <v>20856</v>
      </c>
      <c r="Z17" s="263">
        <f t="shared" si="11"/>
        <v>0</v>
      </c>
      <c r="AA17" s="263">
        <f t="shared" si="12"/>
        <v>2001.5</v>
      </c>
      <c r="AB17" s="263">
        <f t="shared" si="13"/>
        <v>2020.75</v>
      </c>
      <c r="AC17" s="263">
        <f t="shared" si="14"/>
        <v>2006.5</v>
      </c>
      <c r="AD17" s="264">
        <f t="shared" si="15"/>
        <v>2019.75</v>
      </c>
      <c r="AE17" s="264">
        <f t="shared" si="16"/>
        <v>-8.3333333333333329E-2</v>
      </c>
      <c r="AF17" s="264">
        <f t="shared" si="17"/>
        <v>2006.5</v>
      </c>
      <c r="AG17" s="264">
        <f t="shared" si="18"/>
        <v>2019.75</v>
      </c>
      <c r="AH17" s="264">
        <f t="shared" si="19"/>
        <v>-8.3333333333333329E-2</v>
      </c>
    </row>
    <row r="18" spans="1:34">
      <c r="A18" s="257" t="s">
        <v>267</v>
      </c>
      <c r="B18" s="257" t="s">
        <v>268</v>
      </c>
      <c r="C18" s="258">
        <v>2017</v>
      </c>
      <c r="D18" s="259">
        <v>12</v>
      </c>
      <c r="E18" s="260">
        <v>0</v>
      </c>
      <c r="F18" s="261" t="s">
        <v>258</v>
      </c>
      <c r="G18" s="261">
        <v>5</v>
      </c>
      <c r="H18" s="259">
        <f>+C18+G18</f>
        <v>2022</v>
      </c>
      <c r="I18" s="262"/>
      <c r="J18" s="262"/>
      <c r="K18" s="263">
        <v>10273</v>
      </c>
      <c r="L18" s="262"/>
      <c r="M18" s="263">
        <f>K18-K18*E18</f>
        <v>10273</v>
      </c>
      <c r="N18" s="263">
        <f>M18/G18/12</f>
        <v>171.21666666666667</v>
      </c>
      <c r="O18" s="263">
        <f>IF(L18&gt;0,0,IF((OR((AA18&gt;AB18),(AC18&lt;AD18))),0,IF((AND((AC18&gt;=AD18),(AC18&lt;=AB18))),N18*((AC18-AD18)*12),IF((AND((AD18&lt;=AA18),(AB18&gt;=AA18))),((AB18-AA18)*12)*N18,IF(AC18&gt;AB18,12*N18,0)))))</f>
        <v>2054.6</v>
      </c>
      <c r="P18" s="263">
        <f>IF(L18=0,0,IF((AND((AE18&gt;=AD18),(AE18&lt;=AC18))),((AE18-AD18)*12)*N18,0))</f>
        <v>0</v>
      </c>
      <c r="Q18" s="263">
        <f>IF(P18&gt;0,P18,O18)</f>
        <v>2054.6</v>
      </c>
      <c r="R18" s="262">
        <v>1</v>
      </c>
      <c r="S18" s="263">
        <f>R18*SUM(O18:P18)</f>
        <v>2054.6</v>
      </c>
      <c r="T18" s="262"/>
      <c r="U18" s="263">
        <f>IF(AA18&gt;AB18,0,IF(AC18&lt;AD18,M18,IF((AND((AC18&gt;=AD18),(AC18&lt;=AB18))),(M18-Q18),IF((AND((AD18&lt;=AA18),(AB18&gt;=AA18))),0,IF(AC18&gt;AB18,((AD18-AA18)*12)*N18,0)))))</f>
        <v>3766.7666666665109</v>
      </c>
      <c r="V18" s="263">
        <f>U18*R18</f>
        <v>3766.7666666665109</v>
      </c>
      <c r="W18" s="262">
        <v>1</v>
      </c>
      <c r="X18" s="263">
        <f>V18*W18</f>
        <v>3766.7666666665109</v>
      </c>
      <c r="Y18" s="263">
        <f>IF(L18&gt;0,0,X18+S18*W18)*W18</f>
        <v>5821.3666666665104</v>
      </c>
      <c r="Z18" s="263">
        <f>IF(L18&gt;0,(K18-X18)/2,IF(AA18&gt;=AD18,(((K18*R18)*W18)-Y18)/2,((((K18*R18)*W18)-X18)+(((K18*R18)*W18)-Y18))/2))</f>
        <v>5478.9333333334889</v>
      </c>
      <c r="AA18" s="263">
        <f t="shared" si="12"/>
        <v>2017.9166666666667</v>
      </c>
      <c r="AB18" s="263">
        <f t="shared" si="13"/>
        <v>2020.75</v>
      </c>
      <c r="AC18" s="263">
        <f t="shared" si="14"/>
        <v>2022.9166666666667</v>
      </c>
      <c r="AD18" s="264">
        <f t="shared" si="15"/>
        <v>2019.75</v>
      </c>
      <c r="AE18" s="264">
        <f t="shared" si="16"/>
        <v>-8.3333333333333329E-2</v>
      </c>
      <c r="AF18" s="264">
        <f t="shared" si="17"/>
        <v>2022.9166666666667</v>
      </c>
      <c r="AG18" s="264">
        <f t="shared" si="18"/>
        <v>2019.75</v>
      </c>
      <c r="AH18" s="264">
        <f t="shared" si="19"/>
        <v>-8.3333333333333329E-2</v>
      </c>
    </row>
    <row r="19" spans="1:34">
      <c r="A19" s="257" t="s">
        <v>269</v>
      </c>
      <c r="B19" s="257" t="s">
        <v>270</v>
      </c>
      <c r="C19" s="258">
        <v>2003</v>
      </c>
      <c r="D19" s="259">
        <v>10</v>
      </c>
      <c r="E19" s="260">
        <v>0</v>
      </c>
      <c r="F19" s="261" t="s">
        <v>258</v>
      </c>
      <c r="G19" s="261">
        <v>5</v>
      </c>
      <c r="H19" s="259">
        <f t="shared" si="0"/>
        <v>2008</v>
      </c>
      <c r="I19" s="262"/>
      <c r="J19" s="262"/>
      <c r="K19" s="263">
        <f>13900-4587</f>
        <v>9313</v>
      </c>
      <c r="L19" s="262"/>
      <c r="M19" s="263">
        <f t="shared" si="1"/>
        <v>9313</v>
      </c>
      <c r="N19" s="263">
        <f t="shared" si="2"/>
        <v>155.21666666666667</v>
      </c>
      <c r="O19" s="263">
        <f t="shared" si="3"/>
        <v>0</v>
      </c>
      <c r="P19" s="263">
        <f t="shared" si="4"/>
        <v>0</v>
      </c>
      <c r="Q19" s="263">
        <f t="shared" si="5"/>
        <v>0</v>
      </c>
      <c r="R19" s="262">
        <v>1</v>
      </c>
      <c r="S19" s="263">
        <f t="shared" si="6"/>
        <v>0</v>
      </c>
      <c r="T19" s="262"/>
      <c r="U19" s="263">
        <f t="shared" si="7"/>
        <v>9313</v>
      </c>
      <c r="V19" s="263">
        <f t="shared" si="8"/>
        <v>9313</v>
      </c>
      <c r="W19" s="262">
        <v>1</v>
      </c>
      <c r="X19" s="263">
        <f t="shared" si="9"/>
        <v>9313</v>
      </c>
      <c r="Y19" s="263">
        <f t="shared" si="10"/>
        <v>9313</v>
      </c>
      <c r="Z19" s="263">
        <f t="shared" si="11"/>
        <v>0</v>
      </c>
      <c r="AA19" s="263">
        <f t="shared" si="12"/>
        <v>2003.75</v>
      </c>
      <c r="AB19" s="263">
        <f t="shared" si="13"/>
        <v>2020.75</v>
      </c>
      <c r="AC19" s="263">
        <f t="shared" si="14"/>
        <v>2008.75</v>
      </c>
      <c r="AD19" s="264">
        <f t="shared" si="15"/>
        <v>2019.75</v>
      </c>
      <c r="AE19" s="264">
        <f t="shared" si="16"/>
        <v>-8.3333333333333329E-2</v>
      </c>
      <c r="AF19" s="264">
        <f t="shared" si="17"/>
        <v>2008.75</v>
      </c>
      <c r="AG19" s="264">
        <f t="shared" si="18"/>
        <v>2019.75</v>
      </c>
      <c r="AH19" s="264">
        <f t="shared" si="19"/>
        <v>-8.3333333333333329E-2</v>
      </c>
    </row>
    <row r="20" spans="1:34">
      <c r="A20" s="257" t="s">
        <v>271</v>
      </c>
      <c r="B20" s="257" t="s">
        <v>272</v>
      </c>
      <c r="C20" s="258">
        <v>2017</v>
      </c>
      <c r="D20" s="259">
        <v>12</v>
      </c>
      <c r="E20" s="260">
        <v>0</v>
      </c>
      <c r="F20" s="261" t="s">
        <v>258</v>
      </c>
      <c r="G20" s="261">
        <v>5</v>
      </c>
      <c r="H20" s="259">
        <f>+C20+G20</f>
        <v>2022</v>
      </c>
      <c r="I20" s="262"/>
      <c r="J20" s="262"/>
      <c r="K20" s="263">
        <v>4587</v>
      </c>
      <c r="L20" s="262"/>
      <c r="M20" s="263">
        <f>K20-K20*E20</f>
        <v>4587</v>
      </c>
      <c r="N20" s="263">
        <f>M20/G20/12</f>
        <v>76.45</v>
      </c>
      <c r="O20" s="263">
        <f>IF(L20&gt;0,0,IF((OR((AA20&gt;AB20),(AC20&lt;AD20))),0,IF((AND((AC20&gt;=AD20),(AC20&lt;=AB20))),N20*((AC20-AD20)*12),IF((AND((AD20&lt;=AA20),(AB20&gt;=AA20))),((AB20-AA20)*12)*N20,IF(AC20&gt;AB20,12*N20,0)))))</f>
        <v>917.40000000000009</v>
      </c>
      <c r="P20" s="263">
        <f>IF(L20=0,0,IF((AND((AE20&gt;=AD20),(AE20&lt;=AC20))),((AE20-AD20)*12)*N20,0))</f>
        <v>0</v>
      </c>
      <c r="Q20" s="263">
        <f>IF(P20&gt;0,P20,O20)</f>
        <v>917.40000000000009</v>
      </c>
      <c r="R20" s="262">
        <v>1</v>
      </c>
      <c r="S20" s="263">
        <f>R20*SUM(O20:P20)</f>
        <v>917.40000000000009</v>
      </c>
      <c r="T20" s="262"/>
      <c r="U20" s="263">
        <f>IF(AA20&gt;AB20,0,IF(AC20&lt;AD20,M20,IF((AND((AC20&gt;=AD20),(AC20&lt;=AB20))),(M20-Q20),IF((AND((AD20&lt;=AA20),(AB20&gt;=AA20))),0,IF(AC20&gt;AB20,((AD20-AA20)*12)*N20,0)))))</f>
        <v>1681.8999999999305</v>
      </c>
      <c r="V20" s="263">
        <f>U20*R20</f>
        <v>1681.8999999999305</v>
      </c>
      <c r="W20" s="262">
        <v>1</v>
      </c>
      <c r="X20" s="263">
        <f>V20*W20</f>
        <v>1681.8999999999305</v>
      </c>
      <c r="Y20" s="263">
        <f>IF(L20&gt;0,0,X20+S20*W20)*W20</f>
        <v>2599.2999999999306</v>
      </c>
      <c r="Z20" s="263">
        <f>IF(L20&gt;0,(K20-X20)/2,IF(AA20&gt;=AD20,(((K20*R20)*W20)-Y20)/2,((((K20*R20)*W20)-X20)+(((K20*R20)*W20)-Y20))/2))</f>
        <v>2446.4000000000697</v>
      </c>
      <c r="AA20" s="263">
        <f t="shared" si="12"/>
        <v>2017.9166666666667</v>
      </c>
      <c r="AB20" s="263">
        <f t="shared" si="13"/>
        <v>2020.75</v>
      </c>
      <c r="AC20" s="263">
        <f t="shared" si="14"/>
        <v>2022.9166666666667</v>
      </c>
      <c r="AD20" s="264">
        <f t="shared" si="15"/>
        <v>2019.75</v>
      </c>
      <c r="AE20" s="264">
        <f t="shared" si="16"/>
        <v>-8.3333333333333329E-2</v>
      </c>
      <c r="AF20" s="264">
        <f t="shared" si="17"/>
        <v>2022.9166666666667</v>
      </c>
      <c r="AG20" s="264">
        <f t="shared" si="18"/>
        <v>2019.75</v>
      </c>
      <c r="AH20" s="264">
        <f t="shared" si="19"/>
        <v>-8.3333333333333329E-2</v>
      </c>
    </row>
    <row r="21" spans="1:34">
      <c r="A21" s="257" t="s">
        <v>273</v>
      </c>
      <c r="B21" s="257" t="s">
        <v>274</v>
      </c>
      <c r="C21" s="258">
        <v>2003</v>
      </c>
      <c r="D21" s="259">
        <v>10</v>
      </c>
      <c r="E21" s="260">
        <v>0</v>
      </c>
      <c r="F21" s="261" t="s">
        <v>258</v>
      </c>
      <c r="G21" s="261">
        <v>5</v>
      </c>
      <c r="H21" s="259">
        <f t="shared" si="0"/>
        <v>2008</v>
      </c>
      <c r="I21" s="262"/>
      <c r="J21" s="262"/>
      <c r="K21" s="263">
        <f>8298-2738</f>
        <v>5560</v>
      </c>
      <c r="L21" s="262"/>
      <c r="M21" s="263">
        <f t="shared" si="1"/>
        <v>5560</v>
      </c>
      <c r="N21" s="263">
        <f t="shared" si="2"/>
        <v>92.666666666666671</v>
      </c>
      <c r="O21" s="263">
        <f t="shared" si="3"/>
        <v>0</v>
      </c>
      <c r="P21" s="263">
        <f t="shared" si="4"/>
        <v>0</v>
      </c>
      <c r="Q21" s="263">
        <f t="shared" si="5"/>
        <v>0</v>
      </c>
      <c r="R21" s="262">
        <v>1</v>
      </c>
      <c r="S21" s="263">
        <f t="shared" si="6"/>
        <v>0</v>
      </c>
      <c r="T21" s="262"/>
      <c r="U21" s="263">
        <f t="shared" si="7"/>
        <v>5560</v>
      </c>
      <c r="V21" s="263">
        <f t="shared" si="8"/>
        <v>5560</v>
      </c>
      <c r="W21" s="262">
        <v>1</v>
      </c>
      <c r="X21" s="263">
        <f t="shared" si="9"/>
        <v>5560</v>
      </c>
      <c r="Y21" s="263">
        <f t="shared" si="10"/>
        <v>5560</v>
      </c>
      <c r="Z21" s="263">
        <f t="shared" si="11"/>
        <v>0</v>
      </c>
      <c r="AA21" s="263">
        <f t="shared" si="12"/>
        <v>2003.75</v>
      </c>
      <c r="AB21" s="263">
        <f t="shared" si="13"/>
        <v>2020.75</v>
      </c>
      <c r="AC21" s="263">
        <f t="shared" si="14"/>
        <v>2008.75</v>
      </c>
      <c r="AD21" s="264">
        <f t="shared" si="15"/>
        <v>2019.75</v>
      </c>
      <c r="AE21" s="264">
        <f t="shared" si="16"/>
        <v>-8.3333333333333329E-2</v>
      </c>
      <c r="AF21" s="264">
        <f t="shared" si="17"/>
        <v>2008.75</v>
      </c>
      <c r="AG21" s="264">
        <f t="shared" si="18"/>
        <v>2019.75</v>
      </c>
      <c r="AH21" s="264">
        <f t="shared" si="19"/>
        <v>-8.3333333333333329E-2</v>
      </c>
    </row>
    <row r="22" spans="1:34">
      <c r="A22" s="257" t="s">
        <v>275</v>
      </c>
      <c r="B22" s="257" t="s">
        <v>276</v>
      </c>
      <c r="C22" s="258">
        <v>2017</v>
      </c>
      <c r="D22" s="259">
        <v>12</v>
      </c>
      <c r="E22" s="260">
        <v>0</v>
      </c>
      <c r="F22" s="261" t="s">
        <v>258</v>
      </c>
      <c r="G22" s="261">
        <v>5</v>
      </c>
      <c r="H22" s="259">
        <f>+C22+G22</f>
        <v>2022</v>
      </c>
      <c r="I22" s="262"/>
      <c r="J22" s="262"/>
      <c r="K22" s="263">
        <v>2738</v>
      </c>
      <c r="L22" s="262"/>
      <c r="M22" s="263">
        <f>K22-K22*E22</f>
        <v>2738</v>
      </c>
      <c r="N22" s="263">
        <f>M22/G22/12</f>
        <v>45.633333333333333</v>
      </c>
      <c r="O22" s="263">
        <f>IF(L22&gt;0,0,IF((OR((AA22&gt;AB22),(AC22&lt;AD22))),0,IF((AND((AC22&gt;=AD22),(AC22&lt;=AB22))),N22*((AC22-AD22)*12),IF((AND((AD22&lt;=AA22),(AB22&gt;=AA22))),((AB22-AA22)*12)*N22,IF(AC22&gt;AB22,12*N22,0)))))</f>
        <v>547.6</v>
      </c>
      <c r="P22" s="263">
        <f>IF(L22=0,0,IF((AND((AE22&gt;=AD22),(AE22&lt;=AC22))),((AE22-AD22)*12)*N22,0))</f>
        <v>0</v>
      </c>
      <c r="Q22" s="263">
        <f>IF(P22&gt;0,P22,O22)</f>
        <v>547.6</v>
      </c>
      <c r="R22" s="262">
        <v>1</v>
      </c>
      <c r="S22" s="263">
        <f>R22*SUM(O22:P22)</f>
        <v>547.6</v>
      </c>
      <c r="T22" s="262"/>
      <c r="U22" s="263">
        <f>IF(AA22&gt;AB22,0,IF(AC22&lt;AD22,M22,IF((AND((AC22&gt;=AD22),(AC22&lt;=AB22))),(M22-Q22),IF((AND((AD22&lt;=AA22),(AB22&gt;=AA22))),0,IF(AC22&gt;AB22,((AD22-AA22)*12)*N22,0)))))</f>
        <v>1003.9333333332918</v>
      </c>
      <c r="V22" s="263">
        <f>U22*R22</f>
        <v>1003.9333333332918</v>
      </c>
      <c r="W22" s="262">
        <v>1</v>
      </c>
      <c r="X22" s="263">
        <f>V22*W22</f>
        <v>1003.9333333332918</v>
      </c>
      <c r="Y22" s="263">
        <f>IF(L22&gt;0,0,X22+S22*W22)*W22</f>
        <v>1551.5333333332919</v>
      </c>
      <c r="Z22" s="263">
        <f>IF(L22&gt;0,(K22-X22)/2,IF(AA22&gt;=AD22,(((K22*R22)*W22)-Y22)/2,((((K22*R22)*W22)-X22)+(((K22*R22)*W22)-Y22))/2))</f>
        <v>1460.2666666667083</v>
      </c>
      <c r="AA22" s="263">
        <f t="shared" si="12"/>
        <v>2017.9166666666667</v>
      </c>
      <c r="AB22" s="263">
        <f t="shared" si="13"/>
        <v>2020.75</v>
      </c>
      <c r="AC22" s="263">
        <f t="shared" si="14"/>
        <v>2022.9166666666667</v>
      </c>
      <c r="AD22" s="264">
        <f t="shared" si="15"/>
        <v>2019.75</v>
      </c>
      <c r="AE22" s="264">
        <f t="shared" si="16"/>
        <v>-8.3333333333333329E-2</v>
      </c>
      <c r="AF22" s="264">
        <f t="shared" si="17"/>
        <v>2022.9166666666667</v>
      </c>
      <c r="AG22" s="264">
        <f t="shared" si="18"/>
        <v>2019.75</v>
      </c>
      <c r="AH22" s="264">
        <f t="shared" si="19"/>
        <v>-8.3333333333333329E-2</v>
      </c>
    </row>
    <row r="23" spans="1:34">
      <c r="A23" s="257" t="s">
        <v>277</v>
      </c>
      <c r="B23" s="257" t="s">
        <v>278</v>
      </c>
      <c r="C23" s="258">
        <v>2004</v>
      </c>
      <c r="D23" s="259">
        <v>7</v>
      </c>
      <c r="E23" s="260">
        <v>0</v>
      </c>
      <c r="F23" s="261" t="s">
        <v>258</v>
      </c>
      <c r="G23" s="261">
        <v>7</v>
      </c>
      <c r="H23" s="259">
        <f t="shared" si="0"/>
        <v>2011</v>
      </c>
      <c r="I23" s="262"/>
      <c r="J23" s="262"/>
      <c r="K23" s="263">
        <f>108373-21675</f>
        <v>86698</v>
      </c>
      <c r="L23" s="262"/>
      <c r="M23" s="263">
        <f t="shared" si="1"/>
        <v>86698</v>
      </c>
      <c r="N23" s="263">
        <f t="shared" si="2"/>
        <v>1032.1190476190475</v>
      </c>
      <c r="O23" s="263">
        <f t="shared" si="3"/>
        <v>0</v>
      </c>
      <c r="P23" s="263">
        <f t="shared" si="4"/>
        <v>0</v>
      </c>
      <c r="Q23" s="263">
        <f t="shared" si="5"/>
        <v>0</v>
      </c>
      <c r="R23" s="262">
        <v>1</v>
      </c>
      <c r="S23" s="263">
        <f t="shared" si="6"/>
        <v>0</v>
      </c>
      <c r="T23" s="262"/>
      <c r="U23" s="263">
        <f t="shared" si="7"/>
        <v>86698</v>
      </c>
      <c r="V23" s="263">
        <f t="shared" si="8"/>
        <v>86698</v>
      </c>
      <c r="W23" s="262">
        <v>1</v>
      </c>
      <c r="X23" s="263">
        <f t="shared" si="9"/>
        <v>86698</v>
      </c>
      <c r="Y23" s="263">
        <f t="shared" si="10"/>
        <v>86698</v>
      </c>
      <c r="Z23" s="263">
        <f t="shared" si="11"/>
        <v>0</v>
      </c>
      <c r="AA23" s="263">
        <f t="shared" si="12"/>
        <v>2004.5</v>
      </c>
      <c r="AB23" s="263">
        <f t="shared" si="13"/>
        <v>2020.75</v>
      </c>
      <c r="AC23" s="263">
        <f t="shared" si="14"/>
        <v>2011.5</v>
      </c>
      <c r="AD23" s="264">
        <f t="shared" si="15"/>
        <v>2019.75</v>
      </c>
      <c r="AE23" s="264">
        <f t="shared" si="16"/>
        <v>-8.3333333333333329E-2</v>
      </c>
      <c r="AF23" s="264">
        <f t="shared" si="17"/>
        <v>2011.5</v>
      </c>
      <c r="AG23" s="264">
        <f t="shared" si="18"/>
        <v>2019.75</v>
      </c>
      <c r="AH23" s="264">
        <f t="shared" si="19"/>
        <v>-8.3333333333333329E-2</v>
      </c>
    </row>
    <row r="24" spans="1:34">
      <c r="A24" s="257" t="s">
        <v>279</v>
      </c>
      <c r="B24" s="257" t="s">
        <v>280</v>
      </c>
      <c r="C24" s="258">
        <v>2017</v>
      </c>
      <c r="D24" s="259">
        <v>12</v>
      </c>
      <c r="E24" s="260">
        <v>0</v>
      </c>
      <c r="F24" s="261" t="s">
        <v>258</v>
      </c>
      <c r="G24" s="261">
        <v>7</v>
      </c>
      <c r="H24" s="259">
        <f>+C24+G24</f>
        <v>2024</v>
      </c>
      <c r="I24" s="262"/>
      <c r="J24" s="262"/>
      <c r="K24" s="263">
        <v>21675</v>
      </c>
      <c r="L24" s="262"/>
      <c r="M24" s="263">
        <f>K24-K24*E24</f>
        <v>21675</v>
      </c>
      <c r="N24" s="263">
        <f>M24/G24/12</f>
        <v>258.03571428571428</v>
      </c>
      <c r="O24" s="263">
        <f>IF(L24&gt;0,0,IF((OR((AA24&gt;AB24),(AC24&lt;AD24))),0,IF((AND((AC24&gt;=AD24),(AC24&lt;=AB24))),N24*((AC24-AD24)*12),IF((AND((AD24&lt;=AA24),(AB24&gt;=AA24))),((AB24-AA24)*12)*N24,IF(AC24&gt;AB24,12*N24,0)))))</f>
        <v>3096.4285714285716</v>
      </c>
      <c r="P24" s="263">
        <f>IF(L24=0,0,IF((AND((AE24&gt;=AD24),(AE24&lt;=AC24))),((AE24-AD24)*12)*N24,0))</f>
        <v>0</v>
      </c>
      <c r="Q24" s="263">
        <f>IF(P24&gt;0,P24,O24)</f>
        <v>3096.4285714285716</v>
      </c>
      <c r="R24" s="262">
        <v>1</v>
      </c>
      <c r="S24" s="263">
        <f>R24*SUM(O24:P24)</f>
        <v>3096.4285714285716</v>
      </c>
      <c r="T24" s="262"/>
      <c r="U24" s="263">
        <f>IF(AA24&gt;AB24,0,IF(AC24&lt;AD24,M24,IF((AND((AC24&gt;=AD24),(AC24&lt;=AB24))),(M24-Q24),IF((AND((AD24&lt;=AA24),(AB24&gt;=AA24))),0,IF(AC24&gt;AB24,((AD24-AA24)*12)*N24,0)))))</f>
        <v>5676.7857142854791</v>
      </c>
      <c r="V24" s="263">
        <f>U24*R24</f>
        <v>5676.7857142854791</v>
      </c>
      <c r="W24" s="262">
        <v>1</v>
      </c>
      <c r="X24" s="263">
        <f>V24*W24</f>
        <v>5676.7857142854791</v>
      </c>
      <c r="Y24" s="263">
        <f>IF(L24&gt;0,0,X24+S24*W24)*W24</f>
        <v>8773.2142857140498</v>
      </c>
      <c r="Z24" s="263">
        <f>IF(L24&gt;0,(K24-X24)/2,IF(AA24&gt;=AD24,(((K24*R24)*W24)-Y24)/2,((((K24*R24)*W24)-X24)+(((K24*R24)*W24)-Y24))/2))</f>
        <v>14450.000000000236</v>
      </c>
      <c r="AA24" s="263">
        <f t="shared" si="12"/>
        <v>2017.9166666666667</v>
      </c>
      <c r="AB24" s="263">
        <f t="shared" si="13"/>
        <v>2020.75</v>
      </c>
      <c r="AC24" s="263">
        <f t="shared" si="14"/>
        <v>2024.9166666666667</v>
      </c>
      <c r="AD24" s="264">
        <f t="shared" si="15"/>
        <v>2019.75</v>
      </c>
      <c r="AE24" s="264">
        <f t="shared" si="16"/>
        <v>-8.3333333333333329E-2</v>
      </c>
      <c r="AF24" s="264">
        <f t="shared" si="17"/>
        <v>2024.9166666666667</v>
      </c>
      <c r="AG24" s="264">
        <f t="shared" si="18"/>
        <v>2019.75</v>
      </c>
      <c r="AH24" s="264">
        <f t="shared" si="19"/>
        <v>-8.3333333333333329E-2</v>
      </c>
    </row>
    <row r="25" spans="1:34">
      <c r="A25" s="257" t="s">
        <v>281</v>
      </c>
      <c r="B25" s="257" t="s">
        <v>282</v>
      </c>
      <c r="C25" s="258">
        <v>2005</v>
      </c>
      <c r="D25" s="259">
        <v>4</v>
      </c>
      <c r="E25" s="260">
        <v>0</v>
      </c>
      <c r="F25" s="261" t="s">
        <v>258</v>
      </c>
      <c r="G25" s="261">
        <v>7</v>
      </c>
      <c r="H25" s="259">
        <f t="shared" si="0"/>
        <v>2012</v>
      </c>
      <c r="I25" s="262"/>
      <c r="J25" s="262"/>
      <c r="K25" s="263">
        <f>75906-15181</f>
        <v>60725</v>
      </c>
      <c r="L25" s="262"/>
      <c r="M25" s="263">
        <f t="shared" si="1"/>
        <v>60725</v>
      </c>
      <c r="N25" s="263">
        <f t="shared" si="2"/>
        <v>722.91666666666663</v>
      </c>
      <c r="O25" s="263">
        <f t="shared" si="3"/>
        <v>0</v>
      </c>
      <c r="P25" s="263">
        <f t="shared" si="4"/>
        <v>0</v>
      </c>
      <c r="Q25" s="263">
        <f t="shared" si="5"/>
        <v>0</v>
      </c>
      <c r="R25" s="262">
        <v>1</v>
      </c>
      <c r="S25" s="263">
        <f t="shared" si="6"/>
        <v>0</v>
      </c>
      <c r="T25" s="262"/>
      <c r="U25" s="263">
        <f t="shared" si="7"/>
        <v>60725</v>
      </c>
      <c r="V25" s="263">
        <f t="shared" si="8"/>
        <v>60725</v>
      </c>
      <c r="W25" s="262">
        <v>1</v>
      </c>
      <c r="X25" s="263">
        <f t="shared" si="9"/>
        <v>60725</v>
      </c>
      <c r="Y25" s="263">
        <f t="shared" si="10"/>
        <v>60725</v>
      </c>
      <c r="Z25" s="263">
        <f t="shared" si="11"/>
        <v>0</v>
      </c>
      <c r="AA25" s="263">
        <f t="shared" si="12"/>
        <v>2005.25</v>
      </c>
      <c r="AB25" s="263">
        <f t="shared" si="13"/>
        <v>2020.75</v>
      </c>
      <c r="AC25" s="263">
        <f t="shared" si="14"/>
        <v>2012.25</v>
      </c>
      <c r="AD25" s="264">
        <f t="shared" si="15"/>
        <v>2019.75</v>
      </c>
      <c r="AE25" s="264">
        <f t="shared" si="16"/>
        <v>-8.3333333333333329E-2</v>
      </c>
      <c r="AF25" s="264">
        <f t="shared" si="17"/>
        <v>2012.25</v>
      </c>
      <c r="AG25" s="264">
        <f t="shared" si="18"/>
        <v>2019.75</v>
      </c>
      <c r="AH25" s="264">
        <f t="shared" si="19"/>
        <v>-8.3333333333333329E-2</v>
      </c>
    </row>
    <row r="26" spans="1:34">
      <c r="A26" s="257" t="s">
        <v>283</v>
      </c>
      <c r="B26" s="257" t="s">
        <v>284</v>
      </c>
      <c r="C26" s="258">
        <v>2017</v>
      </c>
      <c r="D26" s="259">
        <v>12</v>
      </c>
      <c r="E26" s="260">
        <v>0</v>
      </c>
      <c r="F26" s="261" t="s">
        <v>258</v>
      </c>
      <c r="G26" s="261">
        <v>7</v>
      </c>
      <c r="H26" s="259">
        <f>+C26+G26</f>
        <v>2024</v>
      </c>
      <c r="I26" s="262"/>
      <c r="J26" s="262"/>
      <c r="K26" s="263">
        <v>15181</v>
      </c>
      <c r="L26" s="262"/>
      <c r="M26" s="263">
        <f>K26-K26*E26</f>
        <v>15181</v>
      </c>
      <c r="N26" s="263">
        <f>M26/G26/12</f>
        <v>180.72619047619048</v>
      </c>
      <c r="O26" s="263">
        <f>IF(L26&gt;0,0,IF((OR((AA26&gt;AB26),(AC26&lt;AD26))),0,IF((AND((AC26&gt;=AD26),(AC26&lt;=AB26))),N26*((AC26-AD26)*12),IF((AND((AD26&lt;=AA26),(AB26&gt;=AA26))),((AB26-AA26)*12)*N26,IF(AC26&gt;AB26,12*N26,0)))))</f>
        <v>2168.7142857142858</v>
      </c>
      <c r="P26" s="263">
        <f>IF(L26=0,0,IF((AND((AE26&gt;=AD26),(AE26&lt;=AC26))),((AE26-AD26)*12)*N26,0))</f>
        <v>0</v>
      </c>
      <c r="Q26" s="263">
        <f>IF(P26&gt;0,P26,O26)</f>
        <v>2168.7142857142858</v>
      </c>
      <c r="R26" s="262">
        <v>1</v>
      </c>
      <c r="S26" s="263">
        <f>R26*SUM(O26:P26)</f>
        <v>2168.7142857142858</v>
      </c>
      <c r="T26" s="262"/>
      <c r="U26" s="263">
        <f>IF(AA26&gt;AB26,0,IF(AC26&lt;AD26,M26,IF((AND((AC26&gt;=AD26),(AC26&lt;=AB26))),(M26-Q26),IF((AND((AD26&lt;=AA26),(AB26&gt;=AA26))),0,IF(AC26&gt;AB26,((AD26-AA26)*12)*N26,0)))))</f>
        <v>3975.9761904760262</v>
      </c>
      <c r="V26" s="263">
        <f>U26*R26</f>
        <v>3975.9761904760262</v>
      </c>
      <c r="W26" s="262">
        <v>1</v>
      </c>
      <c r="X26" s="263">
        <f>V26*W26</f>
        <v>3975.9761904760262</v>
      </c>
      <c r="Y26" s="263">
        <f>IF(L26&gt;0,0,X26+S26*W26)*W26</f>
        <v>6144.6904761903115</v>
      </c>
      <c r="Z26" s="263">
        <f>IF(L26&gt;0,(K26-X26)/2,IF(AA26&gt;=AD26,(((K26*R26)*W26)-Y26)/2,((((K26*R26)*W26)-X26)+(((K26*R26)*W26)-Y26))/2))</f>
        <v>10120.666666666832</v>
      </c>
      <c r="AA26" s="263">
        <f t="shared" si="12"/>
        <v>2017.9166666666667</v>
      </c>
      <c r="AB26" s="263">
        <f t="shared" si="13"/>
        <v>2020.75</v>
      </c>
      <c r="AC26" s="263">
        <f t="shared" si="14"/>
        <v>2024.9166666666667</v>
      </c>
      <c r="AD26" s="264">
        <f t="shared" si="15"/>
        <v>2019.75</v>
      </c>
      <c r="AE26" s="264">
        <f t="shared" si="16"/>
        <v>-8.3333333333333329E-2</v>
      </c>
      <c r="AF26" s="264">
        <f t="shared" si="17"/>
        <v>2024.9166666666667</v>
      </c>
      <c r="AG26" s="264">
        <f t="shared" si="18"/>
        <v>2019.75</v>
      </c>
      <c r="AH26" s="264">
        <f t="shared" si="19"/>
        <v>-8.3333333333333329E-2</v>
      </c>
    </row>
    <row r="27" spans="1:34">
      <c r="A27" s="257" t="s">
        <v>285</v>
      </c>
      <c r="B27" s="257" t="s">
        <v>286</v>
      </c>
      <c r="C27" s="258">
        <v>2007</v>
      </c>
      <c r="D27" s="259">
        <v>7</v>
      </c>
      <c r="E27" s="260">
        <v>0</v>
      </c>
      <c r="F27" s="261" t="s">
        <v>258</v>
      </c>
      <c r="G27" s="261">
        <v>7</v>
      </c>
      <c r="H27" s="259">
        <f t="shared" si="0"/>
        <v>2014</v>
      </c>
      <c r="I27" s="262"/>
      <c r="J27" s="262"/>
      <c r="K27" s="263">
        <f>230858-46172</f>
        <v>184686</v>
      </c>
      <c r="L27" s="262"/>
      <c r="M27" s="263">
        <f t="shared" si="1"/>
        <v>184686</v>
      </c>
      <c r="N27" s="263">
        <f t="shared" si="2"/>
        <v>2198.6428571428573</v>
      </c>
      <c r="O27" s="263">
        <f t="shared" si="3"/>
        <v>0</v>
      </c>
      <c r="P27" s="263">
        <f t="shared" si="4"/>
        <v>0</v>
      </c>
      <c r="Q27" s="263">
        <f t="shared" si="5"/>
        <v>0</v>
      </c>
      <c r="R27" s="262">
        <v>1</v>
      </c>
      <c r="S27" s="263">
        <f t="shared" si="6"/>
        <v>0</v>
      </c>
      <c r="T27" s="262"/>
      <c r="U27" s="263">
        <f t="shared" si="7"/>
        <v>184686</v>
      </c>
      <c r="V27" s="263">
        <f t="shared" si="8"/>
        <v>184686</v>
      </c>
      <c r="W27" s="262">
        <v>1</v>
      </c>
      <c r="X27" s="263">
        <f t="shared" si="9"/>
        <v>184686</v>
      </c>
      <c r="Y27" s="263">
        <f t="shared" si="10"/>
        <v>184686</v>
      </c>
      <c r="Z27" s="263">
        <f t="shared" si="11"/>
        <v>0</v>
      </c>
      <c r="AA27" s="263">
        <f t="shared" si="12"/>
        <v>2007.5</v>
      </c>
      <c r="AB27" s="263">
        <f t="shared" si="13"/>
        <v>2020.75</v>
      </c>
      <c r="AC27" s="263">
        <f t="shared" si="14"/>
        <v>2014.5</v>
      </c>
      <c r="AD27" s="264">
        <f t="shared" si="15"/>
        <v>2019.75</v>
      </c>
      <c r="AE27" s="264">
        <f t="shared" si="16"/>
        <v>-8.3333333333333329E-2</v>
      </c>
      <c r="AF27" s="264">
        <f t="shared" si="17"/>
        <v>2014.5</v>
      </c>
      <c r="AG27" s="264">
        <f t="shared" si="18"/>
        <v>2019.75</v>
      </c>
      <c r="AH27" s="264">
        <f t="shared" si="19"/>
        <v>-8.3333333333333329E-2</v>
      </c>
    </row>
    <row r="28" spans="1:34">
      <c r="A28" s="257" t="s">
        <v>287</v>
      </c>
      <c r="B28" s="257" t="s">
        <v>288</v>
      </c>
      <c r="C28" s="258">
        <v>2017</v>
      </c>
      <c r="D28" s="259">
        <v>12</v>
      </c>
      <c r="E28" s="260">
        <v>0</v>
      </c>
      <c r="F28" s="261" t="s">
        <v>258</v>
      </c>
      <c r="G28" s="261">
        <v>7</v>
      </c>
      <c r="H28" s="259">
        <f>+C28+G28</f>
        <v>2024</v>
      </c>
      <c r="I28" s="262"/>
      <c r="J28" s="262"/>
      <c r="K28" s="263">
        <v>46172</v>
      </c>
      <c r="L28" s="262"/>
      <c r="M28" s="263">
        <f>K28-K28*E28</f>
        <v>46172</v>
      </c>
      <c r="N28" s="263">
        <f>M28/G28/12</f>
        <v>549.66666666666663</v>
      </c>
      <c r="O28" s="263">
        <f>IF(L28&gt;0,0,IF((OR((AA28&gt;AB28),(AC28&lt;AD28))),0,IF((AND((AC28&gt;=AD28),(AC28&lt;=AB28))),N28*((AC28-AD28)*12),IF((AND((AD28&lt;=AA28),(AB28&gt;=AA28))),((AB28-AA28)*12)*N28,IF(AC28&gt;AB28,12*N28,0)))))</f>
        <v>6596</v>
      </c>
      <c r="P28" s="263">
        <f>IF(L28=0,0,IF((AND((AE28&gt;=AD28),(AE28&lt;=AC28))),((AE28-AD28)*12)*N28,0))</f>
        <v>0</v>
      </c>
      <c r="Q28" s="263">
        <f>IF(P28&gt;0,P28,O28)</f>
        <v>6596</v>
      </c>
      <c r="R28" s="262">
        <v>1</v>
      </c>
      <c r="S28" s="263">
        <f>R28*SUM(O28:P28)</f>
        <v>6596</v>
      </c>
      <c r="T28" s="262"/>
      <c r="U28" s="263">
        <f>IF(AA28&gt;AB28,0,IF(AC28&lt;AD28,M28,IF((AND((AC28&gt;=AD28),(AC28&lt;=AB28))),(M28-Q28),IF((AND((AD28&lt;=AA28),(AB28&gt;=AA28))),0,IF(AC28&gt;AB28,((AD28-AA28)*12)*N28,0)))))</f>
        <v>12092.666666666166</v>
      </c>
      <c r="V28" s="263">
        <f>U28*R28</f>
        <v>12092.666666666166</v>
      </c>
      <c r="W28" s="262">
        <v>1</v>
      </c>
      <c r="X28" s="263">
        <f>V28*W28</f>
        <v>12092.666666666166</v>
      </c>
      <c r="Y28" s="263">
        <f>IF(L28&gt;0,0,X28+S28*W28)*W28</f>
        <v>18688.666666666166</v>
      </c>
      <c r="Z28" s="263">
        <f>IF(L28&gt;0,(K28-X28)/2,IF(AA28&gt;=AD28,(((K28*R28)*W28)-Y28)/2,((((K28*R28)*W28)-X28)+(((K28*R28)*W28)-Y28))/2))</f>
        <v>30781.333333333838</v>
      </c>
      <c r="AA28" s="263">
        <f t="shared" si="12"/>
        <v>2017.9166666666667</v>
      </c>
      <c r="AB28" s="263">
        <f t="shared" si="13"/>
        <v>2020.75</v>
      </c>
      <c r="AC28" s="263">
        <f t="shared" si="14"/>
        <v>2024.9166666666667</v>
      </c>
      <c r="AD28" s="264">
        <f t="shared" si="15"/>
        <v>2019.75</v>
      </c>
      <c r="AE28" s="264">
        <f t="shared" si="16"/>
        <v>-8.3333333333333329E-2</v>
      </c>
      <c r="AF28" s="264">
        <f t="shared" si="17"/>
        <v>2024.9166666666667</v>
      </c>
      <c r="AG28" s="264">
        <f t="shared" si="18"/>
        <v>2019.75</v>
      </c>
      <c r="AH28" s="264">
        <f t="shared" si="19"/>
        <v>-8.3333333333333329E-2</v>
      </c>
    </row>
    <row r="29" spans="1:34">
      <c r="A29" s="257" t="s">
        <v>289</v>
      </c>
      <c r="B29" s="257" t="s">
        <v>290</v>
      </c>
      <c r="C29" s="258">
        <v>2009</v>
      </c>
      <c r="D29" s="259">
        <v>10</v>
      </c>
      <c r="E29" s="260"/>
      <c r="F29" s="261" t="s">
        <v>258</v>
      </c>
      <c r="G29" s="261">
        <v>10</v>
      </c>
      <c r="H29" s="259">
        <f t="shared" si="0"/>
        <v>2019</v>
      </c>
      <c r="I29" s="262"/>
      <c r="J29" s="262"/>
      <c r="K29" s="263">
        <v>13994</v>
      </c>
      <c r="L29" s="262"/>
      <c r="M29" s="263">
        <f t="shared" si="1"/>
        <v>13994</v>
      </c>
      <c r="N29" s="263">
        <f t="shared" si="2"/>
        <v>116.61666666666667</v>
      </c>
      <c r="O29" s="263">
        <f t="shared" si="3"/>
        <v>0</v>
      </c>
      <c r="P29" s="263">
        <f t="shared" si="4"/>
        <v>0</v>
      </c>
      <c r="Q29" s="263">
        <f t="shared" si="5"/>
        <v>0</v>
      </c>
      <c r="R29" s="262">
        <v>1</v>
      </c>
      <c r="S29" s="263">
        <f t="shared" si="6"/>
        <v>0</v>
      </c>
      <c r="T29" s="262"/>
      <c r="U29" s="263">
        <f t="shared" si="7"/>
        <v>13994</v>
      </c>
      <c r="V29" s="263">
        <f t="shared" si="8"/>
        <v>13994</v>
      </c>
      <c r="W29" s="262">
        <v>1</v>
      </c>
      <c r="X29" s="263">
        <f t="shared" si="9"/>
        <v>13994</v>
      </c>
      <c r="Y29" s="263">
        <f t="shared" si="10"/>
        <v>13994</v>
      </c>
      <c r="Z29" s="263">
        <f t="shared" si="11"/>
        <v>0</v>
      </c>
      <c r="AA29" s="263">
        <f t="shared" si="12"/>
        <v>2009.75</v>
      </c>
      <c r="AB29" s="263">
        <f t="shared" si="13"/>
        <v>2020.75</v>
      </c>
      <c r="AC29" s="263">
        <f t="shared" si="14"/>
        <v>2019.75</v>
      </c>
      <c r="AD29" s="264">
        <f t="shared" si="15"/>
        <v>2019.75</v>
      </c>
      <c r="AE29" s="264">
        <f t="shared" si="16"/>
        <v>-8.3333333333333329E-2</v>
      </c>
      <c r="AF29" s="264">
        <f t="shared" si="17"/>
        <v>2019.75</v>
      </c>
      <c r="AG29" s="264">
        <f t="shared" si="18"/>
        <v>2019.75</v>
      </c>
      <c r="AH29" s="264">
        <f t="shared" si="19"/>
        <v>-8.3333333333333329E-2</v>
      </c>
    </row>
    <row r="30" spans="1:34">
      <c r="A30" s="257" t="s">
        <v>291</v>
      </c>
      <c r="B30" s="257" t="s">
        <v>292</v>
      </c>
      <c r="C30" s="258">
        <v>2012</v>
      </c>
      <c r="D30" s="259">
        <v>9</v>
      </c>
      <c r="E30" s="260">
        <v>0</v>
      </c>
      <c r="F30" s="261" t="s">
        <v>258</v>
      </c>
      <c r="G30" s="261">
        <v>7</v>
      </c>
      <c r="H30" s="259">
        <f t="shared" si="0"/>
        <v>2019</v>
      </c>
      <c r="I30" s="262"/>
      <c r="J30" s="262"/>
      <c r="K30" s="263">
        <f>152150-30430</f>
        <v>121720</v>
      </c>
      <c r="L30" s="262"/>
      <c r="M30" s="263">
        <f t="shared" si="1"/>
        <v>121720</v>
      </c>
      <c r="N30" s="263">
        <f t="shared" si="2"/>
        <v>1449.047619047619</v>
      </c>
      <c r="O30" s="263">
        <f t="shared" si="3"/>
        <v>0</v>
      </c>
      <c r="P30" s="263">
        <f t="shared" si="4"/>
        <v>0</v>
      </c>
      <c r="Q30" s="263">
        <f t="shared" si="5"/>
        <v>0</v>
      </c>
      <c r="R30" s="262">
        <v>1</v>
      </c>
      <c r="S30" s="263">
        <f t="shared" si="6"/>
        <v>0</v>
      </c>
      <c r="T30" s="262"/>
      <c r="U30" s="263">
        <f t="shared" si="7"/>
        <v>121720</v>
      </c>
      <c r="V30" s="263">
        <f t="shared" si="8"/>
        <v>121720</v>
      </c>
      <c r="W30" s="262">
        <v>1</v>
      </c>
      <c r="X30" s="263">
        <f t="shared" si="9"/>
        <v>121720</v>
      </c>
      <c r="Y30" s="263">
        <f t="shared" si="10"/>
        <v>121720</v>
      </c>
      <c r="Z30" s="263">
        <f t="shared" si="11"/>
        <v>0</v>
      </c>
      <c r="AA30" s="263">
        <f t="shared" si="12"/>
        <v>2012.6666666666667</v>
      </c>
      <c r="AB30" s="263">
        <f t="shared" si="13"/>
        <v>2020.75</v>
      </c>
      <c r="AC30" s="263">
        <f t="shared" si="14"/>
        <v>2019.6666666666667</v>
      </c>
      <c r="AD30" s="264">
        <f t="shared" si="15"/>
        <v>2019.75</v>
      </c>
      <c r="AE30" s="264">
        <f t="shared" si="16"/>
        <v>-8.3333333333333329E-2</v>
      </c>
      <c r="AF30" s="264">
        <f t="shared" si="17"/>
        <v>2019.6666666666667</v>
      </c>
      <c r="AG30" s="264">
        <f t="shared" si="18"/>
        <v>2019.75</v>
      </c>
      <c r="AH30" s="264">
        <f t="shared" si="19"/>
        <v>-8.3333333333333329E-2</v>
      </c>
    </row>
    <row r="31" spans="1:34">
      <c r="A31" s="257" t="s">
        <v>293</v>
      </c>
      <c r="B31" s="257" t="s">
        <v>294</v>
      </c>
      <c r="C31" s="258">
        <v>2017</v>
      </c>
      <c r="D31" s="259">
        <v>12</v>
      </c>
      <c r="E31" s="260">
        <v>0</v>
      </c>
      <c r="F31" s="261" t="s">
        <v>258</v>
      </c>
      <c r="G31" s="261">
        <v>7</v>
      </c>
      <c r="H31" s="259">
        <f>+C31+G31</f>
        <v>2024</v>
      </c>
      <c r="I31" s="262"/>
      <c r="J31" s="262"/>
      <c r="K31" s="263">
        <v>30430</v>
      </c>
      <c r="L31" s="262"/>
      <c r="M31" s="263">
        <f t="shared" si="1"/>
        <v>30430</v>
      </c>
      <c r="N31" s="263">
        <f t="shared" si="2"/>
        <v>362.26190476190476</v>
      </c>
      <c r="O31" s="263">
        <f t="shared" si="3"/>
        <v>4347.1428571428569</v>
      </c>
      <c r="P31" s="263">
        <f t="shared" si="4"/>
        <v>0</v>
      </c>
      <c r="Q31" s="263">
        <f t="shared" si="5"/>
        <v>4347.1428571428569</v>
      </c>
      <c r="R31" s="262">
        <v>1</v>
      </c>
      <c r="S31" s="263">
        <f t="shared" si="6"/>
        <v>4347.1428571428569</v>
      </c>
      <c r="T31" s="262"/>
      <c r="U31" s="263">
        <f t="shared" si="7"/>
        <v>7969.7619047615754</v>
      </c>
      <c r="V31" s="263">
        <f t="shared" si="8"/>
        <v>7969.7619047615754</v>
      </c>
      <c r="W31" s="262">
        <v>1</v>
      </c>
      <c r="X31" s="263">
        <f t="shared" si="9"/>
        <v>7969.7619047615754</v>
      </c>
      <c r="Y31" s="263">
        <f t="shared" si="10"/>
        <v>12316.904761904432</v>
      </c>
      <c r="Z31" s="263">
        <f t="shared" si="11"/>
        <v>20286.666666666999</v>
      </c>
      <c r="AA31" s="263">
        <f t="shared" si="12"/>
        <v>2017.9166666666667</v>
      </c>
      <c r="AB31" s="263">
        <f t="shared" si="13"/>
        <v>2020.75</v>
      </c>
      <c r="AC31" s="263">
        <f t="shared" si="14"/>
        <v>2024.9166666666667</v>
      </c>
      <c r="AD31" s="264">
        <f t="shared" si="15"/>
        <v>2019.75</v>
      </c>
      <c r="AE31" s="264">
        <f t="shared" si="16"/>
        <v>-8.3333333333333329E-2</v>
      </c>
      <c r="AF31" s="264">
        <f t="shared" si="17"/>
        <v>2024.9166666666667</v>
      </c>
      <c r="AG31" s="264">
        <f t="shared" si="18"/>
        <v>2019.75</v>
      </c>
      <c r="AH31" s="264">
        <f t="shared" si="19"/>
        <v>-8.3333333333333329E-2</v>
      </c>
    </row>
    <row r="32" spans="1:34">
      <c r="A32" s="257" t="s">
        <v>295</v>
      </c>
      <c r="B32" s="257" t="s">
        <v>296</v>
      </c>
      <c r="C32" s="258">
        <v>2013</v>
      </c>
      <c r="D32" s="259">
        <v>4</v>
      </c>
      <c r="E32" s="260">
        <v>0</v>
      </c>
      <c r="F32" s="261" t="s">
        <v>258</v>
      </c>
      <c r="G32" s="261">
        <v>7</v>
      </c>
      <c r="H32" s="259">
        <f t="shared" si="0"/>
        <v>2020</v>
      </c>
      <c r="I32" s="262"/>
      <c r="J32" s="262"/>
      <c r="K32" s="263">
        <f>137629-27526</f>
        <v>110103</v>
      </c>
      <c r="L32" s="262"/>
      <c r="M32" s="263">
        <f t="shared" si="1"/>
        <v>110103</v>
      </c>
      <c r="N32" s="263">
        <f t="shared" si="2"/>
        <v>1310.75</v>
      </c>
      <c r="O32" s="263">
        <f t="shared" si="3"/>
        <v>7864.5</v>
      </c>
      <c r="P32" s="263">
        <f t="shared" si="4"/>
        <v>0</v>
      </c>
      <c r="Q32" s="263">
        <f t="shared" si="5"/>
        <v>7864.5</v>
      </c>
      <c r="R32" s="262">
        <v>1</v>
      </c>
      <c r="S32" s="263">
        <f t="shared" si="6"/>
        <v>7864.5</v>
      </c>
      <c r="T32" s="262"/>
      <c r="U32" s="263">
        <f t="shared" si="7"/>
        <v>102238.5</v>
      </c>
      <c r="V32" s="263">
        <f t="shared" si="8"/>
        <v>102238.5</v>
      </c>
      <c r="W32" s="262">
        <v>1</v>
      </c>
      <c r="X32" s="263">
        <f t="shared" si="9"/>
        <v>102238.5</v>
      </c>
      <c r="Y32" s="263">
        <f t="shared" si="10"/>
        <v>110103</v>
      </c>
      <c r="Z32" s="263">
        <f t="shared" si="11"/>
        <v>3932.25</v>
      </c>
      <c r="AA32" s="263">
        <f t="shared" si="12"/>
        <v>2013.25</v>
      </c>
      <c r="AB32" s="263">
        <f t="shared" si="13"/>
        <v>2020.75</v>
      </c>
      <c r="AC32" s="263">
        <f t="shared" si="14"/>
        <v>2020.25</v>
      </c>
      <c r="AD32" s="264">
        <f t="shared" si="15"/>
        <v>2019.75</v>
      </c>
      <c r="AE32" s="264">
        <f t="shared" si="16"/>
        <v>-8.3333333333333329E-2</v>
      </c>
      <c r="AF32" s="264">
        <f t="shared" si="17"/>
        <v>2020.25</v>
      </c>
      <c r="AG32" s="264">
        <f t="shared" si="18"/>
        <v>2019.75</v>
      </c>
      <c r="AH32" s="264">
        <f t="shared" si="19"/>
        <v>-8.3333333333333329E-2</v>
      </c>
    </row>
    <row r="33" spans="1:34">
      <c r="A33" s="257" t="s">
        <v>297</v>
      </c>
      <c r="B33" s="257" t="s">
        <v>298</v>
      </c>
      <c r="C33" s="258">
        <v>2017</v>
      </c>
      <c r="D33" s="259">
        <v>12</v>
      </c>
      <c r="E33" s="260">
        <v>0</v>
      </c>
      <c r="F33" s="261" t="s">
        <v>258</v>
      </c>
      <c r="G33" s="261">
        <v>7</v>
      </c>
      <c r="H33" s="259">
        <f>+C33+G33</f>
        <v>2024</v>
      </c>
      <c r="I33" s="262"/>
      <c r="J33" s="262"/>
      <c r="K33" s="263">
        <v>27526</v>
      </c>
      <c r="L33" s="262"/>
      <c r="M33" s="263">
        <f t="shared" si="1"/>
        <v>27526</v>
      </c>
      <c r="N33" s="263">
        <f t="shared" si="2"/>
        <v>327.6904761904762</v>
      </c>
      <c r="O33" s="263">
        <f t="shared" si="3"/>
        <v>3932.2857142857147</v>
      </c>
      <c r="P33" s="263">
        <f t="shared" si="4"/>
        <v>0</v>
      </c>
      <c r="Q33" s="263">
        <f t="shared" si="5"/>
        <v>3932.2857142857147</v>
      </c>
      <c r="R33" s="262">
        <v>1</v>
      </c>
      <c r="S33" s="263">
        <f t="shared" si="6"/>
        <v>3932.2857142857147</v>
      </c>
      <c r="T33" s="262"/>
      <c r="U33" s="263">
        <f t="shared" si="7"/>
        <v>7209.1904761901787</v>
      </c>
      <c r="V33" s="263">
        <f t="shared" si="8"/>
        <v>7209.1904761901787</v>
      </c>
      <c r="W33" s="262">
        <v>1</v>
      </c>
      <c r="X33" s="263">
        <f t="shared" si="9"/>
        <v>7209.1904761901787</v>
      </c>
      <c r="Y33" s="263">
        <f t="shared" si="10"/>
        <v>11141.476190475893</v>
      </c>
      <c r="Z33" s="263">
        <f t="shared" si="11"/>
        <v>18350.666666666963</v>
      </c>
      <c r="AA33" s="263">
        <f t="shared" si="12"/>
        <v>2017.9166666666667</v>
      </c>
      <c r="AB33" s="263">
        <f t="shared" si="13"/>
        <v>2020.75</v>
      </c>
      <c r="AC33" s="263">
        <f t="shared" si="14"/>
        <v>2024.9166666666667</v>
      </c>
      <c r="AD33" s="264">
        <f t="shared" si="15"/>
        <v>2019.75</v>
      </c>
      <c r="AE33" s="264">
        <f t="shared" si="16"/>
        <v>-8.3333333333333329E-2</v>
      </c>
      <c r="AF33" s="264">
        <f t="shared" si="17"/>
        <v>2024.9166666666667</v>
      </c>
      <c r="AG33" s="264">
        <f t="shared" si="18"/>
        <v>2019.75</v>
      </c>
      <c r="AH33" s="264">
        <f t="shared" si="19"/>
        <v>-8.3333333333333329E-2</v>
      </c>
    </row>
    <row r="34" spans="1:34">
      <c r="A34" s="257" t="s">
        <v>299</v>
      </c>
      <c r="B34" s="257" t="s">
        <v>300</v>
      </c>
      <c r="C34" s="258">
        <v>2013</v>
      </c>
      <c r="D34" s="259">
        <v>7</v>
      </c>
      <c r="E34" s="260">
        <v>0</v>
      </c>
      <c r="F34" s="261" t="s">
        <v>258</v>
      </c>
      <c r="G34" s="261">
        <v>7</v>
      </c>
      <c r="H34" s="259">
        <f t="shared" si="0"/>
        <v>2020</v>
      </c>
      <c r="I34" s="262"/>
      <c r="J34" s="262"/>
      <c r="K34" s="263">
        <f>138938-27788</f>
        <v>111150</v>
      </c>
      <c r="L34" s="262"/>
      <c r="M34" s="263">
        <f t="shared" si="1"/>
        <v>111150</v>
      </c>
      <c r="N34" s="263">
        <f t="shared" si="2"/>
        <v>1323.2142857142858</v>
      </c>
      <c r="O34" s="263">
        <f t="shared" si="3"/>
        <v>11908.928571428572</v>
      </c>
      <c r="P34" s="263">
        <f t="shared" si="4"/>
        <v>0</v>
      </c>
      <c r="Q34" s="263">
        <f t="shared" si="5"/>
        <v>11908.928571428572</v>
      </c>
      <c r="R34" s="262">
        <v>1</v>
      </c>
      <c r="S34" s="263">
        <f t="shared" si="6"/>
        <v>11908.928571428572</v>
      </c>
      <c r="T34" s="262"/>
      <c r="U34" s="263">
        <f t="shared" si="7"/>
        <v>99241.07142857142</v>
      </c>
      <c r="V34" s="263">
        <f t="shared" si="8"/>
        <v>99241.07142857142</v>
      </c>
      <c r="W34" s="262">
        <v>1</v>
      </c>
      <c r="X34" s="263">
        <f t="shared" si="9"/>
        <v>99241.07142857142</v>
      </c>
      <c r="Y34" s="263">
        <f t="shared" si="10"/>
        <v>111150</v>
      </c>
      <c r="Z34" s="263">
        <f t="shared" si="11"/>
        <v>5954.4642857142899</v>
      </c>
      <c r="AA34" s="263">
        <f t="shared" si="12"/>
        <v>2013.5</v>
      </c>
      <c r="AB34" s="263">
        <f t="shared" si="13"/>
        <v>2020.75</v>
      </c>
      <c r="AC34" s="263">
        <f t="shared" si="14"/>
        <v>2020.5</v>
      </c>
      <c r="AD34" s="264">
        <f t="shared" si="15"/>
        <v>2019.75</v>
      </c>
      <c r="AE34" s="264">
        <f t="shared" si="16"/>
        <v>-8.3333333333333329E-2</v>
      </c>
      <c r="AF34" s="264">
        <f t="shared" si="17"/>
        <v>2020.5</v>
      </c>
      <c r="AG34" s="264">
        <f t="shared" si="18"/>
        <v>2019.75</v>
      </c>
      <c r="AH34" s="264">
        <f t="shared" si="19"/>
        <v>-8.3333333333333329E-2</v>
      </c>
    </row>
    <row r="35" spans="1:34">
      <c r="A35" s="257" t="s">
        <v>301</v>
      </c>
      <c r="B35" s="257" t="s">
        <v>302</v>
      </c>
      <c r="C35" s="258">
        <v>2017</v>
      </c>
      <c r="D35" s="259">
        <v>12</v>
      </c>
      <c r="E35" s="260">
        <v>0</v>
      </c>
      <c r="F35" s="261" t="s">
        <v>258</v>
      </c>
      <c r="G35" s="261">
        <v>7</v>
      </c>
      <c r="H35" s="259">
        <f>+C35+G35</f>
        <v>2024</v>
      </c>
      <c r="I35" s="262"/>
      <c r="J35" s="262"/>
      <c r="K35" s="263">
        <v>27788</v>
      </c>
      <c r="L35" s="262"/>
      <c r="M35" s="263">
        <f t="shared" si="1"/>
        <v>27788</v>
      </c>
      <c r="N35" s="263">
        <f t="shared" si="2"/>
        <v>330.8095238095238</v>
      </c>
      <c r="O35" s="263">
        <f t="shared" si="3"/>
        <v>3969.7142857142853</v>
      </c>
      <c r="P35" s="263">
        <f t="shared" si="4"/>
        <v>0</v>
      </c>
      <c r="Q35" s="263">
        <f t="shared" si="5"/>
        <v>3969.7142857142853</v>
      </c>
      <c r="R35" s="262">
        <v>1</v>
      </c>
      <c r="S35" s="263">
        <f t="shared" si="6"/>
        <v>3969.7142857142853</v>
      </c>
      <c r="T35" s="262"/>
      <c r="U35" s="263">
        <f t="shared" si="7"/>
        <v>7277.8095238092228</v>
      </c>
      <c r="V35" s="263">
        <f t="shared" si="8"/>
        <v>7277.8095238092228</v>
      </c>
      <c r="W35" s="262">
        <v>1</v>
      </c>
      <c r="X35" s="263">
        <f t="shared" si="9"/>
        <v>7277.8095238092228</v>
      </c>
      <c r="Y35" s="263">
        <f t="shared" si="10"/>
        <v>11247.523809523507</v>
      </c>
      <c r="Z35" s="263">
        <f t="shared" si="11"/>
        <v>18525.333333333634</v>
      </c>
      <c r="AA35" s="263">
        <f t="shared" si="12"/>
        <v>2017.9166666666667</v>
      </c>
      <c r="AB35" s="263">
        <f t="shared" si="13"/>
        <v>2020.75</v>
      </c>
      <c r="AC35" s="263">
        <f t="shared" si="14"/>
        <v>2024.9166666666667</v>
      </c>
      <c r="AD35" s="264">
        <f t="shared" si="15"/>
        <v>2019.75</v>
      </c>
      <c r="AE35" s="264">
        <f t="shared" si="16"/>
        <v>-8.3333333333333329E-2</v>
      </c>
      <c r="AF35" s="264">
        <f t="shared" si="17"/>
        <v>2024.9166666666667</v>
      </c>
      <c r="AG35" s="264">
        <f t="shared" si="18"/>
        <v>2019.75</v>
      </c>
      <c r="AH35" s="264">
        <f t="shared" si="19"/>
        <v>-8.3333333333333329E-2</v>
      </c>
    </row>
    <row r="36" spans="1:34">
      <c r="A36" s="257" t="s">
        <v>303</v>
      </c>
      <c r="B36" s="257" t="s">
        <v>304</v>
      </c>
      <c r="C36" s="258">
        <v>2013</v>
      </c>
      <c r="D36" s="259">
        <v>8</v>
      </c>
      <c r="E36" s="260">
        <v>0</v>
      </c>
      <c r="F36" s="261" t="s">
        <v>258</v>
      </c>
      <c r="G36" s="261">
        <v>7</v>
      </c>
      <c r="H36" s="259">
        <f t="shared" si="0"/>
        <v>2020</v>
      </c>
      <c r="I36" s="262"/>
      <c r="J36" s="262"/>
      <c r="K36" s="263">
        <f>138938-27788</f>
        <v>111150</v>
      </c>
      <c r="L36" s="262"/>
      <c r="M36" s="263">
        <f t="shared" si="1"/>
        <v>111150</v>
      </c>
      <c r="N36" s="263">
        <f t="shared" si="2"/>
        <v>1323.2142857142858</v>
      </c>
      <c r="O36" s="263">
        <f t="shared" si="3"/>
        <v>13232.142857141655</v>
      </c>
      <c r="P36" s="263">
        <f t="shared" si="4"/>
        <v>0</v>
      </c>
      <c r="Q36" s="263">
        <f t="shared" si="5"/>
        <v>13232.142857141655</v>
      </c>
      <c r="R36" s="262">
        <v>1</v>
      </c>
      <c r="S36" s="263">
        <f t="shared" si="6"/>
        <v>13232.142857141655</v>
      </c>
      <c r="T36" s="262"/>
      <c r="U36" s="263">
        <f t="shared" si="7"/>
        <v>97917.857142858353</v>
      </c>
      <c r="V36" s="263">
        <f t="shared" si="8"/>
        <v>97917.857142858353</v>
      </c>
      <c r="W36" s="262">
        <v>1</v>
      </c>
      <c r="X36" s="263">
        <f t="shared" si="9"/>
        <v>97917.857142858353</v>
      </c>
      <c r="Y36" s="263">
        <f t="shared" si="10"/>
        <v>111150</v>
      </c>
      <c r="Z36" s="263">
        <f t="shared" si="11"/>
        <v>6616.0714285708236</v>
      </c>
      <c r="AA36" s="263">
        <f t="shared" si="12"/>
        <v>2013.5833333333333</v>
      </c>
      <c r="AB36" s="263">
        <f t="shared" si="13"/>
        <v>2020.75</v>
      </c>
      <c r="AC36" s="263">
        <f t="shared" si="14"/>
        <v>2020.5833333333333</v>
      </c>
      <c r="AD36" s="264">
        <f t="shared" si="15"/>
        <v>2019.75</v>
      </c>
      <c r="AE36" s="264">
        <f t="shared" si="16"/>
        <v>-8.3333333333333329E-2</v>
      </c>
      <c r="AF36" s="264">
        <f t="shared" si="17"/>
        <v>2020.5833333333333</v>
      </c>
      <c r="AG36" s="264">
        <f t="shared" si="18"/>
        <v>2019.75</v>
      </c>
      <c r="AH36" s="264">
        <f t="shared" si="19"/>
        <v>-8.3333333333333329E-2</v>
      </c>
    </row>
    <row r="37" spans="1:34">
      <c r="A37" s="257" t="s">
        <v>305</v>
      </c>
      <c r="B37" s="257" t="s">
        <v>306</v>
      </c>
      <c r="C37" s="258">
        <v>2017</v>
      </c>
      <c r="D37" s="259">
        <v>12</v>
      </c>
      <c r="E37" s="260">
        <v>0</v>
      </c>
      <c r="F37" s="261" t="s">
        <v>258</v>
      </c>
      <c r="G37" s="261">
        <v>7</v>
      </c>
      <c r="H37" s="259">
        <f>+C37+G37</f>
        <v>2024</v>
      </c>
      <c r="I37" s="262"/>
      <c r="J37" s="262"/>
      <c r="K37" s="263">
        <v>27788</v>
      </c>
      <c r="L37" s="262"/>
      <c r="M37" s="263">
        <f t="shared" si="1"/>
        <v>27788</v>
      </c>
      <c r="N37" s="263">
        <f t="shared" si="2"/>
        <v>330.8095238095238</v>
      </c>
      <c r="O37" s="263">
        <f t="shared" si="3"/>
        <v>3969.7142857142853</v>
      </c>
      <c r="P37" s="263">
        <f t="shared" si="4"/>
        <v>0</v>
      </c>
      <c r="Q37" s="263">
        <f t="shared" si="5"/>
        <v>3969.7142857142853</v>
      </c>
      <c r="R37" s="262">
        <v>1</v>
      </c>
      <c r="S37" s="263">
        <f t="shared" si="6"/>
        <v>3969.7142857142853</v>
      </c>
      <c r="T37" s="262"/>
      <c r="U37" s="263">
        <f t="shared" si="7"/>
        <v>7277.8095238092228</v>
      </c>
      <c r="V37" s="263">
        <f t="shared" si="8"/>
        <v>7277.8095238092228</v>
      </c>
      <c r="W37" s="262">
        <v>1</v>
      </c>
      <c r="X37" s="263">
        <f t="shared" si="9"/>
        <v>7277.8095238092228</v>
      </c>
      <c r="Y37" s="263">
        <f t="shared" si="10"/>
        <v>11247.523809523507</v>
      </c>
      <c r="Z37" s="263">
        <f t="shared" si="11"/>
        <v>18525.333333333634</v>
      </c>
      <c r="AA37" s="263">
        <f t="shared" si="12"/>
        <v>2017.9166666666667</v>
      </c>
      <c r="AB37" s="263">
        <f t="shared" si="13"/>
        <v>2020.75</v>
      </c>
      <c r="AC37" s="263">
        <f t="shared" si="14"/>
        <v>2024.9166666666667</v>
      </c>
      <c r="AD37" s="264">
        <f t="shared" si="15"/>
        <v>2019.75</v>
      </c>
      <c r="AE37" s="264">
        <f t="shared" si="16"/>
        <v>-8.3333333333333329E-2</v>
      </c>
      <c r="AF37" s="264">
        <f t="shared" si="17"/>
        <v>2024.9166666666667</v>
      </c>
      <c r="AG37" s="264">
        <f t="shared" si="18"/>
        <v>2019.75</v>
      </c>
      <c r="AH37" s="264">
        <f t="shared" si="19"/>
        <v>-8.3333333333333329E-2</v>
      </c>
    </row>
    <row r="38" spans="1:34">
      <c r="A38" s="257" t="s">
        <v>307</v>
      </c>
      <c r="B38" s="257" t="s">
        <v>308</v>
      </c>
      <c r="C38" s="258">
        <v>2013</v>
      </c>
      <c r="D38" s="259">
        <v>7</v>
      </c>
      <c r="E38" s="260">
        <v>0</v>
      </c>
      <c r="F38" s="261" t="s">
        <v>258</v>
      </c>
      <c r="G38" s="261">
        <v>7</v>
      </c>
      <c r="H38" s="259">
        <f t="shared" si="0"/>
        <v>2020</v>
      </c>
      <c r="I38" s="262"/>
      <c r="J38" s="262"/>
      <c r="K38" s="263">
        <f>71455-14291</f>
        <v>57164</v>
      </c>
      <c r="L38" s="262"/>
      <c r="M38" s="263">
        <f t="shared" si="1"/>
        <v>57164</v>
      </c>
      <c r="N38" s="263">
        <f t="shared" si="2"/>
        <v>680.52380952380952</v>
      </c>
      <c r="O38" s="263">
        <f t="shared" si="3"/>
        <v>6124.7142857142853</v>
      </c>
      <c r="P38" s="263">
        <f t="shared" si="4"/>
        <v>0</v>
      </c>
      <c r="Q38" s="263">
        <f t="shared" si="5"/>
        <v>6124.7142857142853</v>
      </c>
      <c r="R38" s="262">
        <v>1</v>
      </c>
      <c r="S38" s="263">
        <f t="shared" si="6"/>
        <v>6124.7142857142853</v>
      </c>
      <c r="T38" s="262"/>
      <c r="U38" s="263">
        <f t="shared" si="7"/>
        <v>51039.285714285717</v>
      </c>
      <c r="V38" s="263">
        <f t="shared" si="8"/>
        <v>51039.285714285717</v>
      </c>
      <c r="W38" s="262">
        <v>1</v>
      </c>
      <c r="X38" s="263">
        <f t="shared" si="9"/>
        <v>51039.285714285717</v>
      </c>
      <c r="Y38" s="263">
        <f t="shared" si="10"/>
        <v>57164</v>
      </c>
      <c r="Z38" s="263">
        <f t="shared" si="11"/>
        <v>3062.3571428571413</v>
      </c>
      <c r="AA38" s="263">
        <f t="shared" si="12"/>
        <v>2013.5</v>
      </c>
      <c r="AB38" s="263">
        <f t="shared" si="13"/>
        <v>2020.75</v>
      </c>
      <c r="AC38" s="263">
        <f t="shared" si="14"/>
        <v>2020.5</v>
      </c>
      <c r="AD38" s="264">
        <f t="shared" si="15"/>
        <v>2019.75</v>
      </c>
      <c r="AE38" s="264">
        <f t="shared" si="16"/>
        <v>-8.3333333333333329E-2</v>
      </c>
      <c r="AF38" s="264">
        <f t="shared" si="17"/>
        <v>2020.5</v>
      </c>
      <c r="AG38" s="264">
        <f t="shared" si="18"/>
        <v>2019.75</v>
      </c>
      <c r="AH38" s="264">
        <f t="shared" si="19"/>
        <v>-8.3333333333333329E-2</v>
      </c>
    </row>
    <row r="39" spans="1:34">
      <c r="A39" s="257" t="s">
        <v>309</v>
      </c>
      <c r="B39" s="257" t="s">
        <v>310</v>
      </c>
      <c r="C39" s="258">
        <v>2017</v>
      </c>
      <c r="D39" s="259">
        <v>12</v>
      </c>
      <c r="E39" s="260">
        <v>0</v>
      </c>
      <c r="F39" s="261" t="s">
        <v>258</v>
      </c>
      <c r="G39" s="261">
        <v>7</v>
      </c>
      <c r="H39" s="259">
        <f>+C39+G39</f>
        <v>2024</v>
      </c>
      <c r="I39" s="262"/>
      <c r="J39" s="262"/>
      <c r="K39" s="263">
        <v>14291</v>
      </c>
      <c r="L39" s="262"/>
      <c r="M39" s="263">
        <f t="shared" si="1"/>
        <v>14291</v>
      </c>
      <c r="N39" s="263">
        <f t="shared" si="2"/>
        <v>170.13095238095238</v>
      </c>
      <c r="O39" s="263">
        <f t="shared" si="3"/>
        <v>2041.5714285714284</v>
      </c>
      <c r="P39" s="263">
        <f t="shared" si="4"/>
        <v>0</v>
      </c>
      <c r="Q39" s="263">
        <f t="shared" si="5"/>
        <v>2041.5714285714284</v>
      </c>
      <c r="R39" s="262">
        <v>1</v>
      </c>
      <c r="S39" s="263">
        <f t="shared" si="6"/>
        <v>2041.5714285714284</v>
      </c>
      <c r="T39" s="262"/>
      <c r="U39" s="263">
        <f t="shared" si="7"/>
        <v>3742.8809523807977</v>
      </c>
      <c r="V39" s="263">
        <f t="shared" si="8"/>
        <v>3742.8809523807977</v>
      </c>
      <c r="W39" s="262">
        <v>1</v>
      </c>
      <c r="X39" s="263">
        <f t="shared" si="9"/>
        <v>3742.8809523807977</v>
      </c>
      <c r="Y39" s="263">
        <f t="shared" si="10"/>
        <v>5784.4523809522261</v>
      </c>
      <c r="Z39" s="263">
        <f t="shared" si="11"/>
        <v>9527.3333333334886</v>
      </c>
      <c r="AA39" s="263">
        <f t="shared" si="12"/>
        <v>2017.9166666666667</v>
      </c>
      <c r="AB39" s="263">
        <f t="shared" si="13"/>
        <v>2020.75</v>
      </c>
      <c r="AC39" s="263">
        <f t="shared" si="14"/>
        <v>2024.9166666666667</v>
      </c>
      <c r="AD39" s="264">
        <f t="shared" si="15"/>
        <v>2019.75</v>
      </c>
      <c r="AE39" s="264">
        <f t="shared" si="16"/>
        <v>-8.3333333333333329E-2</v>
      </c>
      <c r="AF39" s="264">
        <f t="shared" si="17"/>
        <v>2024.9166666666667</v>
      </c>
      <c r="AG39" s="264">
        <f t="shared" si="18"/>
        <v>2019.75</v>
      </c>
      <c r="AH39" s="264">
        <f t="shared" si="19"/>
        <v>-8.3333333333333329E-2</v>
      </c>
    </row>
    <row r="40" spans="1:34">
      <c r="A40" s="257" t="s">
        <v>311</v>
      </c>
      <c r="B40" s="257" t="s">
        <v>312</v>
      </c>
      <c r="C40" s="258">
        <v>2013</v>
      </c>
      <c r="D40" s="259">
        <v>8</v>
      </c>
      <c r="E40" s="260">
        <v>0</v>
      </c>
      <c r="F40" s="261" t="s">
        <v>258</v>
      </c>
      <c r="G40" s="261">
        <v>7</v>
      </c>
      <c r="H40" s="259">
        <f t="shared" si="0"/>
        <v>2020</v>
      </c>
      <c r="I40" s="262"/>
      <c r="J40" s="262"/>
      <c r="K40" s="263">
        <f>74027-14805</f>
        <v>59222</v>
      </c>
      <c r="L40" s="262"/>
      <c r="M40" s="263">
        <f t="shared" si="1"/>
        <v>59222</v>
      </c>
      <c r="N40" s="263">
        <f t="shared" si="2"/>
        <v>705.02380952380952</v>
      </c>
      <c r="O40" s="263">
        <f t="shared" si="3"/>
        <v>7050.2380952374542</v>
      </c>
      <c r="P40" s="263">
        <f t="shared" si="4"/>
        <v>0</v>
      </c>
      <c r="Q40" s="263">
        <f t="shared" si="5"/>
        <v>7050.2380952374542</v>
      </c>
      <c r="R40" s="262">
        <v>1</v>
      </c>
      <c r="S40" s="263">
        <f t="shared" si="6"/>
        <v>7050.2380952374542</v>
      </c>
      <c r="T40" s="262"/>
      <c r="U40" s="263">
        <f t="shared" si="7"/>
        <v>52171.761904762549</v>
      </c>
      <c r="V40" s="263">
        <f t="shared" si="8"/>
        <v>52171.761904762549</v>
      </c>
      <c r="W40" s="262">
        <v>1</v>
      </c>
      <c r="X40" s="263">
        <f t="shared" si="9"/>
        <v>52171.761904762549</v>
      </c>
      <c r="Y40" s="263">
        <f t="shared" si="10"/>
        <v>59222</v>
      </c>
      <c r="Z40" s="263">
        <f t="shared" si="11"/>
        <v>3525.1190476187257</v>
      </c>
      <c r="AA40" s="263">
        <f t="shared" si="12"/>
        <v>2013.5833333333333</v>
      </c>
      <c r="AB40" s="263">
        <f t="shared" si="13"/>
        <v>2020.75</v>
      </c>
      <c r="AC40" s="263">
        <f t="shared" si="14"/>
        <v>2020.5833333333333</v>
      </c>
      <c r="AD40" s="264">
        <f t="shared" si="15"/>
        <v>2019.75</v>
      </c>
      <c r="AE40" s="264">
        <f t="shared" si="16"/>
        <v>-8.3333333333333329E-2</v>
      </c>
      <c r="AF40" s="264">
        <f t="shared" si="17"/>
        <v>2020.5833333333333</v>
      </c>
      <c r="AG40" s="264">
        <f t="shared" si="18"/>
        <v>2019.75</v>
      </c>
      <c r="AH40" s="264">
        <f t="shared" si="19"/>
        <v>-8.3333333333333329E-2</v>
      </c>
    </row>
    <row r="41" spans="1:34">
      <c r="A41" s="257" t="s">
        <v>313</v>
      </c>
      <c r="B41" s="257" t="s">
        <v>314</v>
      </c>
      <c r="C41" s="258">
        <v>2017</v>
      </c>
      <c r="D41" s="259">
        <v>12</v>
      </c>
      <c r="E41" s="260">
        <v>0</v>
      </c>
      <c r="F41" s="261" t="s">
        <v>258</v>
      </c>
      <c r="G41" s="261">
        <v>7</v>
      </c>
      <c r="H41" s="259">
        <f>+C41+G41</f>
        <v>2024</v>
      </c>
      <c r="I41" s="262"/>
      <c r="J41" s="262"/>
      <c r="K41" s="263">
        <v>14805</v>
      </c>
      <c r="L41" s="262"/>
      <c r="M41" s="263">
        <f t="shared" si="1"/>
        <v>14805</v>
      </c>
      <c r="N41" s="263">
        <f t="shared" si="2"/>
        <v>176.25</v>
      </c>
      <c r="O41" s="263">
        <f t="shared" si="3"/>
        <v>2115</v>
      </c>
      <c r="P41" s="263">
        <f t="shared" si="4"/>
        <v>0</v>
      </c>
      <c r="Q41" s="263">
        <f t="shared" si="5"/>
        <v>2115</v>
      </c>
      <c r="R41" s="262">
        <v>1</v>
      </c>
      <c r="S41" s="263">
        <f t="shared" si="6"/>
        <v>2115</v>
      </c>
      <c r="T41" s="262"/>
      <c r="U41" s="263">
        <f t="shared" si="7"/>
        <v>3877.4999999998399</v>
      </c>
      <c r="V41" s="263">
        <f t="shared" si="8"/>
        <v>3877.4999999998399</v>
      </c>
      <c r="W41" s="262">
        <v>1</v>
      </c>
      <c r="X41" s="263">
        <f t="shared" si="9"/>
        <v>3877.4999999998399</v>
      </c>
      <c r="Y41" s="263">
        <f t="shared" si="10"/>
        <v>5992.4999999998399</v>
      </c>
      <c r="Z41" s="263">
        <f t="shared" si="11"/>
        <v>9870.0000000001601</v>
      </c>
      <c r="AA41" s="263">
        <f t="shared" si="12"/>
        <v>2017.9166666666667</v>
      </c>
      <c r="AB41" s="263">
        <f t="shared" si="13"/>
        <v>2020.75</v>
      </c>
      <c r="AC41" s="263">
        <f t="shared" si="14"/>
        <v>2024.9166666666667</v>
      </c>
      <c r="AD41" s="264">
        <f t="shared" si="15"/>
        <v>2019.75</v>
      </c>
      <c r="AE41" s="264">
        <f t="shared" si="16"/>
        <v>-8.3333333333333329E-2</v>
      </c>
      <c r="AF41" s="264">
        <f t="shared" si="17"/>
        <v>2024.9166666666667</v>
      </c>
      <c r="AG41" s="264">
        <f t="shared" si="18"/>
        <v>2019.75</v>
      </c>
      <c r="AH41" s="264">
        <f t="shared" si="19"/>
        <v>-8.3333333333333329E-2</v>
      </c>
    </row>
    <row r="42" spans="1:34">
      <c r="A42" s="257" t="s">
        <v>315</v>
      </c>
      <c r="B42" s="257" t="s">
        <v>316</v>
      </c>
      <c r="C42" s="258">
        <v>2014</v>
      </c>
      <c r="D42" s="259">
        <v>10</v>
      </c>
      <c r="E42" s="260">
        <v>0</v>
      </c>
      <c r="F42" s="261" t="s">
        <v>258</v>
      </c>
      <c r="G42" s="261">
        <v>7</v>
      </c>
      <c r="H42" s="259">
        <f t="shared" si="0"/>
        <v>2021</v>
      </c>
      <c r="I42" s="262"/>
      <c r="J42" s="262"/>
      <c r="K42" s="263">
        <f>152700-30540</f>
        <v>122160</v>
      </c>
      <c r="L42" s="262"/>
      <c r="M42" s="263">
        <f t="shared" si="1"/>
        <v>122160</v>
      </c>
      <c r="N42" s="263">
        <f t="shared" si="2"/>
        <v>1454.2857142857144</v>
      </c>
      <c r="O42" s="263">
        <f t="shared" si="3"/>
        <v>17451.428571428572</v>
      </c>
      <c r="P42" s="263">
        <f t="shared" si="4"/>
        <v>0</v>
      </c>
      <c r="Q42" s="263">
        <f t="shared" si="5"/>
        <v>17451.428571428572</v>
      </c>
      <c r="R42" s="262">
        <v>1</v>
      </c>
      <c r="S42" s="263">
        <f t="shared" si="6"/>
        <v>17451.428571428572</v>
      </c>
      <c r="T42" s="262"/>
      <c r="U42" s="263">
        <f t="shared" si="7"/>
        <v>87257.14285714287</v>
      </c>
      <c r="V42" s="263">
        <f t="shared" si="8"/>
        <v>87257.14285714287</v>
      </c>
      <c r="W42" s="262">
        <v>1</v>
      </c>
      <c r="X42" s="263">
        <f t="shared" si="9"/>
        <v>87257.14285714287</v>
      </c>
      <c r="Y42" s="263">
        <f t="shared" si="10"/>
        <v>104708.57142857145</v>
      </c>
      <c r="Z42" s="263">
        <f t="shared" si="11"/>
        <v>26177.142857142841</v>
      </c>
      <c r="AA42" s="263">
        <f t="shared" si="12"/>
        <v>2014.75</v>
      </c>
      <c r="AB42" s="263">
        <f t="shared" si="13"/>
        <v>2020.75</v>
      </c>
      <c r="AC42" s="263">
        <f t="shared" si="14"/>
        <v>2021.75</v>
      </c>
      <c r="AD42" s="264">
        <f t="shared" si="15"/>
        <v>2019.75</v>
      </c>
      <c r="AE42" s="264">
        <f t="shared" si="16"/>
        <v>-8.3333333333333329E-2</v>
      </c>
      <c r="AF42" s="264">
        <f t="shared" si="17"/>
        <v>2021.75</v>
      </c>
      <c r="AG42" s="264">
        <f t="shared" si="18"/>
        <v>2019.75</v>
      </c>
      <c r="AH42" s="264">
        <f t="shared" si="19"/>
        <v>-8.3333333333333329E-2</v>
      </c>
    </row>
    <row r="43" spans="1:34">
      <c r="A43" s="257" t="s">
        <v>317</v>
      </c>
      <c r="B43" s="257" t="s">
        <v>318</v>
      </c>
      <c r="C43" s="258">
        <v>2017</v>
      </c>
      <c r="D43" s="259">
        <v>12</v>
      </c>
      <c r="E43" s="260">
        <v>0</v>
      </c>
      <c r="F43" s="261" t="s">
        <v>258</v>
      </c>
      <c r="G43" s="261">
        <v>7</v>
      </c>
      <c r="H43" s="259">
        <f>+C43+G43</f>
        <v>2024</v>
      </c>
      <c r="I43" s="262"/>
      <c r="J43" s="262"/>
      <c r="K43" s="263">
        <v>30540</v>
      </c>
      <c r="L43" s="262"/>
      <c r="M43" s="263">
        <f t="shared" si="1"/>
        <v>30540</v>
      </c>
      <c r="N43" s="263">
        <f t="shared" si="2"/>
        <v>363.57142857142861</v>
      </c>
      <c r="O43" s="263">
        <f t="shared" si="3"/>
        <v>4362.8571428571431</v>
      </c>
      <c r="P43" s="263">
        <f t="shared" si="4"/>
        <v>0</v>
      </c>
      <c r="Q43" s="263">
        <f t="shared" si="5"/>
        <v>4362.8571428571431</v>
      </c>
      <c r="R43" s="262">
        <v>1</v>
      </c>
      <c r="S43" s="263">
        <f t="shared" si="6"/>
        <v>4362.8571428571431</v>
      </c>
      <c r="T43" s="262"/>
      <c r="U43" s="263">
        <f t="shared" si="7"/>
        <v>7998.5714285710992</v>
      </c>
      <c r="V43" s="263">
        <f t="shared" si="8"/>
        <v>7998.5714285710992</v>
      </c>
      <c r="W43" s="262">
        <v>1</v>
      </c>
      <c r="X43" s="263">
        <f t="shared" si="9"/>
        <v>7998.5714285710992</v>
      </c>
      <c r="Y43" s="263">
        <f t="shared" si="10"/>
        <v>12361.428571428241</v>
      </c>
      <c r="Z43" s="263">
        <f t="shared" si="11"/>
        <v>20360.000000000327</v>
      </c>
      <c r="AA43" s="263">
        <f t="shared" si="12"/>
        <v>2017.9166666666667</v>
      </c>
      <c r="AB43" s="263">
        <f t="shared" si="13"/>
        <v>2020.75</v>
      </c>
      <c r="AC43" s="263">
        <f t="shared" si="14"/>
        <v>2024.9166666666667</v>
      </c>
      <c r="AD43" s="264">
        <f t="shared" si="15"/>
        <v>2019.75</v>
      </c>
      <c r="AE43" s="264">
        <f t="shared" si="16"/>
        <v>-8.3333333333333329E-2</v>
      </c>
      <c r="AF43" s="264">
        <f t="shared" si="17"/>
        <v>2024.9166666666667</v>
      </c>
      <c r="AG43" s="264">
        <f t="shared" si="18"/>
        <v>2019.75</v>
      </c>
      <c r="AH43" s="264">
        <f t="shared" si="19"/>
        <v>-8.3333333333333329E-2</v>
      </c>
    </row>
    <row r="44" spans="1:34">
      <c r="A44" s="257" t="s">
        <v>319</v>
      </c>
      <c r="B44" s="257" t="s">
        <v>320</v>
      </c>
      <c r="C44" s="258">
        <v>2014</v>
      </c>
      <c r="D44" s="259">
        <v>12</v>
      </c>
      <c r="E44" s="260">
        <v>0</v>
      </c>
      <c r="F44" s="261" t="s">
        <v>258</v>
      </c>
      <c r="G44" s="261">
        <v>7</v>
      </c>
      <c r="H44" s="259">
        <f t="shared" si="0"/>
        <v>2021</v>
      </c>
      <c r="I44" s="262"/>
      <c r="J44" s="262"/>
      <c r="K44" s="263">
        <f>153776-30755</f>
        <v>123021</v>
      </c>
      <c r="L44" s="262"/>
      <c r="M44" s="263">
        <f t="shared" si="1"/>
        <v>123021</v>
      </c>
      <c r="N44" s="263">
        <f t="shared" si="2"/>
        <v>1464.5357142857144</v>
      </c>
      <c r="O44" s="263">
        <f t="shared" si="3"/>
        <v>17574.428571428572</v>
      </c>
      <c r="P44" s="263">
        <f t="shared" si="4"/>
        <v>0</v>
      </c>
      <c r="Q44" s="263">
        <f t="shared" si="5"/>
        <v>17574.428571428572</v>
      </c>
      <c r="R44" s="262">
        <v>1</v>
      </c>
      <c r="S44" s="263">
        <f t="shared" si="6"/>
        <v>17574.428571428572</v>
      </c>
      <c r="T44" s="262"/>
      <c r="U44" s="263">
        <f t="shared" si="7"/>
        <v>84943.071428570111</v>
      </c>
      <c r="V44" s="263">
        <f t="shared" si="8"/>
        <v>84943.071428570111</v>
      </c>
      <c r="W44" s="262">
        <v>1</v>
      </c>
      <c r="X44" s="263">
        <f t="shared" si="9"/>
        <v>84943.071428570111</v>
      </c>
      <c r="Y44" s="263">
        <f t="shared" si="10"/>
        <v>102517.49999999869</v>
      </c>
      <c r="Z44" s="263">
        <f t="shared" si="11"/>
        <v>29290.7142857156</v>
      </c>
      <c r="AA44" s="263">
        <f t="shared" si="12"/>
        <v>2014.9166666666667</v>
      </c>
      <c r="AB44" s="263">
        <f t="shared" si="13"/>
        <v>2020.75</v>
      </c>
      <c r="AC44" s="263">
        <f t="shared" si="14"/>
        <v>2021.9166666666667</v>
      </c>
      <c r="AD44" s="264">
        <f t="shared" si="15"/>
        <v>2019.75</v>
      </c>
      <c r="AE44" s="264">
        <f t="shared" si="16"/>
        <v>-8.3333333333333329E-2</v>
      </c>
      <c r="AF44" s="264">
        <f t="shared" si="17"/>
        <v>2021.9166666666667</v>
      </c>
      <c r="AG44" s="264">
        <f t="shared" si="18"/>
        <v>2019.75</v>
      </c>
      <c r="AH44" s="264">
        <f t="shared" si="19"/>
        <v>-8.3333333333333329E-2</v>
      </c>
    </row>
    <row r="45" spans="1:34">
      <c r="A45" s="257" t="s">
        <v>321</v>
      </c>
      <c r="B45" s="257" t="s">
        <v>322</v>
      </c>
      <c r="C45" s="258">
        <v>2017</v>
      </c>
      <c r="D45" s="259">
        <v>12</v>
      </c>
      <c r="E45" s="260">
        <v>0</v>
      </c>
      <c r="F45" s="261" t="s">
        <v>258</v>
      </c>
      <c r="G45" s="261">
        <v>7</v>
      </c>
      <c r="H45" s="259">
        <f>+C45+G45</f>
        <v>2024</v>
      </c>
      <c r="I45" s="262"/>
      <c r="J45" s="262"/>
      <c r="K45" s="263">
        <v>30755</v>
      </c>
      <c r="L45" s="262"/>
      <c r="M45" s="263">
        <f t="shared" si="1"/>
        <v>30755</v>
      </c>
      <c r="N45" s="263">
        <f t="shared" si="2"/>
        <v>366.13095238095235</v>
      </c>
      <c r="O45" s="263">
        <f t="shared" si="3"/>
        <v>4393.5714285714284</v>
      </c>
      <c r="P45" s="263">
        <f t="shared" si="4"/>
        <v>0</v>
      </c>
      <c r="Q45" s="263">
        <f t="shared" si="5"/>
        <v>4393.5714285714284</v>
      </c>
      <c r="R45" s="262">
        <v>1</v>
      </c>
      <c r="S45" s="263">
        <f t="shared" si="6"/>
        <v>4393.5714285714284</v>
      </c>
      <c r="T45" s="262"/>
      <c r="U45" s="263">
        <f t="shared" si="7"/>
        <v>8054.8809523806185</v>
      </c>
      <c r="V45" s="263">
        <f t="shared" si="8"/>
        <v>8054.8809523806185</v>
      </c>
      <c r="W45" s="262">
        <v>1</v>
      </c>
      <c r="X45" s="263">
        <f t="shared" si="9"/>
        <v>8054.8809523806185</v>
      </c>
      <c r="Y45" s="263">
        <f t="shared" si="10"/>
        <v>12448.452380952047</v>
      </c>
      <c r="Z45" s="263">
        <f t="shared" si="11"/>
        <v>20503.333333333667</v>
      </c>
      <c r="AA45" s="263">
        <f t="shared" si="12"/>
        <v>2017.9166666666667</v>
      </c>
      <c r="AB45" s="263">
        <f t="shared" si="13"/>
        <v>2020.75</v>
      </c>
      <c r="AC45" s="263">
        <f t="shared" si="14"/>
        <v>2024.9166666666667</v>
      </c>
      <c r="AD45" s="264">
        <f t="shared" si="15"/>
        <v>2019.75</v>
      </c>
      <c r="AE45" s="264">
        <f t="shared" si="16"/>
        <v>-8.3333333333333329E-2</v>
      </c>
      <c r="AF45" s="264">
        <f t="shared" si="17"/>
        <v>2024.9166666666667</v>
      </c>
      <c r="AG45" s="264">
        <f t="shared" si="18"/>
        <v>2019.75</v>
      </c>
      <c r="AH45" s="264">
        <f t="shared" si="19"/>
        <v>-8.3333333333333329E-2</v>
      </c>
    </row>
    <row r="46" spans="1:34">
      <c r="A46" s="257" t="s">
        <v>323</v>
      </c>
      <c r="B46" s="257" t="s">
        <v>324</v>
      </c>
      <c r="C46" s="258">
        <v>2015</v>
      </c>
      <c r="D46" s="259">
        <v>4</v>
      </c>
      <c r="E46" s="260">
        <v>0</v>
      </c>
      <c r="F46" s="261" t="s">
        <v>258</v>
      </c>
      <c r="G46" s="261">
        <v>7</v>
      </c>
      <c r="H46" s="259">
        <f t="shared" si="0"/>
        <v>2022</v>
      </c>
      <c r="I46" s="262"/>
      <c r="J46" s="262"/>
      <c r="K46" s="263">
        <f>152827-30565</f>
        <v>122262</v>
      </c>
      <c r="L46" s="262"/>
      <c r="M46" s="263">
        <f t="shared" si="1"/>
        <v>122262</v>
      </c>
      <c r="N46" s="263">
        <f t="shared" si="2"/>
        <v>1455.5</v>
      </c>
      <c r="O46" s="263">
        <f t="shared" si="3"/>
        <v>17466</v>
      </c>
      <c r="P46" s="263">
        <f t="shared" si="4"/>
        <v>0</v>
      </c>
      <c r="Q46" s="263">
        <f t="shared" si="5"/>
        <v>17466</v>
      </c>
      <c r="R46" s="262">
        <v>1</v>
      </c>
      <c r="S46" s="263">
        <f t="shared" si="6"/>
        <v>17466</v>
      </c>
      <c r="T46" s="262"/>
      <c r="U46" s="263">
        <f t="shared" si="7"/>
        <v>78597</v>
      </c>
      <c r="V46" s="263">
        <f t="shared" si="8"/>
        <v>78597</v>
      </c>
      <c r="W46" s="262">
        <v>1</v>
      </c>
      <c r="X46" s="263">
        <f t="shared" si="9"/>
        <v>78597</v>
      </c>
      <c r="Y46" s="263">
        <f t="shared" si="10"/>
        <v>96063</v>
      </c>
      <c r="Z46" s="263">
        <f t="shared" si="11"/>
        <v>34932</v>
      </c>
      <c r="AA46" s="263">
        <f t="shared" si="12"/>
        <v>2015.25</v>
      </c>
      <c r="AB46" s="263">
        <f t="shared" si="13"/>
        <v>2020.75</v>
      </c>
      <c r="AC46" s="263">
        <f t="shared" si="14"/>
        <v>2022.25</v>
      </c>
      <c r="AD46" s="264">
        <f t="shared" si="15"/>
        <v>2019.75</v>
      </c>
      <c r="AE46" s="264">
        <f t="shared" si="16"/>
        <v>-8.3333333333333329E-2</v>
      </c>
      <c r="AF46" s="264">
        <f t="shared" si="17"/>
        <v>2022.25</v>
      </c>
      <c r="AG46" s="264">
        <f t="shared" si="18"/>
        <v>2019.75</v>
      </c>
      <c r="AH46" s="264">
        <f t="shared" si="19"/>
        <v>-8.3333333333333329E-2</v>
      </c>
    </row>
    <row r="47" spans="1:34">
      <c r="A47" s="257" t="s">
        <v>325</v>
      </c>
      <c r="B47" s="257" t="s">
        <v>326</v>
      </c>
      <c r="C47" s="258">
        <v>2017</v>
      </c>
      <c r="D47" s="259">
        <v>12</v>
      </c>
      <c r="E47" s="260">
        <v>0</v>
      </c>
      <c r="F47" s="261" t="s">
        <v>258</v>
      </c>
      <c r="G47" s="261">
        <v>7</v>
      </c>
      <c r="H47" s="259">
        <f>+C47+G47</f>
        <v>2024</v>
      </c>
      <c r="I47" s="262"/>
      <c r="J47" s="262"/>
      <c r="K47" s="263">
        <v>30565</v>
      </c>
      <c r="L47" s="262"/>
      <c r="M47" s="263">
        <f t="shared" si="1"/>
        <v>30565</v>
      </c>
      <c r="N47" s="263">
        <f t="shared" si="2"/>
        <v>363.86904761904765</v>
      </c>
      <c r="O47" s="263">
        <f t="shared" si="3"/>
        <v>4366.4285714285716</v>
      </c>
      <c r="P47" s="263">
        <f t="shared" si="4"/>
        <v>0</v>
      </c>
      <c r="Q47" s="263">
        <f t="shared" si="5"/>
        <v>4366.4285714285716</v>
      </c>
      <c r="R47" s="262">
        <v>1</v>
      </c>
      <c r="S47" s="263">
        <f t="shared" si="6"/>
        <v>4366.4285714285716</v>
      </c>
      <c r="T47" s="262"/>
      <c r="U47" s="263">
        <f t="shared" si="7"/>
        <v>8005.1190476187176</v>
      </c>
      <c r="V47" s="263">
        <f t="shared" si="8"/>
        <v>8005.1190476187176</v>
      </c>
      <c r="W47" s="262">
        <v>1</v>
      </c>
      <c r="X47" s="263">
        <f t="shared" si="9"/>
        <v>8005.1190476187176</v>
      </c>
      <c r="Y47" s="263">
        <f t="shared" si="10"/>
        <v>12371.547619047289</v>
      </c>
      <c r="Z47" s="263">
        <f t="shared" si="11"/>
        <v>20376.666666666995</v>
      </c>
      <c r="AA47" s="263">
        <f t="shared" si="12"/>
        <v>2017.9166666666667</v>
      </c>
      <c r="AB47" s="263">
        <f t="shared" si="13"/>
        <v>2020.75</v>
      </c>
      <c r="AC47" s="263">
        <f t="shared" si="14"/>
        <v>2024.9166666666667</v>
      </c>
      <c r="AD47" s="264">
        <f t="shared" si="15"/>
        <v>2019.75</v>
      </c>
      <c r="AE47" s="264">
        <f t="shared" si="16"/>
        <v>-8.3333333333333329E-2</v>
      </c>
      <c r="AF47" s="264">
        <f t="shared" si="17"/>
        <v>2024.9166666666667</v>
      </c>
      <c r="AG47" s="264">
        <f t="shared" si="18"/>
        <v>2019.75</v>
      </c>
      <c r="AH47" s="264">
        <f t="shared" si="19"/>
        <v>-8.3333333333333329E-2</v>
      </c>
    </row>
    <row r="48" spans="1:34">
      <c r="A48" s="257" t="s">
        <v>327</v>
      </c>
      <c r="B48" s="257" t="s">
        <v>328</v>
      </c>
      <c r="C48" s="258">
        <v>2015</v>
      </c>
      <c r="D48" s="259">
        <v>9</v>
      </c>
      <c r="E48" s="260">
        <v>0</v>
      </c>
      <c r="F48" s="261" t="s">
        <v>258</v>
      </c>
      <c r="G48" s="261">
        <v>7</v>
      </c>
      <c r="H48" s="259">
        <f t="shared" si="0"/>
        <v>2022</v>
      </c>
      <c r="I48" s="262"/>
      <c r="J48" s="262"/>
      <c r="K48" s="263">
        <f>152827-30565</f>
        <v>122262</v>
      </c>
      <c r="L48" s="262"/>
      <c r="M48" s="263">
        <f t="shared" si="1"/>
        <v>122262</v>
      </c>
      <c r="N48" s="263">
        <f t="shared" si="2"/>
        <v>1455.5</v>
      </c>
      <c r="O48" s="263">
        <f t="shared" si="3"/>
        <v>17466</v>
      </c>
      <c r="P48" s="263">
        <f t="shared" si="4"/>
        <v>0</v>
      </c>
      <c r="Q48" s="263">
        <f t="shared" si="5"/>
        <v>17466</v>
      </c>
      <c r="R48" s="262">
        <v>1</v>
      </c>
      <c r="S48" s="263">
        <f t="shared" si="6"/>
        <v>17466</v>
      </c>
      <c r="T48" s="262"/>
      <c r="U48" s="263">
        <f t="shared" si="7"/>
        <v>71319.499999998676</v>
      </c>
      <c r="V48" s="263">
        <f t="shared" si="8"/>
        <v>71319.499999998676</v>
      </c>
      <c r="W48" s="262">
        <v>1</v>
      </c>
      <c r="X48" s="263">
        <f t="shared" si="9"/>
        <v>71319.499999998676</v>
      </c>
      <c r="Y48" s="263">
        <f t="shared" si="10"/>
        <v>88785.499999998676</v>
      </c>
      <c r="Z48" s="263">
        <f t="shared" si="11"/>
        <v>42209.500000001324</v>
      </c>
      <c r="AA48" s="263">
        <f t="shared" si="12"/>
        <v>2015.6666666666667</v>
      </c>
      <c r="AB48" s="263">
        <f t="shared" si="13"/>
        <v>2020.75</v>
      </c>
      <c r="AC48" s="263">
        <f t="shared" si="14"/>
        <v>2022.6666666666667</v>
      </c>
      <c r="AD48" s="264">
        <f t="shared" si="15"/>
        <v>2019.75</v>
      </c>
      <c r="AE48" s="264">
        <f t="shared" si="16"/>
        <v>-8.3333333333333329E-2</v>
      </c>
      <c r="AF48" s="264">
        <f t="shared" si="17"/>
        <v>2022.6666666666667</v>
      </c>
      <c r="AG48" s="264">
        <f t="shared" si="18"/>
        <v>2019.75</v>
      </c>
      <c r="AH48" s="264">
        <f t="shared" si="19"/>
        <v>-8.3333333333333329E-2</v>
      </c>
    </row>
    <row r="49" spans="1:34">
      <c r="A49" s="257" t="s">
        <v>329</v>
      </c>
      <c r="B49" s="257" t="s">
        <v>330</v>
      </c>
      <c r="C49" s="258">
        <v>2017</v>
      </c>
      <c r="D49" s="259">
        <v>12</v>
      </c>
      <c r="E49" s="260">
        <v>0</v>
      </c>
      <c r="F49" s="261" t="s">
        <v>258</v>
      </c>
      <c r="G49" s="261">
        <v>7</v>
      </c>
      <c r="H49" s="259">
        <f>+C49+G49</f>
        <v>2024</v>
      </c>
      <c r="I49" s="262"/>
      <c r="J49" s="262"/>
      <c r="K49" s="263">
        <v>30565</v>
      </c>
      <c r="L49" s="262"/>
      <c r="M49" s="263">
        <f t="shared" si="1"/>
        <v>30565</v>
      </c>
      <c r="N49" s="263">
        <f t="shared" si="2"/>
        <v>363.86904761904765</v>
      </c>
      <c r="O49" s="263">
        <f t="shared" si="3"/>
        <v>4366.4285714285716</v>
      </c>
      <c r="P49" s="263">
        <f t="shared" si="4"/>
        <v>0</v>
      </c>
      <c r="Q49" s="263">
        <f t="shared" si="5"/>
        <v>4366.4285714285716</v>
      </c>
      <c r="R49" s="262">
        <v>1</v>
      </c>
      <c r="S49" s="263">
        <f t="shared" si="6"/>
        <v>4366.4285714285716</v>
      </c>
      <c r="T49" s="262"/>
      <c r="U49" s="263">
        <f t="shared" si="7"/>
        <v>8005.1190476187176</v>
      </c>
      <c r="V49" s="263">
        <f t="shared" si="8"/>
        <v>8005.1190476187176</v>
      </c>
      <c r="W49" s="262">
        <v>1</v>
      </c>
      <c r="X49" s="263">
        <f t="shared" si="9"/>
        <v>8005.1190476187176</v>
      </c>
      <c r="Y49" s="263">
        <f t="shared" si="10"/>
        <v>12371.547619047289</v>
      </c>
      <c r="Z49" s="263">
        <f t="shared" si="11"/>
        <v>20376.666666666995</v>
      </c>
      <c r="AA49" s="263">
        <f t="shared" si="12"/>
        <v>2017.9166666666667</v>
      </c>
      <c r="AB49" s="263">
        <f t="shared" si="13"/>
        <v>2020.75</v>
      </c>
      <c r="AC49" s="263">
        <f t="shared" si="14"/>
        <v>2024.9166666666667</v>
      </c>
      <c r="AD49" s="264">
        <f t="shared" si="15"/>
        <v>2019.75</v>
      </c>
      <c r="AE49" s="264">
        <f t="shared" si="16"/>
        <v>-8.3333333333333329E-2</v>
      </c>
      <c r="AF49" s="264">
        <f t="shared" si="17"/>
        <v>2024.9166666666667</v>
      </c>
      <c r="AG49" s="264">
        <f t="shared" si="18"/>
        <v>2019.75</v>
      </c>
      <c r="AH49" s="264">
        <f t="shared" si="19"/>
        <v>-8.3333333333333329E-2</v>
      </c>
    </row>
    <row r="50" spans="1:34">
      <c r="A50" s="257" t="s">
        <v>331</v>
      </c>
      <c r="B50" s="257" t="s">
        <v>332</v>
      </c>
      <c r="C50" s="258">
        <v>2015</v>
      </c>
      <c r="D50" s="259">
        <v>5</v>
      </c>
      <c r="E50" s="260">
        <v>0</v>
      </c>
      <c r="F50" s="261" t="s">
        <v>258</v>
      </c>
      <c r="G50" s="261">
        <v>7</v>
      </c>
      <c r="H50" s="259">
        <f t="shared" si="0"/>
        <v>2022</v>
      </c>
      <c r="I50" s="262"/>
      <c r="J50" s="262"/>
      <c r="K50" s="263">
        <f>153776-30755</f>
        <v>123021</v>
      </c>
      <c r="L50" s="262"/>
      <c r="M50" s="263">
        <f t="shared" si="1"/>
        <v>123021</v>
      </c>
      <c r="N50" s="263">
        <f t="shared" si="2"/>
        <v>1464.5357142857144</v>
      </c>
      <c r="O50" s="263">
        <f t="shared" si="3"/>
        <v>17574.428571428572</v>
      </c>
      <c r="P50" s="263">
        <f t="shared" si="4"/>
        <v>0</v>
      </c>
      <c r="Q50" s="263">
        <f t="shared" si="5"/>
        <v>17574.428571428572</v>
      </c>
      <c r="R50" s="262">
        <v>1</v>
      </c>
      <c r="S50" s="263">
        <f t="shared" si="6"/>
        <v>17574.428571428572</v>
      </c>
      <c r="T50" s="262"/>
      <c r="U50" s="263">
        <f t="shared" si="7"/>
        <v>77620.392857144194</v>
      </c>
      <c r="V50" s="263">
        <f t="shared" si="8"/>
        <v>77620.392857144194</v>
      </c>
      <c r="W50" s="262">
        <v>1</v>
      </c>
      <c r="X50" s="263">
        <f t="shared" si="9"/>
        <v>77620.392857144194</v>
      </c>
      <c r="Y50" s="263">
        <f t="shared" si="10"/>
        <v>95194.821428572759</v>
      </c>
      <c r="Z50" s="263">
        <f t="shared" si="11"/>
        <v>36613.392857141524</v>
      </c>
      <c r="AA50" s="263">
        <f t="shared" si="12"/>
        <v>2015.3333333333333</v>
      </c>
      <c r="AB50" s="263">
        <f t="shared" si="13"/>
        <v>2020.75</v>
      </c>
      <c r="AC50" s="263">
        <f t="shared" si="14"/>
        <v>2022.3333333333333</v>
      </c>
      <c r="AD50" s="264">
        <f t="shared" si="15"/>
        <v>2019.75</v>
      </c>
      <c r="AE50" s="264">
        <f t="shared" si="16"/>
        <v>-8.3333333333333329E-2</v>
      </c>
      <c r="AF50" s="264">
        <f t="shared" si="17"/>
        <v>2022.3333333333333</v>
      </c>
      <c r="AG50" s="264">
        <f t="shared" si="18"/>
        <v>2019.75</v>
      </c>
      <c r="AH50" s="264">
        <f t="shared" si="19"/>
        <v>-8.3333333333333329E-2</v>
      </c>
    </row>
    <row r="51" spans="1:34">
      <c r="A51" s="257" t="s">
        <v>333</v>
      </c>
      <c r="B51" s="257" t="s">
        <v>334</v>
      </c>
      <c r="C51" s="258">
        <v>2017</v>
      </c>
      <c r="D51" s="259">
        <v>12</v>
      </c>
      <c r="E51" s="260">
        <v>0</v>
      </c>
      <c r="F51" s="261" t="s">
        <v>258</v>
      </c>
      <c r="G51" s="261">
        <v>7</v>
      </c>
      <c r="H51" s="259">
        <f>+C51+G51</f>
        <v>2024</v>
      </c>
      <c r="I51" s="262"/>
      <c r="J51" s="262"/>
      <c r="K51" s="263">
        <v>30755</v>
      </c>
      <c r="L51" s="262"/>
      <c r="M51" s="263">
        <f t="shared" si="1"/>
        <v>30755</v>
      </c>
      <c r="N51" s="263">
        <f t="shared" si="2"/>
        <v>366.13095238095235</v>
      </c>
      <c r="O51" s="263">
        <f t="shared" si="3"/>
        <v>4393.5714285714284</v>
      </c>
      <c r="P51" s="263">
        <f t="shared" si="4"/>
        <v>0</v>
      </c>
      <c r="Q51" s="263">
        <f t="shared" si="5"/>
        <v>4393.5714285714284</v>
      </c>
      <c r="R51" s="262">
        <v>1</v>
      </c>
      <c r="S51" s="263">
        <f t="shared" si="6"/>
        <v>4393.5714285714284</v>
      </c>
      <c r="T51" s="262"/>
      <c r="U51" s="263">
        <f t="shared" si="7"/>
        <v>8054.8809523806185</v>
      </c>
      <c r="V51" s="263">
        <f t="shared" si="8"/>
        <v>8054.8809523806185</v>
      </c>
      <c r="W51" s="262">
        <v>1</v>
      </c>
      <c r="X51" s="263">
        <f t="shared" si="9"/>
        <v>8054.8809523806185</v>
      </c>
      <c r="Y51" s="263">
        <f t="shared" si="10"/>
        <v>12448.452380952047</v>
      </c>
      <c r="Z51" s="263">
        <f t="shared" si="11"/>
        <v>20503.333333333667</v>
      </c>
      <c r="AA51" s="263">
        <f t="shared" si="12"/>
        <v>2017.9166666666667</v>
      </c>
      <c r="AB51" s="263">
        <f t="shared" si="13"/>
        <v>2020.75</v>
      </c>
      <c r="AC51" s="263">
        <f t="shared" si="14"/>
        <v>2024.9166666666667</v>
      </c>
      <c r="AD51" s="264">
        <f t="shared" si="15"/>
        <v>2019.75</v>
      </c>
      <c r="AE51" s="264">
        <f t="shared" si="16"/>
        <v>-8.3333333333333329E-2</v>
      </c>
      <c r="AF51" s="264">
        <f t="shared" si="17"/>
        <v>2024.9166666666667</v>
      </c>
      <c r="AG51" s="264">
        <f t="shared" si="18"/>
        <v>2019.75</v>
      </c>
      <c r="AH51" s="264">
        <f t="shared" si="19"/>
        <v>-8.3333333333333329E-2</v>
      </c>
    </row>
    <row r="52" spans="1:34">
      <c r="A52" s="257" t="s">
        <v>335</v>
      </c>
      <c r="B52" s="257" t="s">
        <v>336</v>
      </c>
      <c r="C52" s="258">
        <v>2015</v>
      </c>
      <c r="D52" s="259">
        <v>12</v>
      </c>
      <c r="E52" s="260">
        <v>0</v>
      </c>
      <c r="F52" s="261" t="s">
        <v>258</v>
      </c>
      <c r="G52" s="261">
        <v>7</v>
      </c>
      <c r="H52" s="259">
        <f t="shared" si="0"/>
        <v>2022</v>
      </c>
      <c r="I52" s="262"/>
      <c r="J52" s="262"/>
      <c r="K52" s="263">
        <f>157400-31480</f>
        <v>125920</v>
      </c>
      <c r="L52" s="262"/>
      <c r="M52" s="263">
        <f t="shared" si="1"/>
        <v>125920</v>
      </c>
      <c r="N52" s="263">
        <f t="shared" si="2"/>
        <v>1499.047619047619</v>
      </c>
      <c r="O52" s="263">
        <f t="shared" si="3"/>
        <v>17988.571428571428</v>
      </c>
      <c r="P52" s="263">
        <f t="shared" si="4"/>
        <v>0</v>
      </c>
      <c r="Q52" s="263">
        <f t="shared" si="5"/>
        <v>17988.571428571428</v>
      </c>
      <c r="R52" s="262">
        <v>1</v>
      </c>
      <c r="S52" s="263">
        <f t="shared" si="6"/>
        <v>17988.571428571428</v>
      </c>
      <c r="T52" s="262"/>
      <c r="U52" s="263">
        <f t="shared" si="7"/>
        <v>68956.190476189106</v>
      </c>
      <c r="V52" s="263">
        <f t="shared" si="8"/>
        <v>68956.190476189106</v>
      </c>
      <c r="W52" s="262">
        <v>1</v>
      </c>
      <c r="X52" s="263">
        <f t="shared" si="9"/>
        <v>68956.190476189106</v>
      </c>
      <c r="Y52" s="263">
        <f t="shared" si="10"/>
        <v>86944.761904760526</v>
      </c>
      <c r="Z52" s="263">
        <f t="shared" si="11"/>
        <v>47969.523809525184</v>
      </c>
      <c r="AA52" s="263">
        <f t="shared" si="12"/>
        <v>2015.9166666666667</v>
      </c>
      <c r="AB52" s="263">
        <f t="shared" si="13"/>
        <v>2020.75</v>
      </c>
      <c r="AC52" s="263">
        <f t="shared" si="14"/>
        <v>2022.9166666666667</v>
      </c>
      <c r="AD52" s="264">
        <f t="shared" si="15"/>
        <v>2019.75</v>
      </c>
      <c r="AE52" s="264">
        <f t="shared" si="16"/>
        <v>-8.3333333333333329E-2</v>
      </c>
      <c r="AF52" s="264">
        <f t="shared" si="17"/>
        <v>2022.9166666666667</v>
      </c>
      <c r="AG52" s="264">
        <f t="shared" si="18"/>
        <v>2019.75</v>
      </c>
      <c r="AH52" s="264">
        <f t="shared" si="19"/>
        <v>-8.3333333333333329E-2</v>
      </c>
    </row>
    <row r="53" spans="1:34">
      <c r="A53" s="257" t="s">
        <v>337</v>
      </c>
      <c r="B53" s="257" t="s">
        <v>338</v>
      </c>
      <c r="C53" s="258">
        <v>2017</v>
      </c>
      <c r="D53" s="259">
        <v>12</v>
      </c>
      <c r="E53" s="260">
        <v>0</v>
      </c>
      <c r="F53" s="261" t="s">
        <v>258</v>
      </c>
      <c r="G53" s="261">
        <v>7</v>
      </c>
      <c r="H53" s="259">
        <f t="shared" si="0"/>
        <v>2024</v>
      </c>
      <c r="I53" s="262"/>
      <c r="J53" s="262"/>
      <c r="K53" s="263">
        <v>31480</v>
      </c>
      <c r="L53" s="262"/>
      <c r="M53" s="263">
        <f t="shared" si="1"/>
        <v>31480</v>
      </c>
      <c r="N53" s="263">
        <f t="shared" si="2"/>
        <v>374.76190476190476</v>
      </c>
      <c r="O53" s="263">
        <f t="shared" si="3"/>
        <v>4497.1428571428569</v>
      </c>
      <c r="P53" s="263">
        <f t="shared" si="4"/>
        <v>0</v>
      </c>
      <c r="Q53" s="263">
        <f t="shared" si="5"/>
        <v>4497.1428571428569</v>
      </c>
      <c r="R53" s="262">
        <v>1</v>
      </c>
      <c r="S53" s="263">
        <f t="shared" si="6"/>
        <v>4497.1428571428569</v>
      </c>
      <c r="T53" s="262"/>
      <c r="U53" s="263">
        <f t="shared" si="7"/>
        <v>8244.7619047615644</v>
      </c>
      <c r="V53" s="263">
        <f t="shared" si="8"/>
        <v>8244.7619047615644</v>
      </c>
      <c r="W53" s="262">
        <v>1</v>
      </c>
      <c r="X53" s="263">
        <f t="shared" si="9"/>
        <v>8244.7619047615644</v>
      </c>
      <c r="Y53" s="263">
        <f t="shared" si="10"/>
        <v>12741.904761904421</v>
      </c>
      <c r="Z53" s="263">
        <f t="shared" si="11"/>
        <v>20986.666666667006</v>
      </c>
      <c r="AA53" s="263">
        <f t="shared" si="12"/>
        <v>2017.9166666666667</v>
      </c>
      <c r="AB53" s="263">
        <f t="shared" si="13"/>
        <v>2020.75</v>
      </c>
      <c r="AC53" s="263">
        <f t="shared" si="14"/>
        <v>2024.9166666666667</v>
      </c>
      <c r="AD53" s="264">
        <f t="shared" si="15"/>
        <v>2019.75</v>
      </c>
      <c r="AE53" s="264">
        <f t="shared" si="16"/>
        <v>-8.3333333333333329E-2</v>
      </c>
      <c r="AF53" s="264">
        <f t="shared" si="17"/>
        <v>2024.9166666666667</v>
      </c>
      <c r="AG53" s="264">
        <f t="shared" si="18"/>
        <v>2019.75</v>
      </c>
      <c r="AH53" s="264">
        <f t="shared" si="19"/>
        <v>-8.3333333333333329E-2</v>
      </c>
    </row>
    <row r="54" spans="1:34">
      <c r="A54" s="257" t="s">
        <v>339</v>
      </c>
      <c r="B54" s="257" t="s">
        <v>340</v>
      </c>
      <c r="C54" s="258">
        <v>2017</v>
      </c>
      <c r="D54" s="259">
        <v>3</v>
      </c>
      <c r="E54" s="260">
        <v>0</v>
      </c>
      <c r="F54" s="261" t="s">
        <v>258</v>
      </c>
      <c r="G54" s="261">
        <v>5</v>
      </c>
      <c r="H54" s="259">
        <f t="shared" si="0"/>
        <v>2022</v>
      </c>
      <c r="I54" s="262"/>
      <c r="J54" s="262"/>
      <c r="K54" s="263">
        <v>26300</v>
      </c>
      <c r="L54" s="262"/>
      <c r="M54" s="263">
        <f t="shared" si="1"/>
        <v>26300</v>
      </c>
      <c r="N54" s="263">
        <f t="shared" si="2"/>
        <v>438.33333333333331</v>
      </c>
      <c r="O54" s="263">
        <f t="shared" si="3"/>
        <v>5260</v>
      </c>
      <c r="P54" s="263">
        <f t="shared" si="4"/>
        <v>0</v>
      </c>
      <c r="Q54" s="263">
        <f t="shared" si="5"/>
        <v>5260</v>
      </c>
      <c r="R54" s="262">
        <v>1</v>
      </c>
      <c r="S54" s="263">
        <f t="shared" si="6"/>
        <v>5260</v>
      </c>
      <c r="T54" s="262"/>
      <c r="U54" s="263">
        <f t="shared" si="7"/>
        <v>13588.333333332934</v>
      </c>
      <c r="V54" s="263">
        <f t="shared" si="8"/>
        <v>13588.333333332934</v>
      </c>
      <c r="W54" s="262">
        <v>1</v>
      </c>
      <c r="X54" s="263">
        <f t="shared" si="9"/>
        <v>13588.333333332934</v>
      </c>
      <c r="Y54" s="263">
        <f t="shared" si="10"/>
        <v>18848.333333332936</v>
      </c>
      <c r="Z54" s="263">
        <f t="shared" si="11"/>
        <v>10081.666666667064</v>
      </c>
      <c r="AA54" s="263">
        <f t="shared" si="12"/>
        <v>2017.1666666666667</v>
      </c>
      <c r="AB54" s="263">
        <f t="shared" si="13"/>
        <v>2020.75</v>
      </c>
      <c r="AC54" s="263">
        <f t="shared" si="14"/>
        <v>2022.1666666666667</v>
      </c>
      <c r="AD54" s="264">
        <f t="shared" si="15"/>
        <v>2019.75</v>
      </c>
      <c r="AE54" s="264">
        <f t="shared" si="16"/>
        <v>-8.3333333333333329E-2</v>
      </c>
      <c r="AF54" s="264">
        <f t="shared" si="17"/>
        <v>2022.1666666666667</v>
      </c>
      <c r="AG54" s="264">
        <f t="shared" si="18"/>
        <v>2019.75</v>
      </c>
      <c r="AH54" s="264">
        <f t="shared" si="19"/>
        <v>-8.3333333333333329E-2</v>
      </c>
    </row>
    <row r="55" spans="1:34">
      <c r="A55" s="257" t="s">
        <v>341</v>
      </c>
      <c r="B55" s="257" t="s">
        <v>342</v>
      </c>
      <c r="C55" s="258">
        <v>2018</v>
      </c>
      <c r="D55" s="259">
        <v>7</v>
      </c>
      <c r="E55" s="260">
        <v>0</v>
      </c>
      <c r="F55" s="261" t="s">
        <v>258</v>
      </c>
      <c r="G55" s="261">
        <v>7</v>
      </c>
      <c r="H55" s="259">
        <f t="shared" si="0"/>
        <v>2025</v>
      </c>
      <c r="I55" s="262"/>
      <c r="J55" s="262"/>
      <c r="K55" s="263">
        <v>134223</v>
      </c>
      <c r="L55" s="262"/>
      <c r="M55" s="263">
        <f t="shared" si="1"/>
        <v>134223</v>
      </c>
      <c r="N55" s="263">
        <f t="shared" si="2"/>
        <v>1597.8928571428571</v>
      </c>
      <c r="O55" s="263">
        <f t="shared" ref="O55:O60" si="20">+N55*12</f>
        <v>19174.714285714286</v>
      </c>
      <c r="P55" s="263">
        <f t="shared" si="4"/>
        <v>0</v>
      </c>
      <c r="Q55" s="263">
        <f t="shared" si="5"/>
        <v>19174.714285714286</v>
      </c>
      <c r="R55" s="262">
        <v>1</v>
      </c>
      <c r="S55" s="263">
        <f t="shared" si="6"/>
        <v>19174.714285714286</v>
      </c>
      <c r="T55" s="262"/>
      <c r="U55" s="263">
        <f t="shared" si="7"/>
        <v>23968.392857142855</v>
      </c>
      <c r="V55" s="263">
        <f t="shared" si="8"/>
        <v>23968.392857142855</v>
      </c>
      <c r="W55" s="262">
        <v>1</v>
      </c>
      <c r="X55" s="263">
        <f t="shared" si="9"/>
        <v>23968.392857142855</v>
      </c>
      <c r="Y55" s="263">
        <f t="shared" si="10"/>
        <v>43143.107142857145</v>
      </c>
      <c r="Z55" s="263">
        <f t="shared" ref="Z55:Z60" si="21">+M55-Y55</f>
        <v>91079.892857142855</v>
      </c>
      <c r="AA55" s="263">
        <f t="shared" si="12"/>
        <v>2018.5</v>
      </c>
      <c r="AB55" s="263">
        <f t="shared" si="13"/>
        <v>2020.75</v>
      </c>
      <c r="AC55" s="263">
        <f t="shared" si="14"/>
        <v>2025.5</v>
      </c>
      <c r="AD55" s="264">
        <f t="shared" si="15"/>
        <v>2019.75</v>
      </c>
      <c r="AE55" s="264">
        <f t="shared" si="16"/>
        <v>-8.3333333333333329E-2</v>
      </c>
      <c r="AF55" s="264">
        <f t="shared" si="17"/>
        <v>2025.5</v>
      </c>
      <c r="AG55" s="264">
        <f t="shared" si="18"/>
        <v>2019.75</v>
      </c>
      <c r="AH55" s="264">
        <f t="shared" si="19"/>
        <v>-8.3333333333333329E-2</v>
      </c>
    </row>
    <row r="56" spans="1:34">
      <c r="A56" s="257" t="s">
        <v>343</v>
      </c>
      <c r="B56" s="257" t="s">
        <v>344</v>
      </c>
      <c r="C56" s="258">
        <v>2018</v>
      </c>
      <c r="D56" s="259">
        <v>7</v>
      </c>
      <c r="E56" s="260">
        <v>0</v>
      </c>
      <c r="F56" s="261" t="s">
        <v>258</v>
      </c>
      <c r="G56" s="261">
        <v>7</v>
      </c>
      <c r="H56" s="259">
        <f t="shared" si="0"/>
        <v>2025</v>
      </c>
      <c r="I56" s="262"/>
      <c r="J56" s="262"/>
      <c r="K56" s="263">
        <v>134223</v>
      </c>
      <c r="L56" s="262"/>
      <c r="M56" s="263">
        <f t="shared" si="1"/>
        <v>134223</v>
      </c>
      <c r="N56" s="263">
        <f t="shared" si="2"/>
        <v>1597.8928571428571</v>
      </c>
      <c r="O56" s="263">
        <f t="shared" si="20"/>
        <v>19174.714285714286</v>
      </c>
      <c r="P56" s="263">
        <f t="shared" si="4"/>
        <v>0</v>
      </c>
      <c r="Q56" s="263">
        <f t="shared" si="5"/>
        <v>19174.714285714286</v>
      </c>
      <c r="R56" s="262">
        <v>1</v>
      </c>
      <c r="S56" s="263">
        <f t="shared" si="6"/>
        <v>19174.714285714286</v>
      </c>
      <c r="T56" s="262"/>
      <c r="U56" s="263">
        <f t="shared" si="7"/>
        <v>23968.392857142855</v>
      </c>
      <c r="V56" s="263">
        <f t="shared" si="8"/>
        <v>23968.392857142855</v>
      </c>
      <c r="W56" s="262">
        <v>1</v>
      </c>
      <c r="X56" s="263">
        <f t="shared" si="9"/>
        <v>23968.392857142855</v>
      </c>
      <c r="Y56" s="263">
        <f t="shared" si="10"/>
        <v>43143.107142857145</v>
      </c>
      <c r="Z56" s="263">
        <f t="shared" si="21"/>
        <v>91079.892857142855</v>
      </c>
      <c r="AA56" s="263">
        <f t="shared" si="12"/>
        <v>2018.5</v>
      </c>
      <c r="AB56" s="263">
        <f t="shared" si="13"/>
        <v>2020.75</v>
      </c>
      <c r="AC56" s="263">
        <f t="shared" si="14"/>
        <v>2025.5</v>
      </c>
      <c r="AD56" s="264">
        <f t="shared" si="15"/>
        <v>2019.75</v>
      </c>
      <c r="AE56" s="264">
        <f t="shared" si="16"/>
        <v>-8.3333333333333329E-2</v>
      </c>
      <c r="AF56" s="264">
        <f t="shared" si="17"/>
        <v>2025.5</v>
      </c>
      <c r="AG56" s="264">
        <f t="shared" si="18"/>
        <v>2019.75</v>
      </c>
      <c r="AH56" s="264">
        <f t="shared" si="19"/>
        <v>-8.3333333333333329E-2</v>
      </c>
    </row>
    <row r="57" spans="1:34">
      <c r="A57" s="257" t="s">
        <v>345</v>
      </c>
      <c r="B57" s="257" t="s">
        <v>346</v>
      </c>
      <c r="C57" s="258">
        <v>2018</v>
      </c>
      <c r="D57" s="259">
        <v>11</v>
      </c>
      <c r="E57" s="260">
        <v>0</v>
      </c>
      <c r="F57" s="261" t="s">
        <v>258</v>
      </c>
      <c r="G57" s="261">
        <v>7</v>
      </c>
      <c r="H57" s="259">
        <f t="shared" si="0"/>
        <v>2025</v>
      </c>
      <c r="I57" s="262"/>
      <c r="J57" s="262"/>
      <c r="K57" s="263">
        <v>73667</v>
      </c>
      <c r="L57" s="262"/>
      <c r="M57" s="263">
        <f t="shared" si="1"/>
        <v>73667</v>
      </c>
      <c r="N57" s="263">
        <f t="shared" si="2"/>
        <v>876.9880952380953</v>
      </c>
      <c r="O57" s="263">
        <f t="shared" si="20"/>
        <v>10523.857142857143</v>
      </c>
      <c r="P57" s="263">
        <f t="shared" si="4"/>
        <v>0</v>
      </c>
      <c r="Q57" s="263">
        <f t="shared" si="5"/>
        <v>10523.857142857143</v>
      </c>
      <c r="R57" s="262">
        <v>1</v>
      </c>
      <c r="S57" s="263">
        <f t="shared" si="6"/>
        <v>10523.857142857143</v>
      </c>
      <c r="T57" s="262"/>
      <c r="U57" s="263">
        <f t="shared" si="7"/>
        <v>9646.8690476198462</v>
      </c>
      <c r="V57" s="263">
        <f t="shared" si="8"/>
        <v>9646.8690476198462</v>
      </c>
      <c r="W57" s="262">
        <v>1</v>
      </c>
      <c r="X57" s="263">
        <f t="shared" si="9"/>
        <v>9646.8690476198462</v>
      </c>
      <c r="Y57" s="263">
        <f t="shared" si="10"/>
        <v>20170.726190476991</v>
      </c>
      <c r="Z57" s="263">
        <f t="shared" si="21"/>
        <v>53496.273809523009</v>
      </c>
      <c r="AA57" s="263">
        <f t="shared" si="12"/>
        <v>2018.8333333333333</v>
      </c>
      <c r="AB57" s="263">
        <f t="shared" si="13"/>
        <v>2020.75</v>
      </c>
      <c r="AC57" s="263">
        <f t="shared" si="14"/>
        <v>2025.8333333333333</v>
      </c>
      <c r="AD57" s="264">
        <f t="shared" si="15"/>
        <v>2019.75</v>
      </c>
      <c r="AE57" s="264">
        <f t="shared" si="16"/>
        <v>-8.3333333333333329E-2</v>
      </c>
      <c r="AF57" s="264">
        <f t="shared" si="17"/>
        <v>2025.8333333333333</v>
      </c>
      <c r="AG57" s="264">
        <f t="shared" si="18"/>
        <v>2019.75</v>
      </c>
      <c r="AH57" s="264">
        <f t="shared" si="19"/>
        <v>-8.3333333333333329E-2</v>
      </c>
    </row>
    <row r="58" spans="1:34">
      <c r="A58" s="257" t="s">
        <v>347</v>
      </c>
      <c r="B58" s="257" t="s">
        <v>348</v>
      </c>
      <c r="C58" s="258">
        <v>2018</v>
      </c>
      <c r="D58" s="259">
        <v>11</v>
      </c>
      <c r="E58" s="260">
        <v>0</v>
      </c>
      <c r="F58" s="261" t="s">
        <v>258</v>
      </c>
      <c r="G58" s="261">
        <v>7</v>
      </c>
      <c r="H58" s="259">
        <f t="shared" si="0"/>
        <v>2025</v>
      </c>
      <c r="I58" s="262"/>
      <c r="J58" s="262"/>
      <c r="K58" s="263">
        <v>73667</v>
      </c>
      <c r="L58" s="262"/>
      <c r="M58" s="263">
        <f t="shared" si="1"/>
        <v>73667</v>
      </c>
      <c r="N58" s="263">
        <f t="shared" si="2"/>
        <v>876.9880952380953</v>
      </c>
      <c r="O58" s="263">
        <f t="shared" si="20"/>
        <v>10523.857142857143</v>
      </c>
      <c r="P58" s="263">
        <f t="shared" si="4"/>
        <v>0</v>
      </c>
      <c r="Q58" s="263">
        <f t="shared" si="5"/>
        <v>10523.857142857143</v>
      </c>
      <c r="R58" s="262">
        <v>1</v>
      </c>
      <c r="S58" s="263">
        <f t="shared" si="6"/>
        <v>10523.857142857143</v>
      </c>
      <c r="T58" s="262"/>
      <c r="U58" s="263">
        <f t="shared" si="7"/>
        <v>9646.8690476198462</v>
      </c>
      <c r="V58" s="263">
        <f t="shared" si="8"/>
        <v>9646.8690476198462</v>
      </c>
      <c r="W58" s="262">
        <v>1</v>
      </c>
      <c r="X58" s="263">
        <f t="shared" si="9"/>
        <v>9646.8690476198462</v>
      </c>
      <c r="Y58" s="263">
        <f t="shared" si="10"/>
        <v>20170.726190476991</v>
      </c>
      <c r="Z58" s="263">
        <f t="shared" si="21"/>
        <v>53496.273809523009</v>
      </c>
      <c r="AA58" s="263">
        <f t="shared" si="12"/>
        <v>2018.8333333333333</v>
      </c>
      <c r="AB58" s="263">
        <f t="shared" si="13"/>
        <v>2020.75</v>
      </c>
      <c r="AC58" s="263">
        <f t="shared" si="14"/>
        <v>2025.8333333333333</v>
      </c>
      <c r="AD58" s="264">
        <f t="shared" si="15"/>
        <v>2019.75</v>
      </c>
      <c r="AE58" s="264">
        <f t="shared" si="16"/>
        <v>-8.3333333333333329E-2</v>
      </c>
      <c r="AF58" s="264">
        <f t="shared" si="17"/>
        <v>2025.8333333333333</v>
      </c>
      <c r="AG58" s="264">
        <f t="shared" si="18"/>
        <v>2019.75</v>
      </c>
      <c r="AH58" s="264">
        <f t="shared" si="19"/>
        <v>-8.3333333333333329E-2</v>
      </c>
    </row>
    <row r="59" spans="1:34">
      <c r="A59" s="257" t="s">
        <v>349</v>
      </c>
      <c r="B59" s="257" t="s">
        <v>350</v>
      </c>
      <c r="C59" s="258">
        <v>2019</v>
      </c>
      <c r="D59" s="259">
        <v>10</v>
      </c>
      <c r="E59" s="260">
        <v>0</v>
      </c>
      <c r="F59" s="261" t="s">
        <v>258</v>
      </c>
      <c r="G59" s="261">
        <v>7</v>
      </c>
      <c r="H59" s="259">
        <f>+C59+G59</f>
        <v>2026</v>
      </c>
      <c r="I59" s="262"/>
      <c r="J59" s="262"/>
      <c r="K59" s="263">
        <v>344974</v>
      </c>
      <c r="L59" s="262"/>
      <c r="M59" s="263">
        <f>K59-K59*E59</f>
        <v>344974</v>
      </c>
      <c r="N59" s="263">
        <f>M59/G59/12</f>
        <v>4106.833333333333</v>
      </c>
      <c r="O59" s="263">
        <f t="shared" si="20"/>
        <v>49282</v>
      </c>
      <c r="P59" s="263">
        <f>IF(L59=0,0,IF((AND((AE59&gt;=AD59),(AE59&lt;=AC59))),((AE59-AD59)*12)*N59,0))</f>
        <v>0</v>
      </c>
      <c r="Q59" s="263">
        <f>IF(P59&gt;0,P59,O59)</f>
        <v>49282</v>
      </c>
      <c r="R59" s="262">
        <v>1</v>
      </c>
      <c r="S59" s="263">
        <f>R59*SUM(O59:P59)</f>
        <v>49282</v>
      </c>
      <c r="T59" s="262"/>
      <c r="U59" s="263">
        <f>IF(AA59&gt;AB59,0,IF(AC59&lt;AD59,M59,IF((AND((AC59&gt;=AD59),(AC59&lt;=AB59))),(M59-Q59),IF((AND((AD59&lt;=AA59),(AB59&gt;=AA59))),0,IF(AC59&gt;AB59,((AD59-AA59)*12)*N59,0)))))</f>
        <v>0</v>
      </c>
      <c r="V59" s="263">
        <f>U59*R59</f>
        <v>0</v>
      </c>
      <c r="W59" s="262">
        <v>1</v>
      </c>
      <c r="X59" s="263">
        <f>V59*W59</f>
        <v>0</v>
      </c>
      <c r="Y59" s="263">
        <f>IF(L59&gt;0,0,X59+S59*W59)*W59</f>
        <v>49282</v>
      </c>
      <c r="Z59" s="263">
        <f t="shared" si="21"/>
        <v>295692</v>
      </c>
      <c r="AA59" s="263">
        <f t="shared" si="12"/>
        <v>2019.75</v>
      </c>
      <c r="AB59" s="263">
        <f t="shared" si="13"/>
        <v>2020.75</v>
      </c>
      <c r="AC59" s="263">
        <f t="shared" si="14"/>
        <v>2026.75</v>
      </c>
      <c r="AD59" s="264">
        <f t="shared" si="15"/>
        <v>2019.75</v>
      </c>
      <c r="AE59" s="264">
        <f t="shared" si="16"/>
        <v>-8.3333333333333329E-2</v>
      </c>
      <c r="AF59" s="264">
        <f t="shared" si="17"/>
        <v>2026.75</v>
      </c>
      <c r="AG59" s="264">
        <f t="shared" si="18"/>
        <v>2019.75</v>
      </c>
      <c r="AH59" s="264">
        <f t="shared" si="19"/>
        <v>-8.3333333333333329E-2</v>
      </c>
    </row>
    <row r="60" spans="1:34">
      <c r="A60" s="257" t="s">
        <v>349</v>
      </c>
      <c r="B60" s="257" t="s">
        <v>351</v>
      </c>
      <c r="C60" s="258">
        <v>2019</v>
      </c>
      <c r="D60" s="259">
        <v>10</v>
      </c>
      <c r="E60" s="260">
        <v>0</v>
      </c>
      <c r="F60" s="261" t="s">
        <v>258</v>
      </c>
      <c r="G60" s="261">
        <v>7</v>
      </c>
      <c r="H60" s="259">
        <f>+C60+G60</f>
        <v>2026</v>
      </c>
      <c r="I60" s="262"/>
      <c r="J60" s="262"/>
      <c r="K60" s="263">
        <v>320170</v>
      </c>
      <c r="L60" s="262"/>
      <c r="M60" s="263">
        <f>K60-K60*E60</f>
        <v>320170</v>
      </c>
      <c r="N60" s="263">
        <f>M60/G60/12</f>
        <v>3811.5476190476188</v>
      </c>
      <c r="O60" s="263">
        <f t="shared" si="20"/>
        <v>45738.571428571428</v>
      </c>
      <c r="P60" s="263">
        <f>IF(L60=0,0,IF((AND((AE60&gt;=AD60),(AE60&lt;=AC60))),((AE60-AD60)*12)*N60,0))</f>
        <v>0</v>
      </c>
      <c r="Q60" s="263">
        <f>IF(P60&gt;0,P60,O60)</f>
        <v>45738.571428571428</v>
      </c>
      <c r="R60" s="262">
        <v>1</v>
      </c>
      <c r="S60" s="263">
        <f>R60*SUM(O60:P60)</f>
        <v>45738.571428571428</v>
      </c>
      <c r="T60" s="262"/>
      <c r="U60" s="263">
        <f>IF(AA60&gt;AB60,0,IF(AC60&lt;AD60,M60,IF((AND((AC60&gt;=AD60),(AC60&lt;=AB60))),(M60-Q60),IF((AND((AD60&lt;=AA60),(AB60&gt;=AA60))),0,IF(AC60&gt;AB60,((AD60-AA60)*12)*N60,0)))))</f>
        <v>0</v>
      </c>
      <c r="V60" s="263">
        <f>U60*R60</f>
        <v>0</v>
      </c>
      <c r="W60" s="262">
        <v>1</v>
      </c>
      <c r="X60" s="263">
        <f>V60*W60</f>
        <v>0</v>
      </c>
      <c r="Y60" s="263">
        <f>IF(L60&gt;0,0,X60+S60*W60)*W60</f>
        <v>45738.571428571428</v>
      </c>
      <c r="Z60" s="263">
        <f t="shared" si="21"/>
        <v>274431.42857142858</v>
      </c>
      <c r="AA60" s="263">
        <f t="shared" si="12"/>
        <v>2019.75</v>
      </c>
      <c r="AB60" s="263">
        <f t="shared" si="13"/>
        <v>2020.75</v>
      </c>
      <c r="AC60" s="263">
        <f t="shared" si="14"/>
        <v>2026.75</v>
      </c>
      <c r="AD60" s="264">
        <f t="shared" si="15"/>
        <v>2019.75</v>
      </c>
      <c r="AE60" s="264">
        <f t="shared" si="16"/>
        <v>-8.3333333333333329E-2</v>
      </c>
      <c r="AF60" s="264">
        <f t="shared" si="17"/>
        <v>2026.75</v>
      </c>
      <c r="AG60" s="264">
        <f t="shared" si="18"/>
        <v>2019.75</v>
      </c>
      <c r="AH60" s="264">
        <f t="shared" si="19"/>
        <v>-8.3333333333333329E-2</v>
      </c>
    </row>
    <row r="61" spans="1:34">
      <c r="A61" s="265" t="s">
        <v>352</v>
      </c>
      <c r="B61" s="257"/>
      <c r="C61" s="258"/>
      <c r="D61" s="259"/>
      <c r="E61" s="260"/>
      <c r="F61" s="261"/>
      <c r="G61" s="261"/>
      <c r="H61" s="259"/>
      <c r="I61" s="262"/>
      <c r="J61" s="262"/>
      <c r="K61" s="263"/>
      <c r="L61" s="262"/>
      <c r="M61" s="263"/>
      <c r="N61" s="263"/>
      <c r="O61" s="263"/>
      <c r="P61" s="263"/>
      <c r="Q61" s="263"/>
      <c r="R61" s="262"/>
      <c r="S61" s="263"/>
      <c r="T61" s="262"/>
      <c r="U61" s="263"/>
      <c r="V61" s="263"/>
      <c r="W61" s="262"/>
      <c r="X61" s="263"/>
      <c r="Y61" s="263"/>
      <c r="Z61" s="263"/>
      <c r="AA61" s="263"/>
      <c r="AB61" s="263"/>
      <c r="AC61" s="263"/>
      <c r="AD61" s="264"/>
      <c r="AE61" s="264"/>
      <c r="AF61" s="264"/>
      <c r="AG61" s="264"/>
      <c r="AH61" s="264"/>
    </row>
    <row r="62" spans="1:34">
      <c r="A62" s="257"/>
      <c r="B62" s="257" t="s">
        <v>353</v>
      </c>
      <c r="C62" s="258">
        <v>2013</v>
      </c>
      <c r="D62" s="259">
        <v>7</v>
      </c>
      <c r="E62" s="260">
        <v>0</v>
      </c>
      <c r="F62" s="261" t="s">
        <v>258</v>
      </c>
      <c r="G62" s="261">
        <v>5</v>
      </c>
      <c r="H62" s="259">
        <f>+C62+G62</f>
        <v>2018</v>
      </c>
      <c r="I62" s="262"/>
      <c r="J62" s="262"/>
      <c r="K62" s="263">
        <v>4051</v>
      </c>
      <c r="L62" s="262"/>
      <c r="M62" s="263">
        <f>K62-K62*E62</f>
        <v>4051</v>
      </c>
      <c r="N62" s="263">
        <f>M62/G62/12</f>
        <v>67.516666666666666</v>
      </c>
      <c r="O62" s="263">
        <f>IF(L62&gt;0,0,IF((OR((AA62&gt;AB62),(AC62&lt;AD62))),0,IF((AND((AC62&gt;=AD62),(AC62&lt;=AB62))),N62*((AC62-AD62)*12),IF((AND((AD62&lt;=AA62),(AB62&gt;=AA62))),((AB62-AA62)*12)*N62,IF(AC62&gt;AB62,12*N62,0)))))</f>
        <v>0</v>
      </c>
      <c r="P62" s="263">
        <f>IF(L62=0,0,IF((AND((AE62&gt;=AD62),(AE62&lt;=AC62))),((AE62-AD62)*12)*N62,0))</f>
        <v>0</v>
      </c>
      <c r="Q62" s="263">
        <f>IF(P62&gt;0,P62,O62)</f>
        <v>0</v>
      </c>
      <c r="R62" s="262">
        <v>1</v>
      </c>
      <c r="S62" s="263">
        <f>R62*SUM(O62:P62)</f>
        <v>0</v>
      </c>
      <c r="T62" s="262"/>
      <c r="U62" s="263">
        <f>IF(AA62&gt;AB62,0,IF(AC62&lt;AD62,M62,IF((AND((AC62&gt;=AD62),(AC62&lt;=AB62))),(M62-Q62),IF((AND((AD62&lt;=AA62),(AB62&gt;=AA62))),0,IF(AC62&gt;AB62,((AD62-AA62)*12)*N62,0)))))</f>
        <v>4051</v>
      </c>
      <c r="V62" s="263">
        <f>U62*R62</f>
        <v>4051</v>
      </c>
      <c r="W62" s="262">
        <v>1</v>
      </c>
      <c r="X62" s="263">
        <f>V62*W62</f>
        <v>4051</v>
      </c>
      <c r="Y62" s="263">
        <f>IF(L62&gt;0,0,X62+S62*W62)*W62</f>
        <v>4051</v>
      </c>
      <c r="Z62" s="263">
        <f>IF(L62&gt;0,(K62-X62)/2,IF(AA62&gt;=AD62,(((K62*R62)*W62)-Y62)/2,((((K62*R62)*W62)-X62)+(((K62*R62)*W62)-Y62))/2))</f>
        <v>0</v>
      </c>
      <c r="AA62" s="263">
        <f>$C62+(($D62-1)/12)</f>
        <v>2013.5</v>
      </c>
      <c r="AB62" s="263">
        <f t="shared" si="13"/>
        <v>2020.75</v>
      </c>
      <c r="AC62" s="263">
        <f>$H62+(($D62-1)/12)</f>
        <v>2018.5</v>
      </c>
      <c r="AD62" s="264">
        <f t="shared" si="15"/>
        <v>2019.75</v>
      </c>
      <c r="AE62" s="264">
        <f>$I62+(($J62-1)/12)</f>
        <v>-8.3333333333333329E-2</v>
      </c>
      <c r="AF62" s="264">
        <f>$H62+(($D62-1)/12)</f>
        <v>2018.5</v>
      </c>
      <c r="AG62" s="264">
        <f t="shared" si="18"/>
        <v>2019.75</v>
      </c>
      <c r="AH62" s="264">
        <f>$I62+(($J62-1)/12)</f>
        <v>-8.3333333333333329E-2</v>
      </c>
    </row>
    <row r="63" spans="1:34">
      <c r="A63" s="257"/>
      <c r="B63" s="257" t="s">
        <v>354</v>
      </c>
      <c r="C63" s="258">
        <v>2013</v>
      </c>
      <c r="D63" s="259">
        <v>7</v>
      </c>
      <c r="E63" s="260">
        <v>0</v>
      </c>
      <c r="F63" s="261" t="s">
        <v>258</v>
      </c>
      <c r="G63" s="261">
        <v>5</v>
      </c>
      <c r="H63" s="259">
        <f>+C63+G63</f>
        <v>2018</v>
      </c>
      <c r="I63" s="262"/>
      <c r="J63" s="262"/>
      <c r="K63" s="263">
        <v>2313</v>
      </c>
      <c r="L63" s="262"/>
      <c r="M63" s="263">
        <f>K63-K63*E63</f>
        <v>2313</v>
      </c>
      <c r="N63" s="263">
        <f>M63/G63/12</f>
        <v>38.550000000000004</v>
      </c>
      <c r="O63" s="263">
        <f>IF(L63&gt;0,0,IF((OR((AA63&gt;AB63),(AC63&lt;AD63))),0,IF((AND((AC63&gt;=AD63),(AC63&lt;=AB63))),N63*((AC63-AD63)*12),IF((AND((AD63&lt;=AA63),(AB63&gt;=AA63))),((AB63-AA63)*12)*N63,IF(AC63&gt;AB63,12*N63,0)))))</f>
        <v>0</v>
      </c>
      <c r="P63" s="263">
        <f>IF(L63=0,0,IF((AND((AE63&gt;=AD63),(AE63&lt;=AC63))),((AE63-AD63)*12)*N63,0))</f>
        <v>0</v>
      </c>
      <c r="Q63" s="263">
        <f>IF(P63&gt;0,P63,O63)</f>
        <v>0</v>
      </c>
      <c r="R63" s="262">
        <v>1</v>
      </c>
      <c r="S63" s="263">
        <f>R63*SUM(O63:P63)</f>
        <v>0</v>
      </c>
      <c r="T63" s="262"/>
      <c r="U63" s="263">
        <f>IF(AA63&gt;AB63,0,IF(AC63&lt;AD63,M63,IF((AND((AC63&gt;=AD63),(AC63&lt;=AB63))),(M63-Q63),IF((AND((AD63&lt;=AA63),(AB63&gt;=AA63))),0,IF(AC63&gt;AB63,((AD63-AA63)*12)*N63,0)))))</f>
        <v>2313</v>
      </c>
      <c r="V63" s="263">
        <f>U63*R63</f>
        <v>2313</v>
      </c>
      <c r="W63" s="262">
        <v>1</v>
      </c>
      <c r="X63" s="263">
        <f>V63*W63</f>
        <v>2313</v>
      </c>
      <c r="Y63" s="263">
        <f>IF(L63&gt;0,0,X63+S63*W63)*W63</f>
        <v>2313</v>
      </c>
      <c r="Z63" s="263">
        <f>IF(L63&gt;0,(K63-X63)/2,IF(AA63&gt;=AD63,(((K63*R63)*W63)-Y63)/2,((((K63*R63)*W63)-X63)+(((K63*R63)*W63)-Y63))/2))</f>
        <v>0</v>
      </c>
      <c r="AA63" s="263">
        <f>$C63+(($D63-1)/12)</f>
        <v>2013.5</v>
      </c>
      <c r="AB63" s="263">
        <f t="shared" si="13"/>
        <v>2020.75</v>
      </c>
      <c r="AC63" s="263">
        <f>$H63+(($D63-1)/12)</f>
        <v>2018.5</v>
      </c>
      <c r="AD63" s="264">
        <f t="shared" si="15"/>
        <v>2019.75</v>
      </c>
      <c r="AE63" s="264">
        <f>$I63+(($J63-1)/12)</f>
        <v>-8.3333333333333329E-2</v>
      </c>
      <c r="AF63" s="264">
        <f>$H63+(($D63-1)/12)</f>
        <v>2018.5</v>
      </c>
      <c r="AG63" s="264">
        <f t="shared" si="18"/>
        <v>2019.75</v>
      </c>
      <c r="AH63" s="264">
        <f>$I63+(($J63-1)/12)</f>
        <v>-8.3333333333333329E-2</v>
      </c>
    </row>
    <row r="64" spans="1:34">
      <c r="A64" s="257"/>
      <c r="B64" s="257" t="s">
        <v>355</v>
      </c>
      <c r="C64" s="258">
        <v>2013</v>
      </c>
      <c r="D64" s="259">
        <v>7</v>
      </c>
      <c r="E64" s="260">
        <v>0</v>
      </c>
      <c r="F64" s="261" t="s">
        <v>258</v>
      </c>
      <c r="G64" s="261">
        <v>5</v>
      </c>
      <c r="H64" s="259">
        <f>+C64+G64</f>
        <v>2018</v>
      </c>
      <c r="I64" s="262"/>
      <c r="J64" s="262"/>
      <c r="K64" s="266">
        <v>3981</v>
      </c>
      <c r="L64" s="267"/>
      <c r="M64" s="266">
        <f>K64-K64*E64</f>
        <v>3981</v>
      </c>
      <c r="N64" s="266">
        <f>M64/G64/12</f>
        <v>66.350000000000009</v>
      </c>
      <c r="O64" s="266">
        <f>IF(L64&gt;0,0,IF((OR((AA64&gt;AB64),(AC64&lt;AD64))),0,IF((AND((AC64&gt;=AD64),(AC64&lt;=AB64))),N64*((AC64-AD64)*12),IF((AND((AD64&lt;=AA64),(AB64&gt;=AA64))),((AB64-AA64)*12)*N64,IF(AC64&gt;AB64,12*N64,0)))))</f>
        <v>0</v>
      </c>
      <c r="P64" s="266">
        <f>IF(L64=0,0,IF((AND((AE64&gt;=AD64),(AE64&lt;=AC64))),((AE64-AD64)*12)*N64,0))</f>
        <v>0</v>
      </c>
      <c r="Q64" s="266">
        <f>IF(P64&gt;0,P64,O64)</f>
        <v>0</v>
      </c>
      <c r="R64" s="267">
        <v>1</v>
      </c>
      <c r="S64" s="266">
        <f>R64*SUM(O64:P64)</f>
        <v>0</v>
      </c>
      <c r="T64" s="267"/>
      <c r="U64" s="266">
        <f>IF(AA64&gt;AB64,0,IF(AC64&lt;AD64,M64,IF((AND((AC64&gt;=AD64),(AC64&lt;=AB64))),(M64-Q64),IF((AND((AD64&lt;=AA64),(AB64&gt;=AA64))),0,IF(AC64&gt;AB64,((AD64-AA64)*12)*N64,0)))))</f>
        <v>3981</v>
      </c>
      <c r="V64" s="266">
        <f>U64*R64</f>
        <v>3981</v>
      </c>
      <c r="W64" s="267">
        <v>1</v>
      </c>
      <c r="X64" s="266">
        <f>V64*W64</f>
        <v>3981</v>
      </c>
      <c r="Y64" s="266">
        <f>IF(L64&gt;0,0,X64+S64*W64)*W64</f>
        <v>3981</v>
      </c>
      <c r="Z64" s="266">
        <f>IF(L64&gt;0,(K64-X64)/2,IF(AA64&gt;=AD64,(((K64*R64)*W64)-Y64)/2,((((K64*R64)*W64)-X64)+(((K64*R64)*W64)-Y64))/2))</f>
        <v>0</v>
      </c>
      <c r="AA64" s="263">
        <f>$C64+(($D64-1)/12)</f>
        <v>2013.5</v>
      </c>
      <c r="AB64" s="263">
        <f t="shared" si="13"/>
        <v>2020.75</v>
      </c>
      <c r="AC64" s="263">
        <f>$H64+(($D64-1)/12)</f>
        <v>2018.5</v>
      </c>
      <c r="AD64" s="264">
        <f t="shared" si="15"/>
        <v>2019.75</v>
      </c>
      <c r="AE64" s="264">
        <f>$I64+(($J64-1)/12)</f>
        <v>-8.3333333333333329E-2</v>
      </c>
      <c r="AF64" s="264">
        <f>$H64+(($D64-1)/12)</f>
        <v>2018.5</v>
      </c>
      <c r="AG64" s="264">
        <f t="shared" si="18"/>
        <v>2019.75</v>
      </c>
      <c r="AH64" s="264">
        <f>$I64+(($J64-1)/12)</f>
        <v>-8.3333333333333329E-2</v>
      </c>
    </row>
    <row r="65" spans="1:34">
      <c r="A65" s="257"/>
      <c r="B65" s="268" t="s">
        <v>356</v>
      </c>
      <c r="C65" s="258"/>
      <c r="D65" s="259"/>
      <c r="E65" s="269"/>
      <c r="F65" s="261"/>
      <c r="G65" s="261"/>
      <c r="H65" s="259"/>
      <c r="I65" s="262"/>
      <c r="J65" s="262"/>
      <c r="K65" s="270">
        <f>SUM(K13:K64)</f>
        <v>3268307</v>
      </c>
      <c r="L65" s="262"/>
      <c r="M65" s="270">
        <f t="shared" ref="M65:Z65" si="22">SUM(M13:M64)</f>
        <v>3268307</v>
      </c>
      <c r="N65" s="270">
        <f t="shared" si="22"/>
        <v>39320.685714285719</v>
      </c>
      <c r="O65" s="270">
        <f t="shared" si="22"/>
        <v>374690.58095237915</v>
      </c>
      <c r="P65" s="270">
        <f t="shared" si="22"/>
        <v>0</v>
      </c>
      <c r="Q65" s="270">
        <f t="shared" si="22"/>
        <v>374690.58095237915</v>
      </c>
      <c r="R65" s="270">
        <f t="shared" si="22"/>
        <v>51</v>
      </c>
      <c r="S65" s="270">
        <f t="shared" si="22"/>
        <v>374690.58095237915</v>
      </c>
      <c r="T65" s="270">
        <f t="shared" si="22"/>
        <v>0</v>
      </c>
      <c r="U65" s="270">
        <f t="shared" si="22"/>
        <v>1606635.6880952341</v>
      </c>
      <c r="V65" s="270">
        <f t="shared" si="22"/>
        <v>1606635.6880952341</v>
      </c>
      <c r="W65" s="270">
        <f t="shared" si="22"/>
        <v>51</v>
      </c>
      <c r="X65" s="270">
        <f t="shared" si="22"/>
        <v>1606635.6880952341</v>
      </c>
      <c r="Y65" s="270">
        <f t="shared" si="22"/>
        <v>1981326.2690476119</v>
      </c>
      <c r="Z65" s="270">
        <f t="shared" si="22"/>
        <v>1397117.1642857194</v>
      </c>
      <c r="AA65" s="262"/>
      <c r="AB65" s="262"/>
      <c r="AC65" s="262"/>
      <c r="AD65" s="271"/>
      <c r="AE65" s="271"/>
      <c r="AF65" s="271"/>
      <c r="AG65" s="271"/>
      <c r="AH65" s="271"/>
    </row>
    <row r="66" spans="1:34">
      <c r="A66" s="257"/>
      <c r="B66" s="268"/>
      <c r="C66" s="258"/>
      <c r="D66" s="259"/>
      <c r="E66" s="269"/>
      <c r="F66" s="261"/>
      <c r="G66" s="261"/>
      <c r="H66" s="259"/>
      <c r="I66" s="262"/>
      <c r="J66" s="262"/>
      <c r="K66" s="272"/>
      <c r="L66" s="262"/>
      <c r="M66" s="262"/>
      <c r="N66" s="262"/>
      <c r="O66" s="262"/>
      <c r="P66" s="262"/>
      <c r="Q66" s="262"/>
      <c r="R66" s="262"/>
      <c r="S66" s="262"/>
      <c r="T66" s="262"/>
      <c r="U66" s="262"/>
      <c r="V66" s="262"/>
      <c r="W66" s="262"/>
      <c r="X66" s="262"/>
      <c r="Y66" s="262"/>
      <c r="Z66" s="262"/>
      <c r="AA66" s="262"/>
      <c r="AB66" s="262"/>
      <c r="AC66" s="262"/>
      <c r="AD66" s="271"/>
      <c r="AE66" s="271"/>
      <c r="AF66" s="271"/>
      <c r="AG66" s="271"/>
      <c r="AH66" s="271"/>
    </row>
    <row r="67" spans="1:34">
      <c r="A67" s="257"/>
      <c r="B67" s="273" t="s">
        <v>357</v>
      </c>
      <c r="C67" s="258"/>
      <c r="D67" s="259"/>
      <c r="E67" s="269"/>
      <c r="F67" s="261"/>
      <c r="G67" s="261"/>
      <c r="H67" s="259"/>
      <c r="I67" s="262"/>
      <c r="J67" s="262"/>
      <c r="K67" s="272"/>
      <c r="L67" s="262"/>
      <c r="M67" s="262"/>
      <c r="N67" s="262"/>
      <c r="O67" s="262"/>
      <c r="P67" s="262"/>
      <c r="Q67" s="262"/>
      <c r="R67" s="262"/>
      <c r="S67" s="262"/>
      <c r="T67" s="262"/>
      <c r="U67" s="262"/>
      <c r="V67" s="262"/>
      <c r="W67" s="262"/>
      <c r="X67" s="262"/>
      <c r="Y67" s="262"/>
      <c r="Z67" s="262"/>
      <c r="AA67" s="262"/>
      <c r="AB67" s="262"/>
      <c r="AC67" s="262"/>
      <c r="AD67" s="271"/>
      <c r="AE67" s="271"/>
      <c r="AF67" s="271"/>
      <c r="AG67" s="271"/>
      <c r="AH67" s="271"/>
    </row>
    <row r="68" spans="1:34">
      <c r="A68" s="257">
        <v>1</v>
      </c>
      <c r="B68" s="268" t="s">
        <v>358</v>
      </c>
      <c r="C68" s="258">
        <v>1998</v>
      </c>
      <c r="D68" s="259">
        <v>5</v>
      </c>
      <c r="E68" s="269"/>
      <c r="F68" s="261" t="s">
        <v>258</v>
      </c>
      <c r="G68" s="261">
        <v>30</v>
      </c>
      <c r="H68" s="259">
        <f>+C68+G68</f>
        <v>2028</v>
      </c>
      <c r="I68" s="262"/>
      <c r="J68" s="262"/>
      <c r="K68" s="263">
        <v>336581</v>
      </c>
      <c r="L68" s="262"/>
      <c r="M68" s="263">
        <f>K68-K68*E68</f>
        <v>336581</v>
      </c>
      <c r="N68" s="263">
        <f>M68/G68/12</f>
        <v>934.94722222222219</v>
      </c>
      <c r="O68" s="263">
        <f>IF(L68&gt;0,0,IF((OR((AA68&gt;AB68),(AC68&lt;AD68))),0,IF((AND((AC68&gt;=AD68),(AC68&lt;=AB68))),N68*((AC68-AD68)*12),IF((AND((AD68&lt;=AA68),(AB68&gt;=AA68))),((AB68-AA68)*12)*N68,IF(AC68&gt;AB68,12*N68,0)))))</f>
        <v>11219.366666666667</v>
      </c>
      <c r="P68" s="263">
        <f>IF(L68=0,0,IF((AND((AE68&gt;=AD68),(AE68&lt;=AC68))),((AE68-AD68)*12)*N68,0))</f>
        <v>0</v>
      </c>
      <c r="Q68" s="263">
        <f>IF(P68&gt;0,P68,O68)</f>
        <v>11219.366666666667</v>
      </c>
      <c r="R68" s="262">
        <v>1</v>
      </c>
      <c r="S68" s="263">
        <f>R68*SUM(O68:P68)</f>
        <v>11219.366666666667</v>
      </c>
      <c r="T68" s="262"/>
      <c r="U68" s="263">
        <f>IF(AA68&gt;AB68,0,IF(AC68&lt;AD68,M68,IF((AND((AC68&gt;=AD68),(AC68&lt;=AB68))),(M68-Q68),IF((AND((AD68&lt;=AA68),(AB68&gt;=AA68))),0,IF(AC68&gt;AB68,((AD68-AA68)*12)*N68,0)))))</f>
        <v>240281.43611111195</v>
      </c>
      <c r="V68" s="263">
        <f>U68*R68</f>
        <v>240281.43611111195</v>
      </c>
      <c r="W68" s="262">
        <v>1</v>
      </c>
      <c r="X68" s="263">
        <f>V68*W68</f>
        <v>240281.43611111195</v>
      </c>
      <c r="Y68" s="263">
        <f>IF(L68&gt;0,0,X68+S68*W68)*W68</f>
        <v>251500.80277777862</v>
      </c>
      <c r="Z68" s="263">
        <f>IF(L68&gt;0,(K68-X68)/2,IF(AA68&gt;=AD68,(((K68*R68)*W68)-Y68)/2,((((K68*R68)*W68)-X68)+(((K68*R68)*W68)-Y68))/2))</f>
        <v>90689.880555554715</v>
      </c>
      <c r="AA68" s="263">
        <f>$C68+(($D68-1)/12)</f>
        <v>1998.3333333333333</v>
      </c>
      <c r="AB68" s="263">
        <f>($M$5+1)-($M$2/12)</f>
        <v>2020.75</v>
      </c>
      <c r="AC68" s="263">
        <f>$H68+(($D68-1)/12)</f>
        <v>2028.3333333333333</v>
      </c>
      <c r="AD68" s="264">
        <f>$M$4+($M$3/12)</f>
        <v>2019.75</v>
      </c>
      <c r="AE68" s="264">
        <f>$I68+(($J68-1)/12)</f>
        <v>-8.3333333333333329E-2</v>
      </c>
      <c r="AF68" s="264">
        <f>$H68+(($D68-1)/12)</f>
        <v>2028.3333333333333</v>
      </c>
      <c r="AG68" s="264">
        <f>$M$4+($M$3/12)</f>
        <v>2019.75</v>
      </c>
      <c r="AH68" s="264">
        <f>$I68+(($J68-1)/12)</f>
        <v>-8.3333333333333329E-2</v>
      </c>
    </row>
    <row r="69" spans="1:34">
      <c r="A69" s="257">
        <v>54</v>
      </c>
      <c r="B69" s="268" t="s">
        <v>359</v>
      </c>
      <c r="C69" s="258">
        <v>1995</v>
      </c>
      <c r="D69" s="259">
        <v>12</v>
      </c>
      <c r="E69" s="269"/>
      <c r="F69" s="261" t="s">
        <v>258</v>
      </c>
      <c r="G69" s="261">
        <v>15</v>
      </c>
      <c r="H69" s="259">
        <f>+C69+G69</f>
        <v>2010</v>
      </c>
      <c r="I69" s="262"/>
      <c r="J69" s="262"/>
      <c r="K69" s="263">
        <v>112</v>
      </c>
      <c r="L69" s="262"/>
      <c r="M69" s="263">
        <f>K69-K69*E69</f>
        <v>112</v>
      </c>
      <c r="N69" s="263">
        <f>M69/G69/12</f>
        <v>0.62222222222222223</v>
      </c>
      <c r="O69" s="263">
        <f>IF(L69&gt;0,0,IF((OR((AA69&gt;AB69),(AC69&lt;AD69))),0,IF((AND((AC69&gt;=AD69),(AC69&lt;=AB69))),N69*((AC69-AD69)*12),IF((AND((AD69&lt;=AA69),(AB69&gt;=AA69))),((AB69-AA69)*12)*N69,IF(AC69&gt;AB69,12*N69,0)))))</f>
        <v>0</v>
      </c>
      <c r="P69" s="263">
        <f>IF(L69=0,0,IF((AND((AE69&gt;=AD69),(AE69&lt;=AC69))),((AE69-AD69)*12)*N69,0))</f>
        <v>0</v>
      </c>
      <c r="Q69" s="263">
        <f>IF(P69&gt;0,P69,O69)</f>
        <v>0</v>
      </c>
      <c r="R69" s="262">
        <v>1</v>
      </c>
      <c r="S69" s="263">
        <f>R69*SUM(O69:P69)</f>
        <v>0</v>
      </c>
      <c r="T69" s="262"/>
      <c r="U69" s="263">
        <f>IF(AA69&gt;AB69,0,IF(AC69&lt;AD69,M69,IF((AND((AC69&gt;=AD69),(AC69&lt;=AB69))),(M69-Q69),IF((AND((AD69&lt;=AA69),(AB69&gt;=AA69))),0,IF(AC69&gt;AB69,((AD69-AA69)*12)*N69,0)))))</f>
        <v>112</v>
      </c>
      <c r="V69" s="263">
        <f>U69*R69</f>
        <v>112</v>
      </c>
      <c r="W69" s="262">
        <v>1</v>
      </c>
      <c r="X69" s="263">
        <f>V69*W69</f>
        <v>112</v>
      </c>
      <c r="Y69" s="263">
        <f>IF(L69&gt;0,0,X69+S69*W69)*W69</f>
        <v>112</v>
      </c>
      <c r="Z69" s="263">
        <f>IF(L69&gt;0,(K69-X69)/2,IF(AA69&gt;=AD69,(((K69*R69)*W69)-Y69)/2,((((K69*R69)*W69)-X69)+(((K69*R69)*W69)-Y69))/2))</f>
        <v>0</v>
      </c>
      <c r="AA69" s="263">
        <f>$C69+(($D69-1)/12)</f>
        <v>1995.9166666666667</v>
      </c>
      <c r="AB69" s="263">
        <f>($M$5+1)-($M$2/12)</f>
        <v>2020.75</v>
      </c>
      <c r="AC69" s="263">
        <f>$H69+(($D69-1)/12)</f>
        <v>2010.9166666666667</v>
      </c>
      <c r="AD69" s="264">
        <f>$M$4+($M$3/12)</f>
        <v>2019.75</v>
      </c>
      <c r="AE69" s="264">
        <f>$I69+(($J69-1)/12)</f>
        <v>-8.3333333333333329E-2</v>
      </c>
      <c r="AF69" s="264">
        <f>$H69+(($D69-1)/12)</f>
        <v>2010.9166666666667</v>
      </c>
      <c r="AG69" s="264">
        <f>$M$4+($M$3/12)</f>
        <v>2019.75</v>
      </c>
      <c r="AH69" s="264">
        <f>$I69+(($J69-1)/12)</f>
        <v>-8.3333333333333329E-2</v>
      </c>
    </row>
    <row r="70" spans="1:34">
      <c r="A70" s="257">
        <v>91</v>
      </c>
      <c r="B70" s="268" t="s">
        <v>360</v>
      </c>
      <c r="C70" s="258">
        <v>2003</v>
      </c>
      <c r="D70" s="259">
        <v>5</v>
      </c>
      <c r="E70" s="269"/>
      <c r="F70" s="261" t="s">
        <v>258</v>
      </c>
      <c r="G70" s="261">
        <v>15</v>
      </c>
      <c r="H70" s="259">
        <f>+C70+G70</f>
        <v>2018</v>
      </c>
      <c r="I70" s="262"/>
      <c r="J70" s="262"/>
      <c r="K70" s="263">
        <v>16759</v>
      </c>
      <c r="L70" s="262"/>
      <c r="M70" s="263">
        <f>K70-K70*E70</f>
        <v>16759</v>
      </c>
      <c r="N70" s="263">
        <f>M70/G70/12</f>
        <v>93.105555555555554</v>
      </c>
      <c r="O70" s="263">
        <f>IF(L70&gt;0,0,IF((OR((AA70&gt;AB70),(AC70&lt;AD70))),0,IF((AND((AC70&gt;=AD70),(AC70&lt;=AB70))),N70*((AC70-AD70)*12),IF((AND((AD70&lt;=AA70),(AB70&gt;=AA70))),((AB70-AA70)*12)*N70,IF(AC70&gt;AB70,12*N70,0)))))</f>
        <v>0</v>
      </c>
      <c r="P70" s="263">
        <f>IF(L70=0,0,IF((AND((AE70&gt;=AD70),(AE70&lt;=AC70))),((AE70-AD70)*12)*N70,0))</f>
        <v>0</v>
      </c>
      <c r="Q70" s="263">
        <f>IF(P70&gt;0,P70,O70)</f>
        <v>0</v>
      </c>
      <c r="R70" s="262">
        <v>1</v>
      </c>
      <c r="S70" s="263">
        <f>R70*SUM(O70:P70)</f>
        <v>0</v>
      </c>
      <c r="T70" s="262"/>
      <c r="U70" s="263">
        <f>IF(AA70&gt;AB70,0,IF(AC70&lt;AD70,M70,IF((AND((AC70&gt;=AD70),(AC70&lt;=AB70))),(M70-Q70),IF((AND((AD70&lt;=AA70),(AB70&gt;=AA70))),0,IF(AC70&gt;AB70,((AD70-AA70)*12)*N70,0)))))</f>
        <v>16759</v>
      </c>
      <c r="V70" s="263">
        <f>U70*R70</f>
        <v>16759</v>
      </c>
      <c r="W70" s="262">
        <v>1</v>
      </c>
      <c r="X70" s="263">
        <f>V70*W70</f>
        <v>16759</v>
      </c>
      <c r="Y70" s="263">
        <f>IF(L70&gt;0,0,X70+S70*W70)*W70</f>
        <v>16759</v>
      </c>
      <c r="Z70" s="263">
        <f>+M70-Y70</f>
        <v>0</v>
      </c>
      <c r="AA70" s="263">
        <f>$C70+(($D70-1)/12)</f>
        <v>2003.3333333333333</v>
      </c>
      <c r="AB70" s="263">
        <f>($M$5+1)-($M$2/12)</f>
        <v>2020.75</v>
      </c>
      <c r="AC70" s="263">
        <f>$H70+(($D70-1)/12)</f>
        <v>2018.3333333333333</v>
      </c>
      <c r="AD70" s="264">
        <f>$M$4+($M$3/12)</f>
        <v>2019.75</v>
      </c>
      <c r="AE70" s="264">
        <f>$I70+(($J70-1)/12)</f>
        <v>-8.3333333333333329E-2</v>
      </c>
      <c r="AF70" s="264">
        <f>$H70+(($D70-1)/12)</f>
        <v>2018.3333333333333</v>
      </c>
      <c r="AG70" s="264">
        <f>$M$4+($M$3/12)</f>
        <v>2019.75</v>
      </c>
      <c r="AH70" s="264">
        <f>$I70+(($J70-1)/12)</f>
        <v>-8.3333333333333329E-2</v>
      </c>
    </row>
    <row r="71" spans="1:34">
      <c r="A71" s="257">
        <v>125</v>
      </c>
      <c r="B71" s="268" t="s">
        <v>361</v>
      </c>
      <c r="C71" s="258">
        <v>2009</v>
      </c>
      <c r="D71" s="259">
        <v>7</v>
      </c>
      <c r="E71" s="269"/>
      <c r="F71" s="261" t="s">
        <v>258</v>
      </c>
      <c r="G71" s="261">
        <v>30</v>
      </c>
      <c r="H71" s="259">
        <f>+C71+G71</f>
        <v>2039</v>
      </c>
      <c r="I71" s="262"/>
      <c r="J71" s="262"/>
      <c r="K71" s="266">
        <v>230079</v>
      </c>
      <c r="L71" s="262"/>
      <c r="M71" s="266">
        <f>K71-K71*E71</f>
        <v>230079</v>
      </c>
      <c r="N71" s="266">
        <f>M71/G71/12</f>
        <v>639.10833333333335</v>
      </c>
      <c r="O71" s="266">
        <f>IF(L71&gt;0,0,IF((OR((AA71&gt;AB71),(AC71&lt;AD71))),0,IF((AND((AC71&gt;=AD71),(AC71&lt;=AB71))),N71*((AC71-AD71)*12),IF((AND((AD71&lt;=AA71),(AB71&gt;=AA71))),((AB71-AA71)*12)*N71,IF(AC71&gt;AB71,12*N71,0)))))</f>
        <v>7669.3</v>
      </c>
      <c r="P71" s="266">
        <f>IF(L71=0,0,IF((AND((AE71&gt;=AD71),(AE71&lt;=AC71))),((AE71-AD71)*12)*N71,0))</f>
        <v>0</v>
      </c>
      <c r="Q71" s="266">
        <f>IF(P71&gt;0,P71,O71)</f>
        <v>7669.3</v>
      </c>
      <c r="R71" s="267">
        <v>1</v>
      </c>
      <c r="S71" s="266">
        <f>R71*SUM(O71:P71)</f>
        <v>7669.3</v>
      </c>
      <c r="T71" s="267"/>
      <c r="U71" s="266">
        <f>IF(AA71&gt;AB71,0,IF(AC71&lt;AD71,M71,IF((AND((AC71&gt;=AD71),(AC71&lt;=AB71))),(M71-Q71),IF((AND((AD71&lt;=AA71),(AB71&gt;=AA71))),0,IF(AC71&gt;AB71,((AD71-AA71)*12)*N71,0)))))</f>
        <v>78610.324999999997</v>
      </c>
      <c r="V71" s="266">
        <f>U71*R71</f>
        <v>78610.324999999997</v>
      </c>
      <c r="W71" s="267">
        <v>1</v>
      </c>
      <c r="X71" s="266">
        <f>V71*W71</f>
        <v>78610.324999999997</v>
      </c>
      <c r="Y71" s="266">
        <f>IF(L71&gt;0,0,X71+S71*W71)*W71</f>
        <v>86279.625</v>
      </c>
      <c r="Z71" s="266">
        <f>IF(L71&gt;0,(K71-X71)/2,IF(AA71&gt;=AD71,(((K71*R71)*W71)-Y71)/2,((((K71*R71)*W71)-X71)+(((K71*R71)*W71)-Y71))/2))</f>
        <v>147634.02499999999</v>
      </c>
      <c r="AA71" s="263">
        <f>$C71+(($D71-1)/12)</f>
        <v>2009.5</v>
      </c>
      <c r="AB71" s="263">
        <f>($M$5+1)-($M$2/12)</f>
        <v>2020.75</v>
      </c>
      <c r="AC71" s="263">
        <f>$H71+(($D71-1)/12)</f>
        <v>2039.5</v>
      </c>
      <c r="AD71" s="264">
        <f>$M$4+($M$3/12)</f>
        <v>2019.75</v>
      </c>
      <c r="AE71" s="264">
        <f>$I71+(($J71-1)/12)</f>
        <v>-8.3333333333333329E-2</v>
      </c>
      <c r="AF71" s="264">
        <f>$H71+(($D71-1)/12)</f>
        <v>2039.5</v>
      </c>
      <c r="AG71" s="264">
        <f>$M$4+($M$3/12)</f>
        <v>2019.75</v>
      </c>
      <c r="AH71" s="264">
        <f>$I71+(($J71-1)/12)</f>
        <v>-8.3333333333333329E-2</v>
      </c>
    </row>
    <row r="72" spans="1:34">
      <c r="A72" s="257"/>
      <c r="B72" s="268" t="s">
        <v>362</v>
      </c>
      <c r="C72" s="258"/>
      <c r="D72" s="259"/>
      <c r="E72" s="269"/>
      <c r="F72" s="261"/>
      <c r="G72" s="261"/>
      <c r="H72" s="259"/>
      <c r="I72" s="262"/>
      <c r="J72" s="262"/>
      <c r="K72" s="272">
        <f>SUM(K68:K71)</f>
        <v>583531</v>
      </c>
      <c r="L72" s="262"/>
      <c r="M72" s="272">
        <f t="shared" ref="M72:Z72" si="23">SUM(M68:M71)</f>
        <v>583531</v>
      </c>
      <c r="N72" s="272">
        <f t="shared" si="23"/>
        <v>1667.7833333333333</v>
      </c>
      <c r="O72" s="272">
        <f t="shared" si="23"/>
        <v>18888.666666666668</v>
      </c>
      <c r="P72" s="272">
        <f t="shared" si="23"/>
        <v>0</v>
      </c>
      <c r="Q72" s="272">
        <f t="shared" si="23"/>
        <v>18888.666666666668</v>
      </c>
      <c r="R72" s="272">
        <f t="shared" si="23"/>
        <v>4</v>
      </c>
      <c r="S72" s="272">
        <f t="shared" si="23"/>
        <v>18888.666666666668</v>
      </c>
      <c r="T72" s="272">
        <f t="shared" si="23"/>
        <v>0</v>
      </c>
      <c r="U72" s="272">
        <f t="shared" si="23"/>
        <v>335762.76111111196</v>
      </c>
      <c r="V72" s="272">
        <f t="shared" si="23"/>
        <v>335762.76111111196</v>
      </c>
      <c r="W72" s="272">
        <f t="shared" si="23"/>
        <v>4</v>
      </c>
      <c r="X72" s="272">
        <f t="shared" si="23"/>
        <v>335762.76111111196</v>
      </c>
      <c r="Y72" s="272">
        <f t="shared" si="23"/>
        <v>354651.42777777859</v>
      </c>
      <c r="Z72" s="272">
        <f t="shared" si="23"/>
        <v>238323.90555555472</v>
      </c>
      <c r="AA72" s="262"/>
      <c r="AB72" s="262"/>
      <c r="AC72" s="262"/>
      <c r="AD72" s="271"/>
      <c r="AE72" s="271"/>
      <c r="AF72" s="271"/>
      <c r="AG72" s="271"/>
      <c r="AH72" s="271"/>
    </row>
    <row r="73" spans="1:34">
      <c r="A73" s="257"/>
      <c r="B73" s="268"/>
      <c r="C73" s="258"/>
      <c r="D73" s="259"/>
      <c r="E73" s="269"/>
      <c r="F73" s="261"/>
      <c r="G73" s="261"/>
      <c r="H73" s="259"/>
      <c r="I73" s="262"/>
      <c r="J73" s="262"/>
      <c r="K73" s="272"/>
      <c r="L73" s="262"/>
      <c r="M73" s="262"/>
      <c r="N73" s="262"/>
      <c r="O73" s="262"/>
      <c r="P73" s="262"/>
      <c r="Q73" s="262"/>
      <c r="R73" s="262"/>
      <c r="S73" s="262"/>
      <c r="T73" s="262"/>
      <c r="U73" s="262"/>
      <c r="V73" s="262"/>
      <c r="W73" s="262"/>
      <c r="X73" s="262"/>
      <c r="Y73" s="262"/>
      <c r="Z73" s="262"/>
      <c r="AA73" s="262"/>
      <c r="AB73" s="262"/>
      <c r="AC73" s="262"/>
      <c r="AD73" s="271"/>
      <c r="AE73" s="271"/>
      <c r="AF73" s="271"/>
      <c r="AG73" s="271"/>
      <c r="AH73" s="271"/>
    </row>
    <row r="74" spans="1:34">
      <c r="A74" s="257"/>
      <c r="B74" s="274" t="s">
        <v>363</v>
      </c>
      <c r="C74" s="258"/>
      <c r="D74" s="259"/>
      <c r="E74" s="269"/>
      <c r="F74" s="261"/>
      <c r="G74" s="261"/>
      <c r="H74" s="259"/>
      <c r="I74" s="262"/>
      <c r="J74" s="262"/>
      <c r="K74" s="272"/>
      <c r="L74" s="262"/>
      <c r="M74" s="262"/>
      <c r="N74" s="262"/>
      <c r="O74" s="262"/>
      <c r="P74" s="262"/>
      <c r="Q74" s="262"/>
      <c r="R74" s="262"/>
      <c r="S74" s="262"/>
      <c r="T74" s="262"/>
      <c r="U74" s="262"/>
      <c r="V74" s="262"/>
      <c r="W74" s="262"/>
      <c r="X74" s="262"/>
      <c r="Y74" s="262"/>
      <c r="Z74" s="262"/>
      <c r="AA74" s="262"/>
      <c r="AB74" s="262"/>
      <c r="AC74" s="262"/>
      <c r="AD74" s="271"/>
      <c r="AE74" s="271"/>
      <c r="AF74" s="271"/>
      <c r="AG74" s="271"/>
      <c r="AH74" s="271"/>
    </row>
    <row r="75" spans="1:34">
      <c r="A75" s="257">
        <v>8</v>
      </c>
      <c r="B75" s="257" t="s">
        <v>364</v>
      </c>
      <c r="C75" s="258">
        <v>1996</v>
      </c>
      <c r="D75" s="259">
        <v>2</v>
      </c>
      <c r="E75" s="269"/>
      <c r="F75" s="261" t="s">
        <v>258</v>
      </c>
      <c r="G75" s="261">
        <v>10</v>
      </c>
      <c r="H75" s="259">
        <f t="shared" ref="H75:H137" si="24">+C75+G75</f>
        <v>2006</v>
      </c>
      <c r="I75" s="262"/>
      <c r="J75" s="262"/>
      <c r="K75" s="263">
        <v>8570</v>
      </c>
      <c r="L75" s="262"/>
      <c r="M75" s="263">
        <f t="shared" ref="M75:M137" si="25">K75-K75*E75</f>
        <v>8570</v>
      </c>
      <c r="N75" s="263">
        <f t="shared" ref="N75:N137" si="26">M75/G75/12</f>
        <v>71.416666666666671</v>
      </c>
      <c r="O75" s="263">
        <f t="shared" ref="O75:O137" si="27">IF(L75&gt;0,0,IF((OR((AA75&gt;AB75),(AC75&lt;AD75))),0,IF((AND((AC75&gt;=AD75),(AC75&lt;=AB75))),N75*((AC75-AD75)*12),IF((AND((AD75&lt;=AA75),(AB75&gt;=AA75))),((AB75-AA75)*12)*N75,IF(AC75&gt;AB75,12*N75,0)))))</f>
        <v>0</v>
      </c>
      <c r="P75" s="263">
        <f t="shared" ref="P75:P142" si="28">IF(L75=0,0,IF((AND((AE75&gt;=AD75),(AE75&lt;=AC75))),((AE75-AD75)*12)*N75,0))</f>
        <v>0</v>
      </c>
      <c r="Q75" s="263">
        <f t="shared" ref="Q75:Q142" si="29">IF(P75&gt;0,P75,O75)</f>
        <v>0</v>
      </c>
      <c r="R75" s="262">
        <v>1</v>
      </c>
      <c r="S75" s="263">
        <f t="shared" ref="S75:S142" si="30">R75*SUM(O75:P75)</f>
        <v>0</v>
      </c>
      <c r="T75" s="262"/>
      <c r="U75" s="263">
        <f t="shared" ref="U75:U137" si="31">IF(AA75&gt;AB75,0,IF(AC75&lt;AD75,M75,IF((AND((AC75&gt;=AD75),(AC75&lt;=AB75))),(M75-Q75),IF((AND((AD75&lt;=AA75),(AB75&gt;=AA75))),0,IF(AC75&gt;AB75,((AD75-AA75)*12)*N75,0)))))</f>
        <v>8570</v>
      </c>
      <c r="V75" s="263">
        <f t="shared" ref="V75:V137" si="32">U75*R75</f>
        <v>8570</v>
      </c>
      <c r="W75" s="262">
        <v>1</v>
      </c>
      <c r="X75" s="263">
        <f t="shared" ref="X75:X137" si="33">V75*W75</f>
        <v>8570</v>
      </c>
      <c r="Y75" s="263">
        <f t="shared" ref="Y75:Y137" si="34">IF(L75&gt;0,0,X75+S75*W75)*W75</f>
        <v>8570</v>
      </c>
      <c r="Z75" s="263">
        <f t="shared" ref="Z75:Z135" si="35">IF(L75&gt;0,(K75-X75)/2,IF(AA75&gt;=AD75,(((K75*R75)*W75)-Y75)/2,((((K75*R75)*W75)-X75)+(((K75*R75)*W75)-Y75))/2))</f>
        <v>0</v>
      </c>
      <c r="AA75" s="263">
        <f t="shared" ref="AA75:AA139" si="36">$C75+(($D75-1)/12)</f>
        <v>1996.0833333333333</v>
      </c>
      <c r="AB75" s="263">
        <f t="shared" ref="AB75:AB139" si="37">($M$5+1)-($M$2/12)</f>
        <v>2020.75</v>
      </c>
      <c r="AC75" s="263">
        <f t="shared" ref="AC75:AC139" si="38">$H75+(($D75-1)/12)</f>
        <v>2006.0833333333333</v>
      </c>
      <c r="AD75" s="264">
        <f t="shared" ref="AD75:AD139" si="39">$M$4+($M$3/12)</f>
        <v>2019.75</v>
      </c>
      <c r="AE75" s="264">
        <f t="shared" ref="AE75:AE139" si="40">$I75+(($J75-1)/12)</f>
        <v>-8.3333333333333329E-2</v>
      </c>
      <c r="AF75" s="264">
        <f t="shared" ref="AF75:AF139" si="41">$H75+(($D75-1)/12)</f>
        <v>2006.0833333333333</v>
      </c>
      <c r="AG75" s="264">
        <f t="shared" ref="AG75:AG139" si="42">$M$4+($M$3/12)</f>
        <v>2019.75</v>
      </c>
      <c r="AH75" s="264">
        <f t="shared" ref="AH75:AH139" si="43">$I75+(($J75-1)/12)</f>
        <v>-8.3333333333333329E-2</v>
      </c>
    </row>
    <row r="76" spans="1:34">
      <c r="A76" s="257">
        <v>23</v>
      </c>
      <c r="B76" s="257" t="s">
        <v>365</v>
      </c>
      <c r="C76" s="258">
        <v>1987</v>
      </c>
      <c r="D76" s="259">
        <v>9</v>
      </c>
      <c r="E76" s="269"/>
      <c r="F76" s="261" t="s">
        <v>258</v>
      </c>
      <c r="G76" s="261">
        <v>10</v>
      </c>
      <c r="H76" s="259">
        <f t="shared" si="24"/>
        <v>1997</v>
      </c>
      <c r="I76" s="262"/>
      <c r="J76" s="262"/>
      <c r="K76" s="263">
        <v>1220</v>
      </c>
      <c r="L76" s="262"/>
      <c r="M76" s="263">
        <f t="shared" si="25"/>
        <v>1220</v>
      </c>
      <c r="N76" s="263">
        <f t="shared" si="26"/>
        <v>10.166666666666666</v>
      </c>
      <c r="O76" s="263">
        <f t="shared" si="27"/>
        <v>0</v>
      </c>
      <c r="P76" s="263">
        <f t="shared" si="28"/>
        <v>0</v>
      </c>
      <c r="Q76" s="263">
        <f t="shared" si="29"/>
        <v>0</v>
      </c>
      <c r="R76" s="262">
        <v>1</v>
      </c>
      <c r="S76" s="263">
        <f t="shared" si="30"/>
        <v>0</v>
      </c>
      <c r="T76" s="262"/>
      <c r="U76" s="263">
        <f t="shared" si="31"/>
        <v>1220</v>
      </c>
      <c r="V76" s="263">
        <f t="shared" si="32"/>
        <v>1220</v>
      </c>
      <c r="W76" s="262">
        <v>1</v>
      </c>
      <c r="X76" s="263">
        <f t="shared" si="33"/>
        <v>1220</v>
      </c>
      <c r="Y76" s="263">
        <f t="shared" si="34"/>
        <v>1220</v>
      </c>
      <c r="Z76" s="263">
        <f t="shared" si="35"/>
        <v>0</v>
      </c>
      <c r="AA76" s="263">
        <f t="shared" si="36"/>
        <v>1987.6666666666667</v>
      </c>
      <c r="AB76" s="263">
        <f t="shared" si="37"/>
        <v>2020.75</v>
      </c>
      <c r="AC76" s="263">
        <f t="shared" si="38"/>
        <v>1997.6666666666667</v>
      </c>
      <c r="AD76" s="264">
        <f t="shared" si="39"/>
        <v>2019.75</v>
      </c>
      <c r="AE76" s="264">
        <f t="shared" si="40"/>
        <v>-8.3333333333333329E-2</v>
      </c>
      <c r="AF76" s="264">
        <f t="shared" si="41"/>
        <v>1997.6666666666667</v>
      </c>
      <c r="AG76" s="264">
        <f t="shared" si="42"/>
        <v>2019.75</v>
      </c>
      <c r="AH76" s="264">
        <f t="shared" si="43"/>
        <v>-8.3333333333333329E-2</v>
      </c>
    </row>
    <row r="77" spans="1:34">
      <c r="A77" s="257">
        <v>24</v>
      </c>
      <c r="B77" s="257" t="s">
        <v>366</v>
      </c>
      <c r="C77" s="258">
        <v>1990</v>
      </c>
      <c r="D77" s="259">
        <v>9</v>
      </c>
      <c r="E77" s="269"/>
      <c r="F77" s="261" t="s">
        <v>258</v>
      </c>
      <c r="G77" s="261">
        <v>10</v>
      </c>
      <c r="H77" s="259">
        <f t="shared" si="24"/>
        <v>2000</v>
      </c>
      <c r="I77" s="262"/>
      <c r="J77" s="262"/>
      <c r="K77" s="263">
        <v>6451</v>
      </c>
      <c r="L77" s="262"/>
      <c r="M77" s="263">
        <f t="shared" si="25"/>
        <v>6451</v>
      </c>
      <c r="N77" s="263">
        <f t="shared" si="26"/>
        <v>53.758333333333333</v>
      </c>
      <c r="O77" s="263">
        <f t="shared" si="27"/>
        <v>0</v>
      </c>
      <c r="P77" s="263">
        <f t="shared" si="28"/>
        <v>0</v>
      </c>
      <c r="Q77" s="263">
        <f t="shared" si="29"/>
        <v>0</v>
      </c>
      <c r="R77" s="262">
        <v>1</v>
      </c>
      <c r="S77" s="263">
        <f t="shared" si="30"/>
        <v>0</v>
      </c>
      <c r="T77" s="262"/>
      <c r="U77" s="263">
        <f t="shared" si="31"/>
        <v>6451</v>
      </c>
      <c r="V77" s="263">
        <f t="shared" si="32"/>
        <v>6451</v>
      </c>
      <c r="W77" s="262">
        <v>1</v>
      </c>
      <c r="X77" s="263">
        <f t="shared" si="33"/>
        <v>6451</v>
      </c>
      <c r="Y77" s="263">
        <f t="shared" si="34"/>
        <v>6451</v>
      </c>
      <c r="Z77" s="263">
        <f t="shared" si="35"/>
        <v>0</v>
      </c>
      <c r="AA77" s="263">
        <f t="shared" si="36"/>
        <v>1990.6666666666667</v>
      </c>
      <c r="AB77" s="263">
        <f t="shared" si="37"/>
        <v>2020.75</v>
      </c>
      <c r="AC77" s="263">
        <f t="shared" si="38"/>
        <v>2000.6666666666667</v>
      </c>
      <c r="AD77" s="264">
        <f t="shared" si="39"/>
        <v>2019.75</v>
      </c>
      <c r="AE77" s="264">
        <f t="shared" si="40"/>
        <v>-8.3333333333333329E-2</v>
      </c>
      <c r="AF77" s="264">
        <f t="shared" si="41"/>
        <v>2000.6666666666667</v>
      </c>
      <c r="AG77" s="264">
        <f t="shared" si="42"/>
        <v>2019.75</v>
      </c>
      <c r="AH77" s="264">
        <f t="shared" si="43"/>
        <v>-8.3333333333333329E-2</v>
      </c>
    </row>
    <row r="78" spans="1:34">
      <c r="A78" s="257">
        <v>25</v>
      </c>
      <c r="B78" s="257" t="s">
        <v>367</v>
      </c>
      <c r="C78" s="258">
        <v>1994</v>
      </c>
      <c r="D78" s="259">
        <v>2</v>
      </c>
      <c r="E78" s="269"/>
      <c r="F78" s="261" t="s">
        <v>258</v>
      </c>
      <c r="G78" s="261">
        <v>10</v>
      </c>
      <c r="H78" s="259">
        <f t="shared" si="24"/>
        <v>2004</v>
      </c>
      <c r="I78" s="262"/>
      <c r="J78" s="262"/>
      <c r="K78" s="263">
        <v>8786</v>
      </c>
      <c r="L78" s="262"/>
      <c r="M78" s="263">
        <f t="shared" si="25"/>
        <v>8786</v>
      </c>
      <c r="N78" s="263">
        <f t="shared" si="26"/>
        <v>73.216666666666669</v>
      </c>
      <c r="O78" s="263">
        <f t="shared" si="27"/>
        <v>0</v>
      </c>
      <c r="P78" s="263">
        <f t="shared" si="28"/>
        <v>0</v>
      </c>
      <c r="Q78" s="263">
        <f t="shared" si="29"/>
        <v>0</v>
      </c>
      <c r="R78" s="262">
        <v>1</v>
      </c>
      <c r="S78" s="263">
        <f t="shared" si="30"/>
        <v>0</v>
      </c>
      <c r="T78" s="262"/>
      <c r="U78" s="263">
        <f t="shared" si="31"/>
        <v>8786</v>
      </c>
      <c r="V78" s="263">
        <f t="shared" si="32"/>
        <v>8786</v>
      </c>
      <c r="W78" s="262">
        <v>1</v>
      </c>
      <c r="X78" s="263">
        <f t="shared" si="33"/>
        <v>8786</v>
      </c>
      <c r="Y78" s="263">
        <f t="shared" si="34"/>
        <v>8786</v>
      </c>
      <c r="Z78" s="263">
        <f t="shared" si="35"/>
        <v>0</v>
      </c>
      <c r="AA78" s="263">
        <f t="shared" si="36"/>
        <v>1994.0833333333333</v>
      </c>
      <c r="AB78" s="263">
        <f t="shared" si="37"/>
        <v>2020.75</v>
      </c>
      <c r="AC78" s="263">
        <f t="shared" si="38"/>
        <v>2004.0833333333333</v>
      </c>
      <c r="AD78" s="264">
        <f t="shared" si="39"/>
        <v>2019.75</v>
      </c>
      <c r="AE78" s="264">
        <f t="shared" si="40"/>
        <v>-8.3333333333333329E-2</v>
      </c>
      <c r="AF78" s="264">
        <f t="shared" si="41"/>
        <v>2004.0833333333333</v>
      </c>
      <c r="AG78" s="264">
        <f t="shared" si="42"/>
        <v>2019.75</v>
      </c>
      <c r="AH78" s="264">
        <f t="shared" si="43"/>
        <v>-8.3333333333333329E-2</v>
      </c>
    </row>
    <row r="79" spans="1:34">
      <c r="A79" s="257">
        <v>26</v>
      </c>
      <c r="B79" s="257" t="s">
        <v>368</v>
      </c>
      <c r="C79" s="258">
        <v>1994</v>
      </c>
      <c r="D79" s="259">
        <v>7</v>
      </c>
      <c r="E79" s="269"/>
      <c r="F79" s="261" t="s">
        <v>258</v>
      </c>
      <c r="G79" s="261">
        <v>10</v>
      </c>
      <c r="H79" s="259">
        <f t="shared" si="24"/>
        <v>2004</v>
      </c>
      <c r="I79" s="262"/>
      <c r="J79" s="262"/>
      <c r="K79" s="263">
        <v>9315</v>
      </c>
      <c r="L79" s="262"/>
      <c r="M79" s="263">
        <f t="shared" si="25"/>
        <v>9315</v>
      </c>
      <c r="N79" s="263">
        <f t="shared" si="26"/>
        <v>77.625</v>
      </c>
      <c r="O79" s="263">
        <f t="shared" si="27"/>
        <v>0</v>
      </c>
      <c r="P79" s="263">
        <f t="shared" si="28"/>
        <v>0</v>
      </c>
      <c r="Q79" s="263">
        <f t="shared" si="29"/>
        <v>0</v>
      </c>
      <c r="R79" s="262">
        <v>1</v>
      </c>
      <c r="S79" s="263">
        <f t="shared" si="30"/>
        <v>0</v>
      </c>
      <c r="T79" s="262"/>
      <c r="U79" s="263">
        <f t="shared" si="31"/>
        <v>9315</v>
      </c>
      <c r="V79" s="263">
        <f t="shared" si="32"/>
        <v>9315</v>
      </c>
      <c r="W79" s="262">
        <v>1</v>
      </c>
      <c r="X79" s="263">
        <f t="shared" si="33"/>
        <v>9315</v>
      </c>
      <c r="Y79" s="263">
        <f t="shared" si="34"/>
        <v>9315</v>
      </c>
      <c r="Z79" s="263">
        <f t="shared" si="35"/>
        <v>0</v>
      </c>
      <c r="AA79" s="263">
        <f t="shared" si="36"/>
        <v>1994.5</v>
      </c>
      <c r="AB79" s="263">
        <f t="shared" si="37"/>
        <v>2020.75</v>
      </c>
      <c r="AC79" s="263">
        <f t="shared" si="38"/>
        <v>2004.5</v>
      </c>
      <c r="AD79" s="264">
        <f t="shared" si="39"/>
        <v>2019.75</v>
      </c>
      <c r="AE79" s="264">
        <f t="shared" si="40"/>
        <v>-8.3333333333333329E-2</v>
      </c>
      <c r="AF79" s="264">
        <f t="shared" si="41"/>
        <v>2004.5</v>
      </c>
      <c r="AG79" s="264">
        <f t="shared" si="42"/>
        <v>2019.75</v>
      </c>
      <c r="AH79" s="264">
        <f t="shared" si="43"/>
        <v>-8.3333333333333329E-2</v>
      </c>
    </row>
    <row r="80" spans="1:34">
      <c r="A80" s="257">
        <v>28</v>
      </c>
      <c r="B80" s="257" t="s">
        <v>369</v>
      </c>
      <c r="C80" s="258">
        <v>1996</v>
      </c>
      <c r="D80" s="259">
        <v>1</v>
      </c>
      <c r="E80" s="269"/>
      <c r="F80" s="261" t="s">
        <v>258</v>
      </c>
      <c r="G80" s="261">
        <v>10</v>
      </c>
      <c r="H80" s="259">
        <f t="shared" si="24"/>
        <v>2006</v>
      </c>
      <c r="I80" s="262"/>
      <c r="J80" s="262"/>
      <c r="K80" s="263">
        <v>10884</v>
      </c>
      <c r="L80" s="262"/>
      <c r="M80" s="263">
        <f t="shared" si="25"/>
        <v>10884</v>
      </c>
      <c r="N80" s="263">
        <f t="shared" si="26"/>
        <v>90.7</v>
      </c>
      <c r="O80" s="263">
        <f t="shared" si="27"/>
        <v>0</v>
      </c>
      <c r="P80" s="263">
        <f t="shared" si="28"/>
        <v>0</v>
      </c>
      <c r="Q80" s="263">
        <f t="shared" si="29"/>
        <v>0</v>
      </c>
      <c r="R80" s="262">
        <v>1</v>
      </c>
      <c r="S80" s="263">
        <f t="shared" si="30"/>
        <v>0</v>
      </c>
      <c r="T80" s="262"/>
      <c r="U80" s="263">
        <f t="shared" si="31"/>
        <v>10884</v>
      </c>
      <c r="V80" s="263">
        <f t="shared" si="32"/>
        <v>10884</v>
      </c>
      <c r="W80" s="262">
        <v>1</v>
      </c>
      <c r="X80" s="263">
        <f t="shared" si="33"/>
        <v>10884</v>
      </c>
      <c r="Y80" s="263">
        <f t="shared" si="34"/>
        <v>10884</v>
      </c>
      <c r="Z80" s="263">
        <f t="shared" si="35"/>
        <v>0</v>
      </c>
      <c r="AA80" s="263">
        <f t="shared" si="36"/>
        <v>1996</v>
      </c>
      <c r="AB80" s="263">
        <f t="shared" si="37"/>
        <v>2020.75</v>
      </c>
      <c r="AC80" s="263">
        <f t="shared" si="38"/>
        <v>2006</v>
      </c>
      <c r="AD80" s="264">
        <f t="shared" si="39"/>
        <v>2019.75</v>
      </c>
      <c r="AE80" s="264">
        <f t="shared" si="40"/>
        <v>-8.3333333333333329E-2</v>
      </c>
      <c r="AF80" s="264">
        <f t="shared" si="41"/>
        <v>2006</v>
      </c>
      <c r="AG80" s="264">
        <f t="shared" si="42"/>
        <v>2019.75</v>
      </c>
      <c r="AH80" s="264">
        <f t="shared" si="43"/>
        <v>-8.3333333333333329E-2</v>
      </c>
    </row>
    <row r="81" spans="1:34">
      <c r="A81" s="257">
        <v>29</v>
      </c>
      <c r="B81" s="257" t="s">
        <v>370</v>
      </c>
      <c r="C81" s="258">
        <v>1996</v>
      </c>
      <c r="D81" s="259">
        <v>2</v>
      </c>
      <c r="E81" s="269"/>
      <c r="F81" s="261" t="s">
        <v>258</v>
      </c>
      <c r="G81" s="261">
        <v>10</v>
      </c>
      <c r="H81" s="259">
        <f t="shared" si="24"/>
        <v>2006</v>
      </c>
      <c r="I81" s="262"/>
      <c r="J81" s="262"/>
      <c r="K81" s="263">
        <v>1478</v>
      </c>
      <c r="L81" s="262"/>
      <c r="M81" s="263">
        <f t="shared" si="25"/>
        <v>1478</v>
      </c>
      <c r="N81" s="263">
        <f t="shared" si="26"/>
        <v>12.316666666666668</v>
      </c>
      <c r="O81" s="263">
        <f t="shared" si="27"/>
        <v>0</v>
      </c>
      <c r="P81" s="263">
        <f t="shared" si="28"/>
        <v>0</v>
      </c>
      <c r="Q81" s="263">
        <f t="shared" si="29"/>
        <v>0</v>
      </c>
      <c r="R81" s="262">
        <v>1</v>
      </c>
      <c r="S81" s="263">
        <f t="shared" si="30"/>
        <v>0</v>
      </c>
      <c r="T81" s="262"/>
      <c r="U81" s="263">
        <f t="shared" si="31"/>
        <v>1478</v>
      </c>
      <c r="V81" s="263">
        <f t="shared" si="32"/>
        <v>1478</v>
      </c>
      <c r="W81" s="262">
        <v>1</v>
      </c>
      <c r="X81" s="263">
        <f t="shared" si="33"/>
        <v>1478</v>
      </c>
      <c r="Y81" s="263">
        <f t="shared" si="34"/>
        <v>1478</v>
      </c>
      <c r="Z81" s="263">
        <f t="shared" si="35"/>
        <v>0</v>
      </c>
      <c r="AA81" s="263">
        <f t="shared" si="36"/>
        <v>1996.0833333333333</v>
      </c>
      <c r="AB81" s="263">
        <f t="shared" si="37"/>
        <v>2020.75</v>
      </c>
      <c r="AC81" s="263">
        <f t="shared" si="38"/>
        <v>2006.0833333333333</v>
      </c>
      <c r="AD81" s="264">
        <f t="shared" si="39"/>
        <v>2019.75</v>
      </c>
      <c r="AE81" s="264">
        <f t="shared" si="40"/>
        <v>-8.3333333333333329E-2</v>
      </c>
      <c r="AF81" s="264">
        <f t="shared" si="41"/>
        <v>2006.0833333333333</v>
      </c>
      <c r="AG81" s="264">
        <f t="shared" si="42"/>
        <v>2019.75</v>
      </c>
      <c r="AH81" s="264">
        <f t="shared" si="43"/>
        <v>-8.3333333333333329E-2</v>
      </c>
    </row>
    <row r="82" spans="1:34">
      <c r="A82" s="257">
        <v>34</v>
      </c>
      <c r="B82" s="257" t="s">
        <v>371</v>
      </c>
      <c r="C82" s="258">
        <v>1994</v>
      </c>
      <c r="D82" s="259">
        <v>5</v>
      </c>
      <c r="E82" s="269"/>
      <c r="F82" s="261" t="s">
        <v>258</v>
      </c>
      <c r="G82" s="261">
        <v>10</v>
      </c>
      <c r="H82" s="259">
        <f t="shared" si="24"/>
        <v>2004</v>
      </c>
      <c r="I82" s="262"/>
      <c r="J82" s="262"/>
      <c r="K82" s="263">
        <v>7357</v>
      </c>
      <c r="L82" s="262"/>
      <c r="M82" s="263">
        <f t="shared" si="25"/>
        <v>7357</v>
      </c>
      <c r="N82" s="263">
        <f t="shared" si="26"/>
        <v>61.308333333333337</v>
      </c>
      <c r="O82" s="263">
        <f t="shared" si="27"/>
        <v>0</v>
      </c>
      <c r="P82" s="263">
        <f t="shared" si="28"/>
        <v>0</v>
      </c>
      <c r="Q82" s="263">
        <f t="shared" si="29"/>
        <v>0</v>
      </c>
      <c r="R82" s="262">
        <v>1</v>
      </c>
      <c r="S82" s="263">
        <f t="shared" si="30"/>
        <v>0</v>
      </c>
      <c r="T82" s="262"/>
      <c r="U82" s="263">
        <f t="shared" si="31"/>
        <v>7357</v>
      </c>
      <c r="V82" s="263">
        <f t="shared" si="32"/>
        <v>7357</v>
      </c>
      <c r="W82" s="262">
        <v>1</v>
      </c>
      <c r="X82" s="263">
        <f t="shared" si="33"/>
        <v>7357</v>
      </c>
      <c r="Y82" s="263">
        <f t="shared" si="34"/>
        <v>7357</v>
      </c>
      <c r="Z82" s="263">
        <f t="shared" si="35"/>
        <v>0</v>
      </c>
      <c r="AA82" s="263">
        <f t="shared" si="36"/>
        <v>1994.3333333333333</v>
      </c>
      <c r="AB82" s="263">
        <f t="shared" si="37"/>
        <v>2020.75</v>
      </c>
      <c r="AC82" s="263">
        <f t="shared" si="38"/>
        <v>2004.3333333333333</v>
      </c>
      <c r="AD82" s="264">
        <f t="shared" si="39"/>
        <v>2019.75</v>
      </c>
      <c r="AE82" s="264">
        <f t="shared" si="40"/>
        <v>-8.3333333333333329E-2</v>
      </c>
      <c r="AF82" s="264">
        <f t="shared" si="41"/>
        <v>2004.3333333333333</v>
      </c>
      <c r="AG82" s="264">
        <f t="shared" si="42"/>
        <v>2019.75</v>
      </c>
      <c r="AH82" s="264">
        <f t="shared" si="43"/>
        <v>-8.3333333333333329E-2</v>
      </c>
    </row>
    <row r="83" spans="1:34">
      <c r="A83" s="257">
        <v>35</v>
      </c>
      <c r="B83" s="257" t="s">
        <v>372</v>
      </c>
      <c r="C83" s="258">
        <v>1994</v>
      </c>
      <c r="D83" s="259">
        <v>5</v>
      </c>
      <c r="E83" s="269"/>
      <c r="F83" s="261" t="s">
        <v>258</v>
      </c>
      <c r="G83" s="261">
        <v>10</v>
      </c>
      <c r="H83" s="259">
        <f t="shared" si="24"/>
        <v>2004</v>
      </c>
      <c r="I83" s="262"/>
      <c r="J83" s="262"/>
      <c r="K83" s="263">
        <v>1790</v>
      </c>
      <c r="L83" s="262"/>
      <c r="M83" s="263">
        <f t="shared" si="25"/>
        <v>1790</v>
      </c>
      <c r="N83" s="263">
        <f t="shared" si="26"/>
        <v>14.916666666666666</v>
      </c>
      <c r="O83" s="263">
        <f t="shared" si="27"/>
        <v>0</v>
      </c>
      <c r="P83" s="263">
        <f t="shared" si="28"/>
        <v>0</v>
      </c>
      <c r="Q83" s="263">
        <f t="shared" si="29"/>
        <v>0</v>
      </c>
      <c r="R83" s="262">
        <v>1</v>
      </c>
      <c r="S83" s="263">
        <f t="shared" si="30"/>
        <v>0</v>
      </c>
      <c r="T83" s="262"/>
      <c r="U83" s="263">
        <f t="shared" si="31"/>
        <v>1790</v>
      </c>
      <c r="V83" s="263">
        <f t="shared" si="32"/>
        <v>1790</v>
      </c>
      <c r="W83" s="262">
        <v>1</v>
      </c>
      <c r="X83" s="263">
        <f t="shared" si="33"/>
        <v>1790</v>
      </c>
      <c r="Y83" s="263">
        <f t="shared" si="34"/>
        <v>1790</v>
      </c>
      <c r="Z83" s="263">
        <f t="shared" si="35"/>
        <v>0</v>
      </c>
      <c r="AA83" s="263">
        <f t="shared" si="36"/>
        <v>1994.3333333333333</v>
      </c>
      <c r="AB83" s="263">
        <f t="shared" si="37"/>
        <v>2020.75</v>
      </c>
      <c r="AC83" s="263">
        <f t="shared" si="38"/>
        <v>2004.3333333333333</v>
      </c>
      <c r="AD83" s="264">
        <f t="shared" si="39"/>
        <v>2019.75</v>
      </c>
      <c r="AE83" s="264">
        <f t="shared" si="40"/>
        <v>-8.3333333333333329E-2</v>
      </c>
      <c r="AF83" s="264">
        <f t="shared" si="41"/>
        <v>2004.3333333333333</v>
      </c>
      <c r="AG83" s="264">
        <f t="shared" si="42"/>
        <v>2019.75</v>
      </c>
      <c r="AH83" s="264">
        <f t="shared" si="43"/>
        <v>-8.3333333333333329E-2</v>
      </c>
    </row>
    <row r="84" spans="1:34">
      <c r="A84" s="257">
        <v>36</v>
      </c>
      <c r="B84" s="257" t="s">
        <v>373</v>
      </c>
      <c r="C84" s="258">
        <v>1994</v>
      </c>
      <c r="D84" s="259">
        <v>5</v>
      </c>
      <c r="E84" s="269"/>
      <c r="F84" s="261" t="s">
        <v>258</v>
      </c>
      <c r="G84" s="261">
        <v>10</v>
      </c>
      <c r="H84" s="259">
        <f t="shared" si="24"/>
        <v>2004</v>
      </c>
      <c r="I84" s="262"/>
      <c r="J84" s="262"/>
      <c r="K84" s="263">
        <v>3622</v>
      </c>
      <c r="L84" s="262"/>
      <c r="M84" s="263">
        <f t="shared" si="25"/>
        <v>3622</v>
      </c>
      <c r="N84" s="263">
        <f t="shared" si="26"/>
        <v>30.183333333333334</v>
      </c>
      <c r="O84" s="263">
        <f t="shared" si="27"/>
        <v>0</v>
      </c>
      <c r="P84" s="263">
        <f t="shared" si="28"/>
        <v>0</v>
      </c>
      <c r="Q84" s="263">
        <f t="shared" si="29"/>
        <v>0</v>
      </c>
      <c r="R84" s="262">
        <v>1</v>
      </c>
      <c r="S84" s="263">
        <f t="shared" si="30"/>
        <v>0</v>
      </c>
      <c r="T84" s="262"/>
      <c r="U84" s="263">
        <f t="shared" si="31"/>
        <v>3622</v>
      </c>
      <c r="V84" s="263">
        <f t="shared" si="32"/>
        <v>3622</v>
      </c>
      <c r="W84" s="262">
        <v>1</v>
      </c>
      <c r="X84" s="263">
        <f t="shared" si="33"/>
        <v>3622</v>
      </c>
      <c r="Y84" s="263">
        <f t="shared" si="34"/>
        <v>3622</v>
      </c>
      <c r="Z84" s="263">
        <f t="shared" si="35"/>
        <v>0</v>
      </c>
      <c r="AA84" s="263">
        <f t="shared" si="36"/>
        <v>1994.3333333333333</v>
      </c>
      <c r="AB84" s="263">
        <f t="shared" si="37"/>
        <v>2020.75</v>
      </c>
      <c r="AC84" s="263">
        <f t="shared" si="38"/>
        <v>2004.3333333333333</v>
      </c>
      <c r="AD84" s="264">
        <f t="shared" si="39"/>
        <v>2019.75</v>
      </c>
      <c r="AE84" s="264">
        <f t="shared" si="40"/>
        <v>-8.3333333333333329E-2</v>
      </c>
      <c r="AF84" s="264">
        <f t="shared" si="41"/>
        <v>2004.3333333333333</v>
      </c>
      <c r="AG84" s="264">
        <f t="shared" si="42"/>
        <v>2019.75</v>
      </c>
      <c r="AH84" s="264">
        <f t="shared" si="43"/>
        <v>-8.3333333333333329E-2</v>
      </c>
    </row>
    <row r="85" spans="1:34">
      <c r="A85" s="257">
        <v>40</v>
      </c>
      <c r="B85" s="257" t="s">
        <v>374</v>
      </c>
      <c r="C85" s="258">
        <v>1993</v>
      </c>
      <c r="D85" s="259">
        <v>8</v>
      </c>
      <c r="E85" s="269"/>
      <c r="F85" s="261" t="s">
        <v>258</v>
      </c>
      <c r="G85" s="261">
        <v>10</v>
      </c>
      <c r="H85" s="259">
        <f t="shared" si="24"/>
        <v>2003</v>
      </c>
      <c r="I85" s="262"/>
      <c r="J85" s="262"/>
      <c r="K85" s="257">
        <v>784</v>
      </c>
      <c r="L85" s="262"/>
      <c r="M85" s="263">
        <f t="shared" si="25"/>
        <v>784</v>
      </c>
      <c r="N85" s="263">
        <f t="shared" si="26"/>
        <v>6.5333333333333341</v>
      </c>
      <c r="O85" s="263">
        <f t="shared" si="27"/>
        <v>0</v>
      </c>
      <c r="P85" s="263">
        <f t="shared" si="28"/>
        <v>0</v>
      </c>
      <c r="Q85" s="263">
        <f t="shared" si="29"/>
        <v>0</v>
      </c>
      <c r="R85" s="262">
        <v>1</v>
      </c>
      <c r="S85" s="263">
        <f t="shared" si="30"/>
        <v>0</v>
      </c>
      <c r="T85" s="262"/>
      <c r="U85" s="263">
        <f t="shared" si="31"/>
        <v>784</v>
      </c>
      <c r="V85" s="263">
        <f t="shared" si="32"/>
        <v>784</v>
      </c>
      <c r="W85" s="262">
        <v>1</v>
      </c>
      <c r="X85" s="263">
        <f t="shared" si="33"/>
        <v>784</v>
      </c>
      <c r="Y85" s="263">
        <f t="shared" si="34"/>
        <v>784</v>
      </c>
      <c r="Z85" s="263">
        <f t="shared" si="35"/>
        <v>0</v>
      </c>
      <c r="AA85" s="263">
        <f t="shared" si="36"/>
        <v>1993.5833333333333</v>
      </c>
      <c r="AB85" s="263">
        <f t="shared" si="37"/>
        <v>2020.75</v>
      </c>
      <c r="AC85" s="263">
        <f t="shared" si="38"/>
        <v>2003.5833333333333</v>
      </c>
      <c r="AD85" s="264">
        <f t="shared" si="39"/>
        <v>2019.75</v>
      </c>
      <c r="AE85" s="264">
        <f t="shared" si="40"/>
        <v>-8.3333333333333329E-2</v>
      </c>
      <c r="AF85" s="264">
        <f t="shared" si="41"/>
        <v>2003.5833333333333</v>
      </c>
      <c r="AG85" s="264">
        <f t="shared" si="42"/>
        <v>2019.75</v>
      </c>
      <c r="AH85" s="264">
        <f t="shared" si="43"/>
        <v>-8.3333333333333329E-2</v>
      </c>
    </row>
    <row r="86" spans="1:34">
      <c r="A86" s="257">
        <v>41</v>
      </c>
      <c r="B86" s="257" t="s">
        <v>375</v>
      </c>
      <c r="C86" s="258">
        <v>1995</v>
      </c>
      <c r="D86" s="259">
        <v>4</v>
      </c>
      <c r="E86" s="269"/>
      <c r="F86" s="261" t="s">
        <v>258</v>
      </c>
      <c r="G86" s="261">
        <v>10</v>
      </c>
      <c r="H86" s="259">
        <f t="shared" si="24"/>
        <v>2005</v>
      </c>
      <c r="I86" s="262"/>
      <c r="J86" s="262"/>
      <c r="K86" s="263">
        <v>10466</v>
      </c>
      <c r="L86" s="262"/>
      <c r="M86" s="263">
        <f t="shared" si="25"/>
        <v>10466</v>
      </c>
      <c r="N86" s="263">
        <f t="shared" si="26"/>
        <v>87.216666666666654</v>
      </c>
      <c r="O86" s="263">
        <f t="shared" si="27"/>
        <v>0</v>
      </c>
      <c r="P86" s="263">
        <f t="shared" si="28"/>
        <v>0</v>
      </c>
      <c r="Q86" s="263">
        <f t="shared" si="29"/>
        <v>0</v>
      </c>
      <c r="R86" s="262">
        <v>1</v>
      </c>
      <c r="S86" s="263">
        <f t="shared" si="30"/>
        <v>0</v>
      </c>
      <c r="T86" s="262"/>
      <c r="U86" s="263">
        <f t="shared" si="31"/>
        <v>10466</v>
      </c>
      <c r="V86" s="263">
        <f t="shared" si="32"/>
        <v>10466</v>
      </c>
      <c r="W86" s="262">
        <v>1</v>
      </c>
      <c r="X86" s="263">
        <f t="shared" si="33"/>
        <v>10466</v>
      </c>
      <c r="Y86" s="263">
        <f t="shared" si="34"/>
        <v>10466</v>
      </c>
      <c r="Z86" s="263">
        <f t="shared" si="35"/>
        <v>0</v>
      </c>
      <c r="AA86" s="263">
        <f t="shared" si="36"/>
        <v>1995.25</v>
      </c>
      <c r="AB86" s="263">
        <f t="shared" si="37"/>
        <v>2020.75</v>
      </c>
      <c r="AC86" s="263">
        <f t="shared" si="38"/>
        <v>2005.25</v>
      </c>
      <c r="AD86" s="264">
        <f t="shared" si="39"/>
        <v>2019.75</v>
      </c>
      <c r="AE86" s="264">
        <f t="shared" si="40"/>
        <v>-8.3333333333333329E-2</v>
      </c>
      <c r="AF86" s="264">
        <f t="shared" si="41"/>
        <v>2005.25</v>
      </c>
      <c r="AG86" s="264">
        <f t="shared" si="42"/>
        <v>2019.75</v>
      </c>
      <c r="AH86" s="264">
        <f t="shared" si="43"/>
        <v>-8.3333333333333329E-2</v>
      </c>
    </row>
    <row r="87" spans="1:34">
      <c r="A87" s="257">
        <v>42</v>
      </c>
      <c r="B87" s="257" t="s">
        <v>376</v>
      </c>
      <c r="C87" s="258">
        <v>1995</v>
      </c>
      <c r="D87" s="259">
        <v>4</v>
      </c>
      <c r="E87" s="269"/>
      <c r="F87" s="261" t="s">
        <v>258</v>
      </c>
      <c r="G87" s="261">
        <v>10</v>
      </c>
      <c r="H87" s="259">
        <f t="shared" si="24"/>
        <v>2005</v>
      </c>
      <c r="I87" s="262"/>
      <c r="J87" s="262"/>
      <c r="K87" s="263">
        <v>3103</v>
      </c>
      <c r="L87" s="262"/>
      <c r="M87" s="263">
        <f t="shared" si="25"/>
        <v>3103</v>
      </c>
      <c r="N87" s="263">
        <f t="shared" si="26"/>
        <v>25.858333333333334</v>
      </c>
      <c r="O87" s="263">
        <f t="shared" si="27"/>
        <v>0</v>
      </c>
      <c r="P87" s="263">
        <f t="shared" si="28"/>
        <v>0</v>
      </c>
      <c r="Q87" s="263">
        <f t="shared" si="29"/>
        <v>0</v>
      </c>
      <c r="R87" s="262">
        <v>1</v>
      </c>
      <c r="S87" s="263">
        <f t="shared" si="30"/>
        <v>0</v>
      </c>
      <c r="T87" s="262"/>
      <c r="U87" s="263">
        <f t="shared" si="31"/>
        <v>3103</v>
      </c>
      <c r="V87" s="263">
        <f t="shared" si="32"/>
        <v>3103</v>
      </c>
      <c r="W87" s="262">
        <v>1</v>
      </c>
      <c r="X87" s="263">
        <f t="shared" si="33"/>
        <v>3103</v>
      </c>
      <c r="Y87" s="263">
        <f t="shared" si="34"/>
        <v>3103</v>
      </c>
      <c r="Z87" s="263">
        <f t="shared" si="35"/>
        <v>0</v>
      </c>
      <c r="AA87" s="263">
        <f t="shared" si="36"/>
        <v>1995.25</v>
      </c>
      <c r="AB87" s="263">
        <f t="shared" si="37"/>
        <v>2020.75</v>
      </c>
      <c r="AC87" s="263">
        <f t="shared" si="38"/>
        <v>2005.25</v>
      </c>
      <c r="AD87" s="264">
        <f t="shared" si="39"/>
        <v>2019.75</v>
      </c>
      <c r="AE87" s="264">
        <f t="shared" si="40"/>
        <v>-8.3333333333333329E-2</v>
      </c>
      <c r="AF87" s="264">
        <f t="shared" si="41"/>
        <v>2005.25</v>
      </c>
      <c r="AG87" s="264">
        <f t="shared" si="42"/>
        <v>2019.75</v>
      </c>
      <c r="AH87" s="264">
        <f t="shared" si="43"/>
        <v>-8.3333333333333329E-2</v>
      </c>
    </row>
    <row r="88" spans="1:34">
      <c r="A88" s="257">
        <v>43</v>
      </c>
      <c r="B88" s="257" t="s">
        <v>377</v>
      </c>
      <c r="C88" s="258">
        <v>1995</v>
      </c>
      <c r="D88" s="259">
        <v>4</v>
      </c>
      <c r="E88" s="269"/>
      <c r="F88" s="261" t="s">
        <v>258</v>
      </c>
      <c r="G88" s="261">
        <v>10</v>
      </c>
      <c r="H88" s="259">
        <f t="shared" si="24"/>
        <v>2005</v>
      </c>
      <c r="I88" s="262"/>
      <c r="J88" s="262"/>
      <c r="K88" s="257">
        <v>193</v>
      </c>
      <c r="L88" s="262"/>
      <c r="M88" s="263">
        <f t="shared" si="25"/>
        <v>193</v>
      </c>
      <c r="N88" s="263">
        <f t="shared" si="26"/>
        <v>1.6083333333333334</v>
      </c>
      <c r="O88" s="263">
        <f t="shared" si="27"/>
        <v>0</v>
      </c>
      <c r="P88" s="263">
        <f t="shared" si="28"/>
        <v>0</v>
      </c>
      <c r="Q88" s="263">
        <f t="shared" si="29"/>
        <v>0</v>
      </c>
      <c r="R88" s="262">
        <v>1</v>
      </c>
      <c r="S88" s="263">
        <f t="shared" si="30"/>
        <v>0</v>
      </c>
      <c r="T88" s="262"/>
      <c r="U88" s="263">
        <f t="shared" si="31"/>
        <v>193</v>
      </c>
      <c r="V88" s="263">
        <f t="shared" si="32"/>
        <v>193</v>
      </c>
      <c r="W88" s="262">
        <v>1</v>
      </c>
      <c r="X88" s="263">
        <f t="shared" si="33"/>
        <v>193</v>
      </c>
      <c r="Y88" s="263">
        <f t="shared" si="34"/>
        <v>193</v>
      </c>
      <c r="Z88" s="263">
        <f t="shared" si="35"/>
        <v>0</v>
      </c>
      <c r="AA88" s="263">
        <f t="shared" si="36"/>
        <v>1995.25</v>
      </c>
      <c r="AB88" s="263">
        <f t="shared" si="37"/>
        <v>2020.75</v>
      </c>
      <c r="AC88" s="263">
        <f t="shared" si="38"/>
        <v>2005.25</v>
      </c>
      <c r="AD88" s="264">
        <f t="shared" si="39"/>
        <v>2019.75</v>
      </c>
      <c r="AE88" s="264">
        <f t="shared" si="40"/>
        <v>-8.3333333333333329E-2</v>
      </c>
      <c r="AF88" s="264">
        <f t="shared" si="41"/>
        <v>2005.25</v>
      </c>
      <c r="AG88" s="264">
        <f t="shared" si="42"/>
        <v>2019.75</v>
      </c>
      <c r="AH88" s="264">
        <f t="shared" si="43"/>
        <v>-8.3333333333333329E-2</v>
      </c>
    </row>
    <row r="89" spans="1:34">
      <c r="A89" s="257">
        <v>44</v>
      </c>
      <c r="B89" s="257" t="s">
        <v>378</v>
      </c>
      <c r="C89" s="258">
        <v>1993</v>
      </c>
      <c r="D89" s="259">
        <v>3</v>
      </c>
      <c r="E89" s="269"/>
      <c r="F89" s="261" t="s">
        <v>258</v>
      </c>
      <c r="G89" s="261">
        <v>10</v>
      </c>
      <c r="H89" s="259">
        <f t="shared" si="24"/>
        <v>2003</v>
      </c>
      <c r="I89" s="262"/>
      <c r="J89" s="262"/>
      <c r="K89" s="263">
        <v>8399</v>
      </c>
      <c r="L89" s="262"/>
      <c r="M89" s="263">
        <f t="shared" si="25"/>
        <v>8399</v>
      </c>
      <c r="N89" s="263">
        <f t="shared" si="26"/>
        <v>69.99166666666666</v>
      </c>
      <c r="O89" s="263">
        <f t="shared" si="27"/>
        <v>0</v>
      </c>
      <c r="P89" s="263">
        <f t="shared" si="28"/>
        <v>0</v>
      </c>
      <c r="Q89" s="263">
        <f t="shared" si="29"/>
        <v>0</v>
      </c>
      <c r="R89" s="262">
        <v>1</v>
      </c>
      <c r="S89" s="263">
        <f t="shared" si="30"/>
        <v>0</v>
      </c>
      <c r="T89" s="262"/>
      <c r="U89" s="263">
        <f t="shared" si="31"/>
        <v>8399</v>
      </c>
      <c r="V89" s="263">
        <f t="shared" si="32"/>
        <v>8399</v>
      </c>
      <c r="W89" s="262">
        <v>1</v>
      </c>
      <c r="X89" s="263">
        <f t="shared" si="33"/>
        <v>8399</v>
      </c>
      <c r="Y89" s="263">
        <f t="shared" si="34"/>
        <v>8399</v>
      </c>
      <c r="Z89" s="263">
        <f t="shared" si="35"/>
        <v>0</v>
      </c>
      <c r="AA89" s="263">
        <f t="shared" si="36"/>
        <v>1993.1666666666667</v>
      </c>
      <c r="AB89" s="263">
        <f t="shared" si="37"/>
        <v>2020.75</v>
      </c>
      <c r="AC89" s="263">
        <f t="shared" si="38"/>
        <v>2003.1666666666667</v>
      </c>
      <c r="AD89" s="264">
        <f t="shared" si="39"/>
        <v>2019.75</v>
      </c>
      <c r="AE89" s="264">
        <f t="shared" si="40"/>
        <v>-8.3333333333333329E-2</v>
      </c>
      <c r="AF89" s="264">
        <f t="shared" si="41"/>
        <v>2003.1666666666667</v>
      </c>
      <c r="AG89" s="264">
        <f t="shared" si="42"/>
        <v>2019.75</v>
      </c>
      <c r="AH89" s="264">
        <f t="shared" si="43"/>
        <v>-8.3333333333333329E-2</v>
      </c>
    </row>
    <row r="90" spans="1:34">
      <c r="A90" s="257">
        <v>57</v>
      </c>
      <c r="B90" s="257" t="s">
        <v>379</v>
      </c>
      <c r="C90" s="258">
        <v>1996</v>
      </c>
      <c r="D90" s="259">
        <v>11</v>
      </c>
      <c r="E90" s="269"/>
      <c r="F90" s="261" t="s">
        <v>258</v>
      </c>
      <c r="G90" s="261">
        <v>10</v>
      </c>
      <c r="H90" s="259">
        <f t="shared" si="24"/>
        <v>2006</v>
      </c>
      <c r="I90" s="262"/>
      <c r="J90" s="262"/>
      <c r="K90" s="263">
        <v>1130</v>
      </c>
      <c r="L90" s="262"/>
      <c r="M90" s="263">
        <f t="shared" si="25"/>
        <v>1130</v>
      </c>
      <c r="N90" s="263">
        <f t="shared" si="26"/>
        <v>9.4166666666666661</v>
      </c>
      <c r="O90" s="263">
        <f t="shared" si="27"/>
        <v>0</v>
      </c>
      <c r="P90" s="263">
        <f t="shared" si="28"/>
        <v>0</v>
      </c>
      <c r="Q90" s="263">
        <f t="shared" si="29"/>
        <v>0</v>
      </c>
      <c r="R90" s="262">
        <v>1</v>
      </c>
      <c r="S90" s="263">
        <f t="shared" si="30"/>
        <v>0</v>
      </c>
      <c r="T90" s="262"/>
      <c r="U90" s="263">
        <f t="shared" si="31"/>
        <v>1130</v>
      </c>
      <c r="V90" s="263">
        <f t="shared" si="32"/>
        <v>1130</v>
      </c>
      <c r="W90" s="262">
        <v>1</v>
      </c>
      <c r="X90" s="263">
        <f t="shared" si="33"/>
        <v>1130</v>
      </c>
      <c r="Y90" s="263">
        <f t="shared" si="34"/>
        <v>1130</v>
      </c>
      <c r="Z90" s="263">
        <f t="shared" si="35"/>
        <v>0</v>
      </c>
      <c r="AA90" s="263">
        <f t="shared" si="36"/>
        <v>1996.8333333333333</v>
      </c>
      <c r="AB90" s="263">
        <f t="shared" si="37"/>
        <v>2020.75</v>
      </c>
      <c r="AC90" s="263">
        <f t="shared" si="38"/>
        <v>2006.8333333333333</v>
      </c>
      <c r="AD90" s="264">
        <f t="shared" si="39"/>
        <v>2019.75</v>
      </c>
      <c r="AE90" s="264">
        <f t="shared" si="40"/>
        <v>-8.3333333333333329E-2</v>
      </c>
      <c r="AF90" s="264">
        <f t="shared" si="41"/>
        <v>2006.8333333333333</v>
      </c>
      <c r="AG90" s="264">
        <f t="shared" si="42"/>
        <v>2019.75</v>
      </c>
      <c r="AH90" s="264">
        <f t="shared" si="43"/>
        <v>-8.3333333333333329E-2</v>
      </c>
    </row>
    <row r="91" spans="1:34">
      <c r="A91" s="257">
        <v>62</v>
      </c>
      <c r="B91" s="257" t="s">
        <v>380</v>
      </c>
      <c r="C91" s="258">
        <v>1997</v>
      </c>
      <c r="D91" s="259">
        <v>1</v>
      </c>
      <c r="E91" s="269"/>
      <c r="F91" s="261" t="s">
        <v>258</v>
      </c>
      <c r="G91" s="261">
        <v>10</v>
      </c>
      <c r="H91" s="259">
        <f t="shared" si="24"/>
        <v>2007</v>
      </c>
      <c r="I91" s="262"/>
      <c r="J91" s="262"/>
      <c r="K91" s="263">
        <v>2538</v>
      </c>
      <c r="L91" s="262"/>
      <c r="M91" s="263">
        <f t="shared" si="25"/>
        <v>2538</v>
      </c>
      <c r="N91" s="263">
        <f t="shared" si="26"/>
        <v>21.150000000000002</v>
      </c>
      <c r="O91" s="263">
        <f t="shared" si="27"/>
        <v>0</v>
      </c>
      <c r="P91" s="263">
        <f t="shared" si="28"/>
        <v>0</v>
      </c>
      <c r="Q91" s="263">
        <f t="shared" si="29"/>
        <v>0</v>
      </c>
      <c r="R91" s="262">
        <v>1</v>
      </c>
      <c r="S91" s="263">
        <f t="shared" si="30"/>
        <v>0</v>
      </c>
      <c r="T91" s="262"/>
      <c r="U91" s="263">
        <f t="shared" si="31"/>
        <v>2538</v>
      </c>
      <c r="V91" s="263">
        <f t="shared" si="32"/>
        <v>2538</v>
      </c>
      <c r="W91" s="262">
        <v>1</v>
      </c>
      <c r="X91" s="263">
        <f t="shared" si="33"/>
        <v>2538</v>
      </c>
      <c r="Y91" s="263">
        <f t="shared" si="34"/>
        <v>2538</v>
      </c>
      <c r="Z91" s="263">
        <f t="shared" si="35"/>
        <v>0</v>
      </c>
      <c r="AA91" s="263">
        <f t="shared" si="36"/>
        <v>1997</v>
      </c>
      <c r="AB91" s="263">
        <f t="shared" si="37"/>
        <v>2020.75</v>
      </c>
      <c r="AC91" s="263">
        <f t="shared" si="38"/>
        <v>2007</v>
      </c>
      <c r="AD91" s="264">
        <f t="shared" si="39"/>
        <v>2019.75</v>
      </c>
      <c r="AE91" s="264">
        <f t="shared" si="40"/>
        <v>-8.3333333333333329E-2</v>
      </c>
      <c r="AF91" s="264">
        <f t="shared" si="41"/>
        <v>2007</v>
      </c>
      <c r="AG91" s="264">
        <f t="shared" si="42"/>
        <v>2019.75</v>
      </c>
      <c r="AH91" s="264">
        <f t="shared" si="43"/>
        <v>-8.3333333333333329E-2</v>
      </c>
    </row>
    <row r="92" spans="1:34">
      <c r="A92" s="257">
        <v>63</v>
      </c>
      <c r="B92" s="257" t="s">
        <v>381</v>
      </c>
      <c r="C92" s="258">
        <v>1997</v>
      </c>
      <c r="D92" s="259">
        <v>2</v>
      </c>
      <c r="E92" s="269"/>
      <c r="F92" s="261" t="s">
        <v>258</v>
      </c>
      <c r="G92" s="261">
        <v>10</v>
      </c>
      <c r="H92" s="259">
        <f t="shared" si="24"/>
        <v>2007</v>
      </c>
      <c r="I92" s="262"/>
      <c r="J92" s="262"/>
      <c r="K92" s="263">
        <v>33457</v>
      </c>
      <c r="L92" s="262"/>
      <c r="M92" s="263">
        <f t="shared" si="25"/>
        <v>33457</v>
      </c>
      <c r="N92" s="263">
        <f t="shared" si="26"/>
        <v>278.80833333333334</v>
      </c>
      <c r="O92" s="263">
        <f t="shared" si="27"/>
        <v>0</v>
      </c>
      <c r="P92" s="263">
        <f t="shared" si="28"/>
        <v>0</v>
      </c>
      <c r="Q92" s="263">
        <f t="shared" si="29"/>
        <v>0</v>
      </c>
      <c r="R92" s="262">
        <v>1</v>
      </c>
      <c r="S92" s="263">
        <f t="shared" si="30"/>
        <v>0</v>
      </c>
      <c r="T92" s="262"/>
      <c r="U92" s="263">
        <f t="shared" si="31"/>
        <v>33457</v>
      </c>
      <c r="V92" s="263">
        <f t="shared" si="32"/>
        <v>33457</v>
      </c>
      <c r="W92" s="262">
        <v>1</v>
      </c>
      <c r="X92" s="263">
        <f t="shared" si="33"/>
        <v>33457</v>
      </c>
      <c r="Y92" s="263">
        <f t="shared" si="34"/>
        <v>33457</v>
      </c>
      <c r="Z92" s="263">
        <f t="shared" si="35"/>
        <v>0</v>
      </c>
      <c r="AA92" s="263">
        <f t="shared" si="36"/>
        <v>1997.0833333333333</v>
      </c>
      <c r="AB92" s="263">
        <f t="shared" si="37"/>
        <v>2020.75</v>
      </c>
      <c r="AC92" s="263">
        <f t="shared" si="38"/>
        <v>2007.0833333333333</v>
      </c>
      <c r="AD92" s="264">
        <f t="shared" si="39"/>
        <v>2019.75</v>
      </c>
      <c r="AE92" s="264">
        <f t="shared" si="40"/>
        <v>-8.3333333333333329E-2</v>
      </c>
      <c r="AF92" s="264">
        <f t="shared" si="41"/>
        <v>2007.0833333333333</v>
      </c>
      <c r="AG92" s="264">
        <f t="shared" si="42"/>
        <v>2019.75</v>
      </c>
      <c r="AH92" s="264">
        <f t="shared" si="43"/>
        <v>-8.3333333333333329E-2</v>
      </c>
    </row>
    <row r="93" spans="1:34">
      <c r="A93" s="257">
        <v>72</v>
      </c>
      <c r="B93" s="257" t="s">
        <v>382</v>
      </c>
      <c r="C93" s="258">
        <v>1999</v>
      </c>
      <c r="D93" s="259">
        <v>5</v>
      </c>
      <c r="E93" s="269"/>
      <c r="F93" s="261" t="s">
        <v>258</v>
      </c>
      <c r="G93" s="261">
        <v>10</v>
      </c>
      <c r="H93" s="259">
        <f t="shared" si="24"/>
        <v>2009</v>
      </c>
      <c r="I93" s="262"/>
      <c r="J93" s="262"/>
      <c r="K93" s="263">
        <v>11326</v>
      </c>
      <c r="L93" s="262"/>
      <c r="M93" s="263">
        <f t="shared" si="25"/>
        <v>11326</v>
      </c>
      <c r="N93" s="263">
        <f t="shared" si="26"/>
        <v>94.383333333333326</v>
      </c>
      <c r="O93" s="263">
        <f t="shared" si="27"/>
        <v>0</v>
      </c>
      <c r="P93" s="263">
        <f t="shared" si="28"/>
        <v>0</v>
      </c>
      <c r="Q93" s="263">
        <f t="shared" si="29"/>
        <v>0</v>
      </c>
      <c r="R93" s="262">
        <v>1</v>
      </c>
      <c r="S93" s="263">
        <f t="shared" si="30"/>
        <v>0</v>
      </c>
      <c r="T93" s="262"/>
      <c r="U93" s="263">
        <f t="shared" si="31"/>
        <v>11326</v>
      </c>
      <c r="V93" s="263">
        <f t="shared" si="32"/>
        <v>11326</v>
      </c>
      <c r="W93" s="262">
        <v>1</v>
      </c>
      <c r="X93" s="263">
        <f t="shared" si="33"/>
        <v>11326</v>
      </c>
      <c r="Y93" s="263">
        <f t="shared" si="34"/>
        <v>11326</v>
      </c>
      <c r="Z93" s="263">
        <f t="shared" si="35"/>
        <v>0</v>
      </c>
      <c r="AA93" s="263">
        <f t="shared" si="36"/>
        <v>1999.3333333333333</v>
      </c>
      <c r="AB93" s="263">
        <f t="shared" si="37"/>
        <v>2020.75</v>
      </c>
      <c r="AC93" s="263">
        <f t="shared" si="38"/>
        <v>2009.3333333333333</v>
      </c>
      <c r="AD93" s="264">
        <f t="shared" si="39"/>
        <v>2019.75</v>
      </c>
      <c r="AE93" s="264">
        <f t="shared" si="40"/>
        <v>-8.3333333333333329E-2</v>
      </c>
      <c r="AF93" s="264">
        <f t="shared" si="41"/>
        <v>2009.3333333333333</v>
      </c>
      <c r="AG93" s="264">
        <f t="shared" si="42"/>
        <v>2019.75</v>
      </c>
      <c r="AH93" s="264">
        <f t="shared" si="43"/>
        <v>-8.3333333333333329E-2</v>
      </c>
    </row>
    <row r="94" spans="1:34">
      <c r="A94" s="257">
        <v>73</v>
      </c>
      <c r="B94" s="257" t="s">
        <v>383</v>
      </c>
      <c r="C94" s="258">
        <v>1999</v>
      </c>
      <c r="D94" s="259">
        <v>7</v>
      </c>
      <c r="E94" s="269"/>
      <c r="F94" s="261" t="s">
        <v>258</v>
      </c>
      <c r="G94" s="261">
        <v>10</v>
      </c>
      <c r="H94" s="259">
        <f t="shared" si="24"/>
        <v>2009</v>
      </c>
      <c r="I94" s="262"/>
      <c r="J94" s="262"/>
      <c r="K94" s="263">
        <v>6200</v>
      </c>
      <c r="L94" s="262"/>
      <c r="M94" s="263">
        <f t="shared" si="25"/>
        <v>6200</v>
      </c>
      <c r="N94" s="263">
        <f t="shared" si="26"/>
        <v>51.666666666666664</v>
      </c>
      <c r="O94" s="263">
        <f t="shared" si="27"/>
        <v>0</v>
      </c>
      <c r="P94" s="263">
        <f t="shared" si="28"/>
        <v>0</v>
      </c>
      <c r="Q94" s="263">
        <f t="shared" si="29"/>
        <v>0</v>
      </c>
      <c r="R94" s="262">
        <v>1</v>
      </c>
      <c r="S94" s="263">
        <f t="shared" si="30"/>
        <v>0</v>
      </c>
      <c r="T94" s="262"/>
      <c r="U94" s="263">
        <f t="shared" si="31"/>
        <v>6200</v>
      </c>
      <c r="V94" s="263">
        <f t="shared" si="32"/>
        <v>6200</v>
      </c>
      <c r="W94" s="262">
        <v>1</v>
      </c>
      <c r="X94" s="263">
        <f t="shared" si="33"/>
        <v>6200</v>
      </c>
      <c r="Y94" s="263">
        <f t="shared" si="34"/>
        <v>6200</v>
      </c>
      <c r="Z94" s="263">
        <f t="shared" si="35"/>
        <v>0</v>
      </c>
      <c r="AA94" s="263">
        <f t="shared" si="36"/>
        <v>1999.5</v>
      </c>
      <c r="AB94" s="263">
        <f t="shared" si="37"/>
        <v>2020.75</v>
      </c>
      <c r="AC94" s="263">
        <f t="shared" si="38"/>
        <v>2009.5</v>
      </c>
      <c r="AD94" s="264">
        <f t="shared" si="39"/>
        <v>2019.75</v>
      </c>
      <c r="AE94" s="264">
        <f t="shared" si="40"/>
        <v>-8.3333333333333329E-2</v>
      </c>
      <c r="AF94" s="264">
        <f t="shared" si="41"/>
        <v>2009.5</v>
      </c>
      <c r="AG94" s="264">
        <f t="shared" si="42"/>
        <v>2019.75</v>
      </c>
      <c r="AH94" s="264">
        <f t="shared" si="43"/>
        <v>-8.3333333333333329E-2</v>
      </c>
    </row>
    <row r="95" spans="1:34">
      <c r="A95" s="257">
        <v>74</v>
      </c>
      <c r="B95" s="257" t="s">
        <v>384</v>
      </c>
      <c r="C95" s="258">
        <v>1999</v>
      </c>
      <c r="D95" s="259">
        <v>9</v>
      </c>
      <c r="E95" s="269"/>
      <c r="F95" s="261" t="s">
        <v>258</v>
      </c>
      <c r="G95" s="261">
        <v>10</v>
      </c>
      <c r="H95" s="259">
        <f t="shared" si="24"/>
        <v>2009</v>
      </c>
      <c r="I95" s="262"/>
      <c r="J95" s="262"/>
      <c r="K95" s="263">
        <v>9458</v>
      </c>
      <c r="L95" s="262"/>
      <c r="M95" s="263">
        <f t="shared" si="25"/>
        <v>9458</v>
      </c>
      <c r="N95" s="263">
        <f t="shared" si="26"/>
        <v>78.816666666666663</v>
      </c>
      <c r="O95" s="263">
        <f t="shared" si="27"/>
        <v>0</v>
      </c>
      <c r="P95" s="263">
        <f t="shared" si="28"/>
        <v>0</v>
      </c>
      <c r="Q95" s="263">
        <f t="shared" si="29"/>
        <v>0</v>
      </c>
      <c r="R95" s="262">
        <v>1</v>
      </c>
      <c r="S95" s="263">
        <f t="shared" si="30"/>
        <v>0</v>
      </c>
      <c r="T95" s="262"/>
      <c r="U95" s="263">
        <f t="shared" si="31"/>
        <v>9458</v>
      </c>
      <c r="V95" s="263">
        <f t="shared" si="32"/>
        <v>9458</v>
      </c>
      <c r="W95" s="262">
        <v>1</v>
      </c>
      <c r="X95" s="263">
        <f t="shared" si="33"/>
        <v>9458</v>
      </c>
      <c r="Y95" s="263">
        <f t="shared" si="34"/>
        <v>9458</v>
      </c>
      <c r="Z95" s="263">
        <f t="shared" si="35"/>
        <v>0</v>
      </c>
      <c r="AA95" s="263">
        <f t="shared" si="36"/>
        <v>1999.6666666666667</v>
      </c>
      <c r="AB95" s="263">
        <f t="shared" si="37"/>
        <v>2020.75</v>
      </c>
      <c r="AC95" s="263">
        <f t="shared" si="38"/>
        <v>2009.6666666666667</v>
      </c>
      <c r="AD95" s="264">
        <f t="shared" si="39"/>
        <v>2019.75</v>
      </c>
      <c r="AE95" s="264">
        <f t="shared" si="40"/>
        <v>-8.3333333333333329E-2</v>
      </c>
      <c r="AF95" s="264">
        <f t="shared" si="41"/>
        <v>2009.6666666666667</v>
      </c>
      <c r="AG95" s="264">
        <f t="shared" si="42"/>
        <v>2019.75</v>
      </c>
      <c r="AH95" s="264">
        <f t="shared" si="43"/>
        <v>-8.3333333333333329E-2</v>
      </c>
    </row>
    <row r="96" spans="1:34">
      <c r="A96" s="257">
        <v>79</v>
      </c>
      <c r="B96" s="257" t="s">
        <v>385</v>
      </c>
      <c r="C96" s="258">
        <v>2000</v>
      </c>
      <c r="D96" s="259">
        <v>8</v>
      </c>
      <c r="E96" s="269"/>
      <c r="F96" s="261" t="s">
        <v>258</v>
      </c>
      <c r="G96" s="261">
        <v>10</v>
      </c>
      <c r="H96" s="259">
        <f t="shared" si="24"/>
        <v>2010</v>
      </c>
      <c r="I96" s="262"/>
      <c r="J96" s="262"/>
      <c r="K96" s="263">
        <v>20502</v>
      </c>
      <c r="L96" s="262"/>
      <c r="M96" s="263">
        <f t="shared" si="25"/>
        <v>20502</v>
      </c>
      <c r="N96" s="263">
        <f t="shared" si="26"/>
        <v>170.85</v>
      </c>
      <c r="O96" s="263">
        <f t="shared" si="27"/>
        <v>0</v>
      </c>
      <c r="P96" s="263">
        <f t="shared" si="28"/>
        <v>0</v>
      </c>
      <c r="Q96" s="263">
        <f t="shared" si="29"/>
        <v>0</v>
      </c>
      <c r="R96" s="262">
        <v>1</v>
      </c>
      <c r="S96" s="263">
        <f t="shared" si="30"/>
        <v>0</v>
      </c>
      <c r="T96" s="262"/>
      <c r="U96" s="263">
        <f t="shared" si="31"/>
        <v>20502</v>
      </c>
      <c r="V96" s="263">
        <f t="shared" si="32"/>
        <v>20502</v>
      </c>
      <c r="W96" s="262">
        <v>1</v>
      </c>
      <c r="X96" s="263">
        <f t="shared" si="33"/>
        <v>20502</v>
      </c>
      <c r="Y96" s="263">
        <f t="shared" si="34"/>
        <v>20502</v>
      </c>
      <c r="Z96" s="263">
        <f t="shared" si="35"/>
        <v>0</v>
      </c>
      <c r="AA96" s="263">
        <f t="shared" si="36"/>
        <v>2000.5833333333333</v>
      </c>
      <c r="AB96" s="263">
        <f t="shared" si="37"/>
        <v>2020.75</v>
      </c>
      <c r="AC96" s="263">
        <f t="shared" si="38"/>
        <v>2010.5833333333333</v>
      </c>
      <c r="AD96" s="264">
        <f t="shared" si="39"/>
        <v>2019.75</v>
      </c>
      <c r="AE96" s="264">
        <f t="shared" si="40"/>
        <v>-8.3333333333333329E-2</v>
      </c>
      <c r="AF96" s="264">
        <f t="shared" si="41"/>
        <v>2010.5833333333333</v>
      </c>
      <c r="AG96" s="264">
        <f t="shared" si="42"/>
        <v>2019.75</v>
      </c>
      <c r="AH96" s="264">
        <f t="shared" si="43"/>
        <v>-8.3333333333333329E-2</v>
      </c>
    </row>
    <row r="97" spans="1:34">
      <c r="A97" s="257">
        <v>80</v>
      </c>
      <c r="B97" s="257" t="s">
        <v>386</v>
      </c>
      <c r="C97" s="258">
        <v>2001</v>
      </c>
      <c r="D97" s="259">
        <v>1</v>
      </c>
      <c r="E97" s="269"/>
      <c r="F97" s="261" t="s">
        <v>258</v>
      </c>
      <c r="G97" s="261">
        <v>10</v>
      </c>
      <c r="H97" s="259">
        <f t="shared" si="24"/>
        <v>2011</v>
      </c>
      <c r="I97" s="262"/>
      <c r="J97" s="262"/>
      <c r="K97" s="263">
        <v>11208</v>
      </c>
      <c r="L97" s="262"/>
      <c r="M97" s="263">
        <f t="shared" si="25"/>
        <v>11208</v>
      </c>
      <c r="N97" s="263">
        <f t="shared" si="26"/>
        <v>93.399999999999991</v>
      </c>
      <c r="O97" s="263">
        <f t="shared" si="27"/>
        <v>0</v>
      </c>
      <c r="P97" s="263">
        <f t="shared" si="28"/>
        <v>0</v>
      </c>
      <c r="Q97" s="263">
        <f t="shared" si="29"/>
        <v>0</v>
      </c>
      <c r="R97" s="262">
        <v>1</v>
      </c>
      <c r="S97" s="263">
        <f t="shared" si="30"/>
        <v>0</v>
      </c>
      <c r="T97" s="262"/>
      <c r="U97" s="263">
        <f t="shared" si="31"/>
        <v>11208</v>
      </c>
      <c r="V97" s="263">
        <f t="shared" si="32"/>
        <v>11208</v>
      </c>
      <c r="W97" s="262">
        <v>1</v>
      </c>
      <c r="X97" s="263">
        <f t="shared" si="33"/>
        <v>11208</v>
      </c>
      <c r="Y97" s="263">
        <f t="shared" si="34"/>
        <v>11208</v>
      </c>
      <c r="Z97" s="263">
        <f t="shared" si="35"/>
        <v>0</v>
      </c>
      <c r="AA97" s="263">
        <f t="shared" si="36"/>
        <v>2001</v>
      </c>
      <c r="AB97" s="263">
        <f t="shared" si="37"/>
        <v>2020.75</v>
      </c>
      <c r="AC97" s="263">
        <f t="shared" si="38"/>
        <v>2011</v>
      </c>
      <c r="AD97" s="264">
        <f t="shared" si="39"/>
        <v>2019.75</v>
      </c>
      <c r="AE97" s="264">
        <f t="shared" si="40"/>
        <v>-8.3333333333333329E-2</v>
      </c>
      <c r="AF97" s="264">
        <f t="shared" si="41"/>
        <v>2011</v>
      </c>
      <c r="AG97" s="264">
        <f t="shared" si="42"/>
        <v>2019.75</v>
      </c>
      <c r="AH97" s="264">
        <f t="shared" si="43"/>
        <v>-8.3333333333333329E-2</v>
      </c>
    </row>
    <row r="98" spans="1:34">
      <c r="A98" s="257">
        <v>81</v>
      </c>
      <c r="B98" s="257" t="s">
        <v>387</v>
      </c>
      <c r="C98" s="258">
        <v>2001</v>
      </c>
      <c r="D98" s="259">
        <v>1</v>
      </c>
      <c r="E98" s="269"/>
      <c r="F98" s="261" t="s">
        <v>258</v>
      </c>
      <c r="G98" s="261">
        <v>10</v>
      </c>
      <c r="H98" s="259">
        <f t="shared" si="24"/>
        <v>2011</v>
      </c>
      <c r="I98" s="262"/>
      <c r="J98" s="262"/>
      <c r="K98" s="263">
        <v>12006</v>
      </c>
      <c r="L98" s="262"/>
      <c r="M98" s="263">
        <f t="shared" si="25"/>
        <v>12006</v>
      </c>
      <c r="N98" s="263">
        <f t="shared" si="26"/>
        <v>100.05</v>
      </c>
      <c r="O98" s="263">
        <f t="shared" si="27"/>
        <v>0</v>
      </c>
      <c r="P98" s="263">
        <f t="shared" si="28"/>
        <v>0</v>
      </c>
      <c r="Q98" s="263">
        <f t="shared" si="29"/>
        <v>0</v>
      </c>
      <c r="R98" s="262">
        <v>1</v>
      </c>
      <c r="S98" s="263">
        <f t="shared" si="30"/>
        <v>0</v>
      </c>
      <c r="T98" s="262"/>
      <c r="U98" s="263">
        <f t="shared" si="31"/>
        <v>12006</v>
      </c>
      <c r="V98" s="263">
        <f t="shared" si="32"/>
        <v>12006</v>
      </c>
      <c r="W98" s="262">
        <v>1</v>
      </c>
      <c r="X98" s="263">
        <f t="shared" si="33"/>
        <v>12006</v>
      </c>
      <c r="Y98" s="263">
        <f t="shared" si="34"/>
        <v>12006</v>
      </c>
      <c r="Z98" s="263">
        <f t="shared" si="35"/>
        <v>0</v>
      </c>
      <c r="AA98" s="263">
        <f t="shared" si="36"/>
        <v>2001</v>
      </c>
      <c r="AB98" s="263">
        <f t="shared" si="37"/>
        <v>2020.75</v>
      </c>
      <c r="AC98" s="263">
        <f t="shared" si="38"/>
        <v>2011</v>
      </c>
      <c r="AD98" s="264">
        <f t="shared" si="39"/>
        <v>2019.75</v>
      </c>
      <c r="AE98" s="264">
        <f t="shared" si="40"/>
        <v>-8.3333333333333329E-2</v>
      </c>
      <c r="AF98" s="264">
        <f t="shared" si="41"/>
        <v>2011</v>
      </c>
      <c r="AG98" s="264">
        <f t="shared" si="42"/>
        <v>2019.75</v>
      </c>
      <c r="AH98" s="264">
        <f t="shared" si="43"/>
        <v>-8.3333333333333329E-2</v>
      </c>
    </row>
    <row r="99" spans="1:34">
      <c r="A99" s="257">
        <v>85</v>
      </c>
      <c r="B99" s="257" t="s">
        <v>384</v>
      </c>
      <c r="C99" s="258">
        <v>2002</v>
      </c>
      <c r="D99" s="259">
        <v>6</v>
      </c>
      <c r="E99" s="269"/>
      <c r="F99" s="261" t="s">
        <v>258</v>
      </c>
      <c r="G99" s="261">
        <v>10</v>
      </c>
      <c r="H99" s="259">
        <f t="shared" si="24"/>
        <v>2012</v>
      </c>
      <c r="I99" s="262"/>
      <c r="J99" s="262"/>
      <c r="K99" s="263">
        <v>12584</v>
      </c>
      <c r="L99" s="262"/>
      <c r="M99" s="263">
        <f t="shared" si="25"/>
        <v>12584</v>
      </c>
      <c r="N99" s="263">
        <f t="shared" si="26"/>
        <v>104.86666666666667</v>
      </c>
      <c r="O99" s="263">
        <f t="shared" si="27"/>
        <v>0</v>
      </c>
      <c r="P99" s="263">
        <f t="shared" si="28"/>
        <v>0</v>
      </c>
      <c r="Q99" s="263">
        <f t="shared" si="29"/>
        <v>0</v>
      </c>
      <c r="R99" s="262">
        <v>1</v>
      </c>
      <c r="S99" s="263">
        <f t="shared" si="30"/>
        <v>0</v>
      </c>
      <c r="T99" s="262"/>
      <c r="U99" s="263">
        <f t="shared" si="31"/>
        <v>12584</v>
      </c>
      <c r="V99" s="263">
        <f t="shared" si="32"/>
        <v>12584</v>
      </c>
      <c r="W99" s="262">
        <v>1</v>
      </c>
      <c r="X99" s="263">
        <f t="shared" si="33"/>
        <v>12584</v>
      </c>
      <c r="Y99" s="263">
        <f t="shared" si="34"/>
        <v>12584</v>
      </c>
      <c r="Z99" s="263">
        <f t="shared" si="35"/>
        <v>0</v>
      </c>
      <c r="AA99" s="263">
        <f t="shared" si="36"/>
        <v>2002.4166666666667</v>
      </c>
      <c r="AB99" s="263">
        <f t="shared" si="37"/>
        <v>2020.75</v>
      </c>
      <c r="AC99" s="263">
        <f t="shared" si="38"/>
        <v>2012.4166666666667</v>
      </c>
      <c r="AD99" s="264">
        <f t="shared" si="39"/>
        <v>2019.75</v>
      </c>
      <c r="AE99" s="264">
        <f t="shared" si="40"/>
        <v>-8.3333333333333329E-2</v>
      </c>
      <c r="AF99" s="264">
        <f t="shared" si="41"/>
        <v>2012.4166666666667</v>
      </c>
      <c r="AG99" s="264">
        <f t="shared" si="42"/>
        <v>2019.75</v>
      </c>
      <c r="AH99" s="264">
        <f t="shared" si="43"/>
        <v>-8.3333333333333329E-2</v>
      </c>
    </row>
    <row r="100" spans="1:34">
      <c r="A100" s="257">
        <v>86</v>
      </c>
      <c r="B100" s="257" t="s">
        <v>388</v>
      </c>
      <c r="C100" s="258">
        <v>2002</v>
      </c>
      <c r="D100" s="259">
        <v>8</v>
      </c>
      <c r="E100" s="269"/>
      <c r="F100" s="261" t="s">
        <v>258</v>
      </c>
      <c r="G100" s="261">
        <v>10</v>
      </c>
      <c r="H100" s="259">
        <f t="shared" si="24"/>
        <v>2012</v>
      </c>
      <c r="I100" s="262"/>
      <c r="J100" s="262"/>
      <c r="K100" s="263">
        <v>10628</v>
      </c>
      <c r="L100" s="262"/>
      <c r="M100" s="263">
        <f t="shared" si="25"/>
        <v>10628</v>
      </c>
      <c r="N100" s="263">
        <f t="shared" si="26"/>
        <v>88.566666666666663</v>
      </c>
      <c r="O100" s="263">
        <f t="shared" si="27"/>
        <v>0</v>
      </c>
      <c r="P100" s="263">
        <f t="shared" si="28"/>
        <v>0</v>
      </c>
      <c r="Q100" s="263">
        <f t="shared" si="29"/>
        <v>0</v>
      </c>
      <c r="R100" s="262">
        <v>1</v>
      </c>
      <c r="S100" s="263">
        <f t="shared" si="30"/>
        <v>0</v>
      </c>
      <c r="T100" s="262"/>
      <c r="U100" s="263">
        <f t="shared" si="31"/>
        <v>10628</v>
      </c>
      <c r="V100" s="263">
        <f t="shared" si="32"/>
        <v>10628</v>
      </c>
      <c r="W100" s="262">
        <v>1</v>
      </c>
      <c r="X100" s="263">
        <f t="shared" si="33"/>
        <v>10628</v>
      </c>
      <c r="Y100" s="263">
        <f t="shared" si="34"/>
        <v>10628</v>
      </c>
      <c r="Z100" s="263">
        <f t="shared" si="35"/>
        <v>0</v>
      </c>
      <c r="AA100" s="263">
        <f t="shared" si="36"/>
        <v>2002.5833333333333</v>
      </c>
      <c r="AB100" s="263">
        <f t="shared" si="37"/>
        <v>2020.75</v>
      </c>
      <c r="AC100" s="263">
        <f t="shared" si="38"/>
        <v>2012.5833333333333</v>
      </c>
      <c r="AD100" s="264">
        <f t="shared" si="39"/>
        <v>2019.75</v>
      </c>
      <c r="AE100" s="264">
        <f t="shared" si="40"/>
        <v>-8.3333333333333329E-2</v>
      </c>
      <c r="AF100" s="264">
        <f t="shared" si="41"/>
        <v>2012.5833333333333</v>
      </c>
      <c r="AG100" s="264">
        <f t="shared" si="42"/>
        <v>2019.75</v>
      </c>
      <c r="AH100" s="264">
        <f t="shared" si="43"/>
        <v>-8.3333333333333329E-2</v>
      </c>
    </row>
    <row r="101" spans="1:34">
      <c r="A101" s="257">
        <v>89</v>
      </c>
      <c r="B101" s="257" t="s">
        <v>389</v>
      </c>
      <c r="C101" s="258">
        <v>2003</v>
      </c>
      <c r="D101" s="259">
        <v>6</v>
      </c>
      <c r="E101" s="269"/>
      <c r="F101" s="261" t="s">
        <v>258</v>
      </c>
      <c r="G101" s="261">
        <v>10</v>
      </c>
      <c r="H101" s="259">
        <f t="shared" si="24"/>
        <v>2013</v>
      </c>
      <c r="I101" s="262"/>
      <c r="J101" s="262"/>
      <c r="K101" s="263">
        <v>11326</v>
      </c>
      <c r="L101" s="262"/>
      <c r="M101" s="263">
        <f t="shared" si="25"/>
        <v>11326</v>
      </c>
      <c r="N101" s="263">
        <f t="shared" si="26"/>
        <v>94.383333333333326</v>
      </c>
      <c r="O101" s="263">
        <f t="shared" si="27"/>
        <v>0</v>
      </c>
      <c r="P101" s="263">
        <f t="shared" si="28"/>
        <v>0</v>
      </c>
      <c r="Q101" s="263">
        <f t="shared" si="29"/>
        <v>0</v>
      </c>
      <c r="R101" s="262">
        <v>1</v>
      </c>
      <c r="S101" s="263">
        <f t="shared" si="30"/>
        <v>0</v>
      </c>
      <c r="T101" s="262"/>
      <c r="U101" s="263">
        <f t="shared" si="31"/>
        <v>11326</v>
      </c>
      <c r="V101" s="263">
        <f t="shared" si="32"/>
        <v>11326</v>
      </c>
      <c r="W101" s="262">
        <v>1</v>
      </c>
      <c r="X101" s="263">
        <f t="shared" si="33"/>
        <v>11326</v>
      </c>
      <c r="Y101" s="263">
        <f t="shared" si="34"/>
        <v>11326</v>
      </c>
      <c r="Z101" s="263">
        <f t="shared" si="35"/>
        <v>0</v>
      </c>
      <c r="AA101" s="263">
        <f t="shared" si="36"/>
        <v>2003.4166666666667</v>
      </c>
      <c r="AB101" s="263">
        <f t="shared" si="37"/>
        <v>2020.75</v>
      </c>
      <c r="AC101" s="263">
        <f t="shared" si="38"/>
        <v>2013.4166666666667</v>
      </c>
      <c r="AD101" s="264">
        <f t="shared" si="39"/>
        <v>2019.75</v>
      </c>
      <c r="AE101" s="264">
        <f t="shared" si="40"/>
        <v>-8.3333333333333329E-2</v>
      </c>
      <c r="AF101" s="264">
        <f t="shared" si="41"/>
        <v>2013.4166666666667</v>
      </c>
      <c r="AG101" s="264">
        <f t="shared" si="42"/>
        <v>2019.75</v>
      </c>
      <c r="AH101" s="264">
        <f t="shared" si="43"/>
        <v>-8.3333333333333329E-2</v>
      </c>
    </row>
    <row r="102" spans="1:34">
      <c r="A102" s="257">
        <v>92</v>
      </c>
      <c r="B102" s="257" t="s">
        <v>390</v>
      </c>
      <c r="C102" s="258">
        <v>2003</v>
      </c>
      <c r="D102" s="259">
        <v>8</v>
      </c>
      <c r="E102" s="269"/>
      <c r="F102" s="261" t="s">
        <v>258</v>
      </c>
      <c r="G102" s="261">
        <v>10</v>
      </c>
      <c r="H102" s="259">
        <f t="shared" si="24"/>
        <v>2013</v>
      </c>
      <c r="I102" s="262"/>
      <c r="J102" s="262"/>
      <c r="K102" s="263">
        <v>34364</v>
      </c>
      <c r="L102" s="262"/>
      <c r="M102" s="263">
        <f t="shared" si="25"/>
        <v>34364</v>
      </c>
      <c r="N102" s="263">
        <f t="shared" si="26"/>
        <v>286.36666666666667</v>
      </c>
      <c r="O102" s="263">
        <f t="shared" si="27"/>
        <v>0</v>
      </c>
      <c r="P102" s="263">
        <f t="shared" si="28"/>
        <v>0</v>
      </c>
      <c r="Q102" s="263">
        <f t="shared" si="29"/>
        <v>0</v>
      </c>
      <c r="R102" s="262">
        <v>1</v>
      </c>
      <c r="S102" s="263">
        <f t="shared" si="30"/>
        <v>0</v>
      </c>
      <c r="T102" s="262"/>
      <c r="U102" s="263">
        <f t="shared" si="31"/>
        <v>34364</v>
      </c>
      <c r="V102" s="263">
        <f t="shared" si="32"/>
        <v>34364</v>
      </c>
      <c r="W102" s="262">
        <v>1</v>
      </c>
      <c r="X102" s="263">
        <f t="shared" si="33"/>
        <v>34364</v>
      </c>
      <c r="Y102" s="263">
        <f t="shared" si="34"/>
        <v>34364</v>
      </c>
      <c r="Z102" s="263">
        <f t="shared" si="35"/>
        <v>0</v>
      </c>
      <c r="AA102" s="263">
        <f t="shared" si="36"/>
        <v>2003.5833333333333</v>
      </c>
      <c r="AB102" s="263">
        <f t="shared" si="37"/>
        <v>2020.75</v>
      </c>
      <c r="AC102" s="263">
        <f t="shared" si="38"/>
        <v>2013.5833333333333</v>
      </c>
      <c r="AD102" s="264">
        <f t="shared" si="39"/>
        <v>2019.75</v>
      </c>
      <c r="AE102" s="264">
        <f t="shared" si="40"/>
        <v>-8.3333333333333329E-2</v>
      </c>
      <c r="AF102" s="264">
        <f t="shared" si="41"/>
        <v>2013.5833333333333</v>
      </c>
      <c r="AG102" s="264">
        <f t="shared" si="42"/>
        <v>2019.75</v>
      </c>
      <c r="AH102" s="264">
        <f t="shared" si="43"/>
        <v>-8.3333333333333329E-2</v>
      </c>
    </row>
    <row r="103" spans="1:34">
      <c r="A103" s="257">
        <v>96</v>
      </c>
      <c r="B103" s="257" t="s">
        <v>391</v>
      </c>
      <c r="C103" s="258">
        <v>2004</v>
      </c>
      <c r="D103" s="259">
        <v>9</v>
      </c>
      <c r="E103" s="269"/>
      <c r="F103" s="261" t="s">
        <v>258</v>
      </c>
      <c r="G103" s="261">
        <v>10</v>
      </c>
      <c r="H103" s="259">
        <f t="shared" si="24"/>
        <v>2014</v>
      </c>
      <c r="I103" s="262"/>
      <c r="J103" s="262"/>
      <c r="K103" s="263">
        <v>8286</v>
      </c>
      <c r="L103" s="262"/>
      <c r="M103" s="263">
        <f t="shared" si="25"/>
        <v>8286</v>
      </c>
      <c r="N103" s="263">
        <f t="shared" si="26"/>
        <v>69.05</v>
      </c>
      <c r="O103" s="263">
        <f t="shared" si="27"/>
        <v>0</v>
      </c>
      <c r="P103" s="263">
        <f t="shared" si="28"/>
        <v>0</v>
      </c>
      <c r="Q103" s="263">
        <f t="shared" si="29"/>
        <v>0</v>
      </c>
      <c r="R103" s="262">
        <v>1</v>
      </c>
      <c r="S103" s="263">
        <f t="shared" si="30"/>
        <v>0</v>
      </c>
      <c r="T103" s="262"/>
      <c r="U103" s="263">
        <f t="shared" si="31"/>
        <v>8286</v>
      </c>
      <c r="V103" s="263">
        <f t="shared" si="32"/>
        <v>8286</v>
      </c>
      <c r="W103" s="262">
        <v>1</v>
      </c>
      <c r="X103" s="263">
        <f t="shared" si="33"/>
        <v>8286</v>
      </c>
      <c r="Y103" s="263">
        <f t="shared" si="34"/>
        <v>8286</v>
      </c>
      <c r="Z103" s="263">
        <f t="shared" si="35"/>
        <v>0</v>
      </c>
      <c r="AA103" s="263">
        <f t="shared" si="36"/>
        <v>2004.6666666666667</v>
      </c>
      <c r="AB103" s="263">
        <f t="shared" si="37"/>
        <v>2020.75</v>
      </c>
      <c r="AC103" s="263">
        <f t="shared" si="38"/>
        <v>2014.6666666666667</v>
      </c>
      <c r="AD103" s="264">
        <f t="shared" si="39"/>
        <v>2019.75</v>
      </c>
      <c r="AE103" s="264">
        <f t="shared" si="40"/>
        <v>-8.3333333333333329E-2</v>
      </c>
      <c r="AF103" s="264">
        <f t="shared" si="41"/>
        <v>2014.6666666666667</v>
      </c>
      <c r="AG103" s="264">
        <f t="shared" si="42"/>
        <v>2019.75</v>
      </c>
      <c r="AH103" s="264">
        <f t="shared" si="43"/>
        <v>-8.3333333333333329E-2</v>
      </c>
    </row>
    <row r="104" spans="1:34">
      <c r="A104" s="257">
        <v>99</v>
      </c>
      <c r="B104" s="257" t="s">
        <v>392</v>
      </c>
      <c r="C104" s="258">
        <v>2005</v>
      </c>
      <c r="D104" s="259">
        <v>2</v>
      </c>
      <c r="E104" s="269"/>
      <c r="F104" s="261" t="s">
        <v>258</v>
      </c>
      <c r="G104" s="261">
        <v>10</v>
      </c>
      <c r="H104" s="259">
        <f t="shared" si="24"/>
        <v>2015</v>
      </c>
      <c r="I104" s="262"/>
      <c r="J104" s="262"/>
      <c r="K104" s="263">
        <v>16233</v>
      </c>
      <c r="L104" s="262"/>
      <c r="M104" s="263">
        <f t="shared" si="25"/>
        <v>16233</v>
      </c>
      <c r="N104" s="263">
        <f t="shared" si="26"/>
        <v>135.27500000000001</v>
      </c>
      <c r="O104" s="263">
        <f t="shared" si="27"/>
        <v>0</v>
      </c>
      <c r="P104" s="263">
        <f t="shared" si="28"/>
        <v>0</v>
      </c>
      <c r="Q104" s="263">
        <f t="shared" si="29"/>
        <v>0</v>
      </c>
      <c r="R104" s="262">
        <v>1</v>
      </c>
      <c r="S104" s="263">
        <f t="shared" si="30"/>
        <v>0</v>
      </c>
      <c r="T104" s="262"/>
      <c r="U104" s="263">
        <f t="shared" si="31"/>
        <v>16233</v>
      </c>
      <c r="V104" s="263">
        <f t="shared" si="32"/>
        <v>16233</v>
      </c>
      <c r="W104" s="262">
        <v>1</v>
      </c>
      <c r="X104" s="263">
        <f t="shared" si="33"/>
        <v>16233</v>
      </c>
      <c r="Y104" s="263">
        <f t="shared" si="34"/>
        <v>16233</v>
      </c>
      <c r="Z104" s="263">
        <f t="shared" si="35"/>
        <v>0</v>
      </c>
      <c r="AA104" s="263">
        <f t="shared" si="36"/>
        <v>2005.0833333333333</v>
      </c>
      <c r="AB104" s="263">
        <f t="shared" si="37"/>
        <v>2020.75</v>
      </c>
      <c r="AC104" s="263">
        <f t="shared" si="38"/>
        <v>2015.0833333333333</v>
      </c>
      <c r="AD104" s="264">
        <f t="shared" si="39"/>
        <v>2019.75</v>
      </c>
      <c r="AE104" s="264">
        <f t="shared" si="40"/>
        <v>-8.3333333333333329E-2</v>
      </c>
      <c r="AF104" s="264">
        <f t="shared" si="41"/>
        <v>2015.0833333333333</v>
      </c>
      <c r="AG104" s="264">
        <f t="shared" si="42"/>
        <v>2019.75</v>
      </c>
      <c r="AH104" s="264">
        <f t="shared" si="43"/>
        <v>-8.3333333333333329E-2</v>
      </c>
    </row>
    <row r="105" spans="1:34">
      <c r="A105" s="257">
        <v>101</v>
      </c>
      <c r="B105" s="257" t="s">
        <v>393</v>
      </c>
      <c r="C105" s="259">
        <v>2005</v>
      </c>
      <c r="D105" s="259">
        <v>6</v>
      </c>
      <c r="E105" s="269"/>
      <c r="F105" s="261" t="s">
        <v>258</v>
      </c>
      <c r="G105" s="261">
        <v>10</v>
      </c>
      <c r="H105" s="259">
        <f t="shared" si="24"/>
        <v>2015</v>
      </c>
      <c r="I105" s="262"/>
      <c r="J105" s="262"/>
      <c r="K105" s="263">
        <v>6079</v>
      </c>
      <c r="L105" s="262"/>
      <c r="M105" s="263">
        <f t="shared" si="25"/>
        <v>6079</v>
      </c>
      <c r="N105" s="263">
        <f t="shared" si="26"/>
        <v>50.658333333333331</v>
      </c>
      <c r="O105" s="263">
        <f t="shared" si="27"/>
        <v>0</v>
      </c>
      <c r="P105" s="263">
        <f t="shared" si="28"/>
        <v>0</v>
      </c>
      <c r="Q105" s="263">
        <f t="shared" si="29"/>
        <v>0</v>
      </c>
      <c r="R105" s="262">
        <v>1</v>
      </c>
      <c r="S105" s="263">
        <f t="shared" si="30"/>
        <v>0</v>
      </c>
      <c r="T105" s="262"/>
      <c r="U105" s="263">
        <f t="shared" si="31"/>
        <v>6079</v>
      </c>
      <c r="V105" s="263">
        <f t="shared" si="32"/>
        <v>6079</v>
      </c>
      <c r="W105" s="262">
        <v>1</v>
      </c>
      <c r="X105" s="263">
        <f t="shared" si="33"/>
        <v>6079</v>
      </c>
      <c r="Y105" s="263">
        <f t="shared" si="34"/>
        <v>6079</v>
      </c>
      <c r="Z105" s="263">
        <f t="shared" si="35"/>
        <v>0</v>
      </c>
      <c r="AA105" s="263">
        <f t="shared" si="36"/>
        <v>2005.4166666666667</v>
      </c>
      <c r="AB105" s="263">
        <f t="shared" si="37"/>
        <v>2020.75</v>
      </c>
      <c r="AC105" s="263">
        <f t="shared" si="38"/>
        <v>2015.4166666666667</v>
      </c>
      <c r="AD105" s="264">
        <f t="shared" si="39"/>
        <v>2019.75</v>
      </c>
      <c r="AE105" s="264">
        <f t="shared" si="40"/>
        <v>-8.3333333333333329E-2</v>
      </c>
      <c r="AF105" s="264">
        <f t="shared" si="41"/>
        <v>2015.4166666666667</v>
      </c>
      <c r="AG105" s="264">
        <f t="shared" si="42"/>
        <v>2019.75</v>
      </c>
      <c r="AH105" s="264">
        <f t="shared" si="43"/>
        <v>-8.3333333333333329E-2</v>
      </c>
    </row>
    <row r="106" spans="1:34">
      <c r="A106" s="257">
        <v>102</v>
      </c>
      <c r="B106" s="257" t="s">
        <v>384</v>
      </c>
      <c r="C106" s="258">
        <v>2005</v>
      </c>
      <c r="D106" s="259">
        <v>8</v>
      </c>
      <c r="E106" s="269"/>
      <c r="F106" s="261" t="s">
        <v>258</v>
      </c>
      <c r="G106" s="261">
        <v>10</v>
      </c>
      <c r="H106" s="259">
        <f t="shared" si="24"/>
        <v>2015</v>
      </c>
      <c r="I106" s="262"/>
      <c r="J106" s="262"/>
      <c r="K106" s="263">
        <v>19267</v>
      </c>
      <c r="L106" s="262"/>
      <c r="M106" s="263">
        <f t="shared" si="25"/>
        <v>19267</v>
      </c>
      <c r="N106" s="263">
        <f t="shared" si="26"/>
        <v>160.55833333333334</v>
      </c>
      <c r="O106" s="263">
        <f t="shared" si="27"/>
        <v>0</v>
      </c>
      <c r="P106" s="263">
        <f t="shared" si="28"/>
        <v>0</v>
      </c>
      <c r="Q106" s="263">
        <f t="shared" si="29"/>
        <v>0</v>
      </c>
      <c r="R106" s="262">
        <v>1</v>
      </c>
      <c r="S106" s="263">
        <f t="shared" si="30"/>
        <v>0</v>
      </c>
      <c r="T106" s="262"/>
      <c r="U106" s="263">
        <f t="shared" si="31"/>
        <v>19267</v>
      </c>
      <c r="V106" s="263">
        <f t="shared" si="32"/>
        <v>19267</v>
      </c>
      <c r="W106" s="262">
        <v>1</v>
      </c>
      <c r="X106" s="263">
        <f t="shared" si="33"/>
        <v>19267</v>
      </c>
      <c r="Y106" s="263">
        <f t="shared" si="34"/>
        <v>19267</v>
      </c>
      <c r="Z106" s="263">
        <f t="shared" si="35"/>
        <v>0</v>
      </c>
      <c r="AA106" s="263">
        <f t="shared" si="36"/>
        <v>2005.5833333333333</v>
      </c>
      <c r="AB106" s="263">
        <f t="shared" si="37"/>
        <v>2020.75</v>
      </c>
      <c r="AC106" s="263">
        <f t="shared" si="38"/>
        <v>2015.5833333333333</v>
      </c>
      <c r="AD106" s="264">
        <f t="shared" si="39"/>
        <v>2019.75</v>
      </c>
      <c r="AE106" s="264">
        <f t="shared" si="40"/>
        <v>-8.3333333333333329E-2</v>
      </c>
      <c r="AF106" s="264">
        <f t="shared" si="41"/>
        <v>2015.5833333333333</v>
      </c>
      <c r="AG106" s="264">
        <f t="shared" si="42"/>
        <v>2019.75</v>
      </c>
      <c r="AH106" s="264">
        <f t="shared" si="43"/>
        <v>-8.3333333333333329E-2</v>
      </c>
    </row>
    <row r="107" spans="1:34">
      <c r="A107" s="257">
        <v>104</v>
      </c>
      <c r="B107" s="257" t="s">
        <v>394</v>
      </c>
      <c r="C107" s="259">
        <v>2005</v>
      </c>
      <c r="D107" s="259">
        <v>10</v>
      </c>
      <c r="E107" s="262"/>
      <c r="F107" s="261" t="s">
        <v>258</v>
      </c>
      <c r="G107" s="261">
        <v>10</v>
      </c>
      <c r="H107" s="259">
        <f t="shared" si="24"/>
        <v>2015</v>
      </c>
      <c r="I107" s="262"/>
      <c r="J107" s="262"/>
      <c r="K107" s="263">
        <v>8867</v>
      </c>
      <c r="L107" s="262"/>
      <c r="M107" s="263">
        <f t="shared" si="25"/>
        <v>8867</v>
      </c>
      <c r="N107" s="263">
        <f t="shared" si="26"/>
        <v>73.891666666666666</v>
      </c>
      <c r="O107" s="263">
        <f t="shared" si="27"/>
        <v>0</v>
      </c>
      <c r="P107" s="263">
        <f t="shared" si="28"/>
        <v>0</v>
      </c>
      <c r="Q107" s="263">
        <f t="shared" si="29"/>
        <v>0</v>
      </c>
      <c r="R107" s="262">
        <v>1</v>
      </c>
      <c r="S107" s="263">
        <f t="shared" si="30"/>
        <v>0</v>
      </c>
      <c r="T107" s="262"/>
      <c r="U107" s="263">
        <f t="shared" si="31"/>
        <v>8867</v>
      </c>
      <c r="V107" s="263">
        <f t="shared" si="32"/>
        <v>8867</v>
      </c>
      <c r="W107" s="262">
        <v>1</v>
      </c>
      <c r="X107" s="263">
        <f t="shared" si="33"/>
        <v>8867</v>
      </c>
      <c r="Y107" s="263">
        <f t="shared" si="34"/>
        <v>8867</v>
      </c>
      <c r="Z107" s="263">
        <f t="shared" si="35"/>
        <v>0</v>
      </c>
      <c r="AA107" s="263">
        <f t="shared" si="36"/>
        <v>2005.75</v>
      </c>
      <c r="AB107" s="263">
        <f t="shared" si="37"/>
        <v>2020.75</v>
      </c>
      <c r="AC107" s="263">
        <f t="shared" si="38"/>
        <v>2015.75</v>
      </c>
      <c r="AD107" s="264">
        <f t="shared" si="39"/>
        <v>2019.75</v>
      </c>
      <c r="AE107" s="264">
        <f t="shared" si="40"/>
        <v>-8.3333333333333329E-2</v>
      </c>
      <c r="AF107" s="264">
        <f t="shared" si="41"/>
        <v>2015.75</v>
      </c>
      <c r="AG107" s="264">
        <f t="shared" si="42"/>
        <v>2019.75</v>
      </c>
      <c r="AH107" s="264">
        <f t="shared" si="43"/>
        <v>-8.3333333333333329E-2</v>
      </c>
    </row>
    <row r="108" spans="1:34">
      <c r="A108" s="257">
        <v>105</v>
      </c>
      <c r="B108" s="257" t="s">
        <v>395</v>
      </c>
      <c r="C108" s="259">
        <v>2006</v>
      </c>
      <c r="D108" s="259">
        <v>1</v>
      </c>
      <c r="E108" s="269"/>
      <c r="F108" s="261" t="s">
        <v>258</v>
      </c>
      <c r="G108" s="261">
        <v>10</v>
      </c>
      <c r="H108" s="259">
        <f t="shared" si="24"/>
        <v>2016</v>
      </c>
      <c r="I108" s="262"/>
      <c r="J108" s="262"/>
      <c r="K108" s="263">
        <v>4494</v>
      </c>
      <c r="L108" s="262"/>
      <c r="M108" s="263">
        <f t="shared" si="25"/>
        <v>4494</v>
      </c>
      <c r="N108" s="263">
        <f t="shared" si="26"/>
        <v>37.449999999999996</v>
      </c>
      <c r="O108" s="263">
        <f t="shared" si="27"/>
        <v>0</v>
      </c>
      <c r="P108" s="263">
        <f t="shared" si="28"/>
        <v>0</v>
      </c>
      <c r="Q108" s="263">
        <f t="shared" si="29"/>
        <v>0</v>
      </c>
      <c r="R108" s="262">
        <v>1</v>
      </c>
      <c r="S108" s="263">
        <f t="shared" si="30"/>
        <v>0</v>
      </c>
      <c r="T108" s="262"/>
      <c r="U108" s="263">
        <f t="shared" si="31"/>
        <v>4494</v>
      </c>
      <c r="V108" s="263">
        <f t="shared" si="32"/>
        <v>4494</v>
      </c>
      <c r="W108" s="262">
        <v>1</v>
      </c>
      <c r="X108" s="263">
        <f t="shared" si="33"/>
        <v>4494</v>
      </c>
      <c r="Y108" s="263">
        <f t="shared" si="34"/>
        <v>4494</v>
      </c>
      <c r="Z108" s="263">
        <f t="shared" si="35"/>
        <v>0</v>
      </c>
      <c r="AA108" s="263">
        <f t="shared" si="36"/>
        <v>2006</v>
      </c>
      <c r="AB108" s="263">
        <f t="shared" si="37"/>
        <v>2020.75</v>
      </c>
      <c r="AC108" s="263">
        <f t="shared" si="38"/>
        <v>2016</v>
      </c>
      <c r="AD108" s="264">
        <f t="shared" si="39"/>
        <v>2019.75</v>
      </c>
      <c r="AE108" s="264">
        <f t="shared" si="40"/>
        <v>-8.3333333333333329E-2</v>
      </c>
      <c r="AF108" s="264">
        <f t="shared" si="41"/>
        <v>2016</v>
      </c>
      <c r="AG108" s="264">
        <f t="shared" si="42"/>
        <v>2019.75</v>
      </c>
      <c r="AH108" s="264">
        <f t="shared" si="43"/>
        <v>-8.3333333333333329E-2</v>
      </c>
    </row>
    <row r="109" spans="1:34">
      <c r="A109" s="257">
        <v>106</v>
      </c>
      <c r="B109" s="257" t="s">
        <v>396</v>
      </c>
      <c r="C109" s="258">
        <v>2006</v>
      </c>
      <c r="D109" s="259">
        <v>1</v>
      </c>
      <c r="E109" s="269"/>
      <c r="F109" s="261" t="s">
        <v>258</v>
      </c>
      <c r="G109" s="261">
        <v>10</v>
      </c>
      <c r="H109" s="259">
        <f t="shared" si="24"/>
        <v>2016</v>
      </c>
      <c r="I109" s="262"/>
      <c r="J109" s="262"/>
      <c r="K109" s="263">
        <v>18621</v>
      </c>
      <c r="L109" s="262"/>
      <c r="M109" s="263">
        <f t="shared" si="25"/>
        <v>18621</v>
      </c>
      <c r="N109" s="263">
        <f t="shared" si="26"/>
        <v>155.17499999999998</v>
      </c>
      <c r="O109" s="263">
        <f t="shared" si="27"/>
        <v>0</v>
      </c>
      <c r="P109" s="263">
        <f t="shared" si="28"/>
        <v>0</v>
      </c>
      <c r="Q109" s="263">
        <f t="shared" si="29"/>
        <v>0</v>
      </c>
      <c r="R109" s="262">
        <v>1</v>
      </c>
      <c r="S109" s="263">
        <f t="shared" si="30"/>
        <v>0</v>
      </c>
      <c r="T109" s="262"/>
      <c r="U109" s="263">
        <f t="shared" si="31"/>
        <v>18621</v>
      </c>
      <c r="V109" s="263">
        <f t="shared" si="32"/>
        <v>18621</v>
      </c>
      <c r="W109" s="262">
        <v>1</v>
      </c>
      <c r="X109" s="263">
        <f t="shared" si="33"/>
        <v>18621</v>
      </c>
      <c r="Y109" s="263">
        <f t="shared" si="34"/>
        <v>18621</v>
      </c>
      <c r="Z109" s="263">
        <f t="shared" si="35"/>
        <v>0</v>
      </c>
      <c r="AA109" s="263">
        <f t="shared" si="36"/>
        <v>2006</v>
      </c>
      <c r="AB109" s="263">
        <f t="shared" si="37"/>
        <v>2020.75</v>
      </c>
      <c r="AC109" s="263">
        <f t="shared" si="38"/>
        <v>2016</v>
      </c>
      <c r="AD109" s="264">
        <f t="shared" si="39"/>
        <v>2019.75</v>
      </c>
      <c r="AE109" s="264">
        <f t="shared" si="40"/>
        <v>-8.3333333333333329E-2</v>
      </c>
      <c r="AF109" s="264">
        <f t="shared" si="41"/>
        <v>2016</v>
      </c>
      <c r="AG109" s="264">
        <f t="shared" si="42"/>
        <v>2019.75</v>
      </c>
      <c r="AH109" s="264">
        <f t="shared" si="43"/>
        <v>-8.3333333333333329E-2</v>
      </c>
    </row>
    <row r="110" spans="1:34">
      <c r="A110" s="257">
        <v>107</v>
      </c>
      <c r="B110" s="257" t="s">
        <v>384</v>
      </c>
      <c r="C110" s="258">
        <v>2006</v>
      </c>
      <c r="D110" s="259">
        <v>3</v>
      </c>
      <c r="E110" s="269"/>
      <c r="F110" s="261" t="s">
        <v>258</v>
      </c>
      <c r="G110" s="261">
        <v>10</v>
      </c>
      <c r="H110" s="259">
        <f t="shared" si="24"/>
        <v>2016</v>
      </c>
      <c r="I110" s="262"/>
      <c r="J110" s="262"/>
      <c r="K110" s="263">
        <v>11053</v>
      </c>
      <c r="L110" s="262"/>
      <c r="M110" s="263">
        <f t="shared" si="25"/>
        <v>11053</v>
      </c>
      <c r="N110" s="263">
        <f t="shared" si="26"/>
        <v>92.108333333333334</v>
      </c>
      <c r="O110" s="263">
        <f t="shared" si="27"/>
        <v>0</v>
      </c>
      <c r="P110" s="263">
        <f t="shared" si="28"/>
        <v>0</v>
      </c>
      <c r="Q110" s="263">
        <f t="shared" si="29"/>
        <v>0</v>
      </c>
      <c r="R110" s="262">
        <v>1</v>
      </c>
      <c r="S110" s="263">
        <f t="shared" si="30"/>
        <v>0</v>
      </c>
      <c r="T110" s="262"/>
      <c r="U110" s="263">
        <f t="shared" si="31"/>
        <v>11053</v>
      </c>
      <c r="V110" s="263">
        <f t="shared" si="32"/>
        <v>11053</v>
      </c>
      <c r="W110" s="262">
        <v>1</v>
      </c>
      <c r="X110" s="263">
        <f t="shared" si="33"/>
        <v>11053</v>
      </c>
      <c r="Y110" s="263">
        <f t="shared" si="34"/>
        <v>11053</v>
      </c>
      <c r="Z110" s="263">
        <f t="shared" si="35"/>
        <v>0</v>
      </c>
      <c r="AA110" s="263">
        <f t="shared" si="36"/>
        <v>2006.1666666666667</v>
      </c>
      <c r="AB110" s="263">
        <f t="shared" si="37"/>
        <v>2020.75</v>
      </c>
      <c r="AC110" s="263">
        <f t="shared" si="38"/>
        <v>2016.1666666666667</v>
      </c>
      <c r="AD110" s="264">
        <f t="shared" si="39"/>
        <v>2019.75</v>
      </c>
      <c r="AE110" s="264">
        <f t="shared" si="40"/>
        <v>-8.3333333333333329E-2</v>
      </c>
      <c r="AF110" s="264">
        <f t="shared" si="41"/>
        <v>2016.1666666666667</v>
      </c>
      <c r="AG110" s="264">
        <f t="shared" si="42"/>
        <v>2019.75</v>
      </c>
      <c r="AH110" s="264">
        <f t="shared" si="43"/>
        <v>-8.3333333333333329E-2</v>
      </c>
    </row>
    <row r="111" spans="1:34">
      <c r="A111" s="257">
        <v>108</v>
      </c>
      <c r="B111" s="257" t="s">
        <v>397</v>
      </c>
      <c r="C111" s="258">
        <v>2006</v>
      </c>
      <c r="D111" s="259">
        <v>6</v>
      </c>
      <c r="E111" s="269"/>
      <c r="F111" s="261" t="s">
        <v>258</v>
      </c>
      <c r="G111" s="261">
        <v>10</v>
      </c>
      <c r="H111" s="259">
        <f t="shared" si="24"/>
        <v>2016</v>
      </c>
      <c r="I111" s="262"/>
      <c r="J111" s="262"/>
      <c r="K111" s="263">
        <v>16177</v>
      </c>
      <c r="L111" s="262"/>
      <c r="M111" s="263">
        <f t="shared" si="25"/>
        <v>16177</v>
      </c>
      <c r="N111" s="263">
        <f t="shared" si="26"/>
        <v>134.80833333333334</v>
      </c>
      <c r="O111" s="263">
        <f t="shared" si="27"/>
        <v>0</v>
      </c>
      <c r="P111" s="263">
        <f t="shared" si="28"/>
        <v>0</v>
      </c>
      <c r="Q111" s="263">
        <f t="shared" si="29"/>
        <v>0</v>
      </c>
      <c r="R111" s="262">
        <v>1</v>
      </c>
      <c r="S111" s="263">
        <f t="shared" si="30"/>
        <v>0</v>
      </c>
      <c r="T111" s="262"/>
      <c r="U111" s="263">
        <f t="shared" si="31"/>
        <v>16177</v>
      </c>
      <c r="V111" s="263">
        <f t="shared" si="32"/>
        <v>16177</v>
      </c>
      <c r="W111" s="262">
        <v>1</v>
      </c>
      <c r="X111" s="263">
        <f t="shared" si="33"/>
        <v>16177</v>
      </c>
      <c r="Y111" s="263">
        <f t="shared" si="34"/>
        <v>16177</v>
      </c>
      <c r="Z111" s="263">
        <f t="shared" si="35"/>
        <v>0</v>
      </c>
      <c r="AA111" s="263">
        <f t="shared" si="36"/>
        <v>2006.4166666666667</v>
      </c>
      <c r="AB111" s="263">
        <f t="shared" si="37"/>
        <v>2020.75</v>
      </c>
      <c r="AC111" s="263">
        <f t="shared" si="38"/>
        <v>2016.4166666666667</v>
      </c>
      <c r="AD111" s="264">
        <f t="shared" si="39"/>
        <v>2019.75</v>
      </c>
      <c r="AE111" s="264">
        <f t="shared" si="40"/>
        <v>-8.3333333333333329E-2</v>
      </c>
      <c r="AF111" s="264">
        <f t="shared" si="41"/>
        <v>2016.4166666666667</v>
      </c>
      <c r="AG111" s="264">
        <f t="shared" si="42"/>
        <v>2019.75</v>
      </c>
      <c r="AH111" s="264">
        <f t="shared" si="43"/>
        <v>-8.3333333333333329E-2</v>
      </c>
    </row>
    <row r="112" spans="1:34">
      <c r="A112" s="257">
        <v>109</v>
      </c>
      <c r="B112" s="257" t="s">
        <v>398</v>
      </c>
      <c r="C112" s="258">
        <v>2006</v>
      </c>
      <c r="D112" s="259">
        <v>6</v>
      </c>
      <c r="E112" s="269"/>
      <c r="F112" s="261" t="s">
        <v>258</v>
      </c>
      <c r="G112" s="261">
        <v>10</v>
      </c>
      <c r="H112" s="259">
        <f t="shared" si="24"/>
        <v>2016</v>
      </c>
      <c r="I112" s="262"/>
      <c r="J112" s="262"/>
      <c r="K112" s="263">
        <v>26614</v>
      </c>
      <c r="L112" s="262"/>
      <c r="M112" s="263">
        <f t="shared" si="25"/>
        <v>26614</v>
      </c>
      <c r="N112" s="263">
        <f t="shared" si="26"/>
        <v>221.78333333333333</v>
      </c>
      <c r="O112" s="263">
        <f t="shared" si="27"/>
        <v>0</v>
      </c>
      <c r="P112" s="263">
        <f t="shared" si="28"/>
        <v>0</v>
      </c>
      <c r="Q112" s="263">
        <f t="shared" si="29"/>
        <v>0</v>
      </c>
      <c r="R112" s="262">
        <v>1</v>
      </c>
      <c r="S112" s="263">
        <f t="shared" si="30"/>
        <v>0</v>
      </c>
      <c r="T112" s="262"/>
      <c r="U112" s="263">
        <f t="shared" si="31"/>
        <v>26614</v>
      </c>
      <c r="V112" s="263">
        <f t="shared" si="32"/>
        <v>26614</v>
      </c>
      <c r="W112" s="262">
        <v>1</v>
      </c>
      <c r="X112" s="263">
        <f t="shared" si="33"/>
        <v>26614</v>
      </c>
      <c r="Y112" s="263">
        <f t="shared" si="34"/>
        <v>26614</v>
      </c>
      <c r="Z112" s="263">
        <f t="shared" si="35"/>
        <v>0</v>
      </c>
      <c r="AA112" s="263">
        <f t="shared" si="36"/>
        <v>2006.4166666666667</v>
      </c>
      <c r="AB112" s="263">
        <f t="shared" si="37"/>
        <v>2020.75</v>
      </c>
      <c r="AC112" s="263">
        <f t="shared" si="38"/>
        <v>2016.4166666666667</v>
      </c>
      <c r="AD112" s="264">
        <f t="shared" si="39"/>
        <v>2019.75</v>
      </c>
      <c r="AE112" s="264">
        <f t="shared" si="40"/>
        <v>-8.3333333333333329E-2</v>
      </c>
      <c r="AF112" s="264">
        <f t="shared" si="41"/>
        <v>2016.4166666666667</v>
      </c>
      <c r="AG112" s="264">
        <f t="shared" si="42"/>
        <v>2019.75</v>
      </c>
      <c r="AH112" s="264">
        <f t="shared" si="43"/>
        <v>-8.3333333333333329E-2</v>
      </c>
    </row>
    <row r="113" spans="1:34">
      <c r="A113" s="257">
        <v>110</v>
      </c>
      <c r="B113" s="257" t="s">
        <v>399</v>
      </c>
      <c r="C113" s="258">
        <v>2006</v>
      </c>
      <c r="D113" s="259">
        <v>7</v>
      </c>
      <c r="E113" s="269"/>
      <c r="F113" s="261" t="s">
        <v>258</v>
      </c>
      <c r="G113" s="261">
        <v>10</v>
      </c>
      <c r="H113" s="259">
        <f t="shared" si="24"/>
        <v>2016</v>
      </c>
      <c r="I113" s="262"/>
      <c r="J113" s="262"/>
      <c r="K113" s="263">
        <v>14213</v>
      </c>
      <c r="L113" s="262"/>
      <c r="M113" s="263">
        <f t="shared" si="25"/>
        <v>14213</v>
      </c>
      <c r="N113" s="263">
        <f t="shared" si="26"/>
        <v>118.44166666666666</v>
      </c>
      <c r="O113" s="263">
        <f t="shared" si="27"/>
        <v>0</v>
      </c>
      <c r="P113" s="263">
        <f t="shared" si="28"/>
        <v>0</v>
      </c>
      <c r="Q113" s="263">
        <f t="shared" si="29"/>
        <v>0</v>
      </c>
      <c r="R113" s="262">
        <v>1</v>
      </c>
      <c r="S113" s="263">
        <f t="shared" si="30"/>
        <v>0</v>
      </c>
      <c r="T113" s="262"/>
      <c r="U113" s="263">
        <f t="shared" si="31"/>
        <v>14213</v>
      </c>
      <c r="V113" s="263">
        <f t="shared" si="32"/>
        <v>14213</v>
      </c>
      <c r="W113" s="262">
        <v>1</v>
      </c>
      <c r="X113" s="263">
        <f t="shared" si="33"/>
        <v>14213</v>
      </c>
      <c r="Y113" s="263">
        <f t="shared" si="34"/>
        <v>14213</v>
      </c>
      <c r="Z113" s="263">
        <f t="shared" si="35"/>
        <v>0</v>
      </c>
      <c r="AA113" s="263">
        <f t="shared" si="36"/>
        <v>2006.5</v>
      </c>
      <c r="AB113" s="263">
        <f t="shared" si="37"/>
        <v>2020.75</v>
      </c>
      <c r="AC113" s="263">
        <f t="shared" si="38"/>
        <v>2016.5</v>
      </c>
      <c r="AD113" s="264">
        <f t="shared" si="39"/>
        <v>2019.75</v>
      </c>
      <c r="AE113" s="264">
        <f t="shared" si="40"/>
        <v>-8.3333333333333329E-2</v>
      </c>
      <c r="AF113" s="264">
        <f t="shared" si="41"/>
        <v>2016.5</v>
      </c>
      <c r="AG113" s="264">
        <f t="shared" si="42"/>
        <v>2019.75</v>
      </c>
      <c r="AH113" s="264">
        <f t="shared" si="43"/>
        <v>-8.3333333333333329E-2</v>
      </c>
    </row>
    <row r="114" spans="1:34">
      <c r="A114" s="257">
        <v>113</v>
      </c>
      <c r="B114" s="257" t="s">
        <v>400</v>
      </c>
      <c r="C114" s="258">
        <v>2007</v>
      </c>
      <c r="D114" s="259">
        <v>8</v>
      </c>
      <c r="E114" s="269"/>
      <c r="F114" s="261" t="s">
        <v>258</v>
      </c>
      <c r="G114" s="261">
        <v>10</v>
      </c>
      <c r="H114" s="259">
        <f t="shared" si="24"/>
        <v>2017</v>
      </c>
      <c r="I114" s="262"/>
      <c r="J114" s="262"/>
      <c r="K114" s="263">
        <v>32460</v>
      </c>
      <c r="L114" s="262"/>
      <c r="M114" s="263">
        <f t="shared" si="25"/>
        <v>32460</v>
      </c>
      <c r="N114" s="263">
        <f t="shared" si="26"/>
        <v>270.5</v>
      </c>
      <c r="O114" s="263">
        <f t="shared" si="27"/>
        <v>0</v>
      </c>
      <c r="P114" s="263">
        <f t="shared" si="28"/>
        <v>0</v>
      </c>
      <c r="Q114" s="263">
        <f t="shared" si="29"/>
        <v>0</v>
      </c>
      <c r="R114" s="262">
        <v>1</v>
      </c>
      <c r="S114" s="263">
        <f t="shared" si="30"/>
        <v>0</v>
      </c>
      <c r="T114" s="262"/>
      <c r="U114" s="263">
        <f t="shared" si="31"/>
        <v>32460</v>
      </c>
      <c r="V114" s="263">
        <f t="shared" si="32"/>
        <v>32460</v>
      </c>
      <c r="W114" s="262">
        <v>1</v>
      </c>
      <c r="X114" s="263">
        <f t="shared" si="33"/>
        <v>32460</v>
      </c>
      <c r="Y114" s="263">
        <f t="shared" si="34"/>
        <v>32460</v>
      </c>
      <c r="Z114" s="263">
        <f t="shared" si="35"/>
        <v>0</v>
      </c>
      <c r="AA114" s="263">
        <f t="shared" si="36"/>
        <v>2007.5833333333333</v>
      </c>
      <c r="AB114" s="263">
        <f t="shared" si="37"/>
        <v>2020.75</v>
      </c>
      <c r="AC114" s="263">
        <f t="shared" si="38"/>
        <v>2017.5833333333333</v>
      </c>
      <c r="AD114" s="264">
        <f t="shared" si="39"/>
        <v>2019.75</v>
      </c>
      <c r="AE114" s="264">
        <f t="shared" si="40"/>
        <v>-8.3333333333333329E-2</v>
      </c>
      <c r="AF114" s="264">
        <f t="shared" si="41"/>
        <v>2017.5833333333333</v>
      </c>
      <c r="AG114" s="264">
        <f t="shared" si="42"/>
        <v>2019.75</v>
      </c>
      <c r="AH114" s="264">
        <f t="shared" si="43"/>
        <v>-8.3333333333333329E-2</v>
      </c>
    </row>
    <row r="115" spans="1:34">
      <c r="A115" s="257">
        <v>114</v>
      </c>
      <c r="B115" s="257" t="s">
        <v>384</v>
      </c>
      <c r="C115" s="258">
        <v>2007</v>
      </c>
      <c r="D115" s="259">
        <v>8</v>
      </c>
      <c r="E115" s="269"/>
      <c r="F115" s="261" t="s">
        <v>258</v>
      </c>
      <c r="G115" s="261">
        <v>10</v>
      </c>
      <c r="H115" s="259">
        <f t="shared" si="24"/>
        <v>2017</v>
      </c>
      <c r="I115" s="262"/>
      <c r="J115" s="262"/>
      <c r="K115" s="263">
        <v>18120</v>
      </c>
      <c r="L115" s="262"/>
      <c r="M115" s="263">
        <f t="shared" si="25"/>
        <v>18120</v>
      </c>
      <c r="N115" s="263">
        <f t="shared" si="26"/>
        <v>151</v>
      </c>
      <c r="O115" s="263">
        <f t="shared" si="27"/>
        <v>0</v>
      </c>
      <c r="P115" s="263">
        <f t="shared" si="28"/>
        <v>0</v>
      </c>
      <c r="Q115" s="263">
        <f t="shared" si="29"/>
        <v>0</v>
      </c>
      <c r="R115" s="262">
        <v>1</v>
      </c>
      <c r="S115" s="263">
        <f t="shared" si="30"/>
        <v>0</v>
      </c>
      <c r="T115" s="262"/>
      <c r="U115" s="263">
        <f t="shared" si="31"/>
        <v>18120</v>
      </c>
      <c r="V115" s="263">
        <f t="shared" si="32"/>
        <v>18120</v>
      </c>
      <c r="W115" s="262">
        <v>1</v>
      </c>
      <c r="X115" s="263">
        <f t="shared" si="33"/>
        <v>18120</v>
      </c>
      <c r="Y115" s="263">
        <f t="shared" si="34"/>
        <v>18120</v>
      </c>
      <c r="Z115" s="263">
        <f t="shared" si="35"/>
        <v>0</v>
      </c>
      <c r="AA115" s="263">
        <f t="shared" si="36"/>
        <v>2007.5833333333333</v>
      </c>
      <c r="AB115" s="263">
        <f t="shared" si="37"/>
        <v>2020.75</v>
      </c>
      <c r="AC115" s="263">
        <f t="shared" si="38"/>
        <v>2017.5833333333333</v>
      </c>
      <c r="AD115" s="264">
        <f t="shared" si="39"/>
        <v>2019.75</v>
      </c>
      <c r="AE115" s="264">
        <f t="shared" si="40"/>
        <v>-8.3333333333333329E-2</v>
      </c>
      <c r="AF115" s="264">
        <f t="shared" si="41"/>
        <v>2017.5833333333333</v>
      </c>
      <c r="AG115" s="264">
        <f t="shared" si="42"/>
        <v>2019.75</v>
      </c>
      <c r="AH115" s="264">
        <f t="shared" si="43"/>
        <v>-8.3333333333333329E-2</v>
      </c>
    </row>
    <row r="116" spans="1:34">
      <c r="A116" s="257">
        <v>115</v>
      </c>
      <c r="B116" s="257" t="s">
        <v>401</v>
      </c>
      <c r="C116" s="258">
        <v>2008</v>
      </c>
      <c r="D116" s="259">
        <v>4</v>
      </c>
      <c r="E116" s="269"/>
      <c r="F116" s="261" t="s">
        <v>258</v>
      </c>
      <c r="G116" s="261">
        <v>10</v>
      </c>
      <c r="H116" s="259">
        <f t="shared" si="24"/>
        <v>2018</v>
      </c>
      <c r="I116" s="262"/>
      <c r="J116" s="262"/>
      <c r="K116" s="263">
        <v>66121</v>
      </c>
      <c r="L116" s="262"/>
      <c r="M116" s="263">
        <f t="shared" si="25"/>
        <v>66121</v>
      </c>
      <c r="N116" s="263">
        <f t="shared" si="26"/>
        <v>551.00833333333333</v>
      </c>
      <c r="O116" s="263">
        <f t="shared" si="27"/>
        <v>0</v>
      </c>
      <c r="P116" s="263">
        <f t="shared" si="28"/>
        <v>0</v>
      </c>
      <c r="Q116" s="263">
        <f t="shared" si="29"/>
        <v>0</v>
      </c>
      <c r="R116" s="262">
        <v>1</v>
      </c>
      <c r="S116" s="263">
        <f t="shared" si="30"/>
        <v>0</v>
      </c>
      <c r="T116" s="262"/>
      <c r="U116" s="263">
        <f t="shared" si="31"/>
        <v>66121</v>
      </c>
      <c r="V116" s="263">
        <f t="shared" si="32"/>
        <v>66121</v>
      </c>
      <c r="W116" s="262">
        <v>1</v>
      </c>
      <c r="X116" s="263">
        <f t="shared" si="33"/>
        <v>66121</v>
      </c>
      <c r="Y116" s="263">
        <f t="shared" si="34"/>
        <v>66121</v>
      </c>
      <c r="Z116" s="263">
        <f t="shared" si="35"/>
        <v>0</v>
      </c>
      <c r="AA116" s="263">
        <f t="shared" si="36"/>
        <v>2008.25</v>
      </c>
      <c r="AB116" s="263">
        <f t="shared" si="37"/>
        <v>2020.75</v>
      </c>
      <c r="AC116" s="263">
        <f t="shared" si="38"/>
        <v>2018.25</v>
      </c>
      <c r="AD116" s="264">
        <f t="shared" si="39"/>
        <v>2019.75</v>
      </c>
      <c r="AE116" s="264">
        <f t="shared" si="40"/>
        <v>-8.3333333333333329E-2</v>
      </c>
      <c r="AF116" s="264">
        <f t="shared" si="41"/>
        <v>2018.25</v>
      </c>
      <c r="AG116" s="264">
        <f t="shared" si="42"/>
        <v>2019.75</v>
      </c>
      <c r="AH116" s="264">
        <f t="shared" si="43"/>
        <v>-8.3333333333333329E-2</v>
      </c>
    </row>
    <row r="117" spans="1:34">
      <c r="A117" s="257">
        <v>117</v>
      </c>
      <c r="B117" s="257" t="s">
        <v>402</v>
      </c>
      <c r="C117" s="258">
        <v>2008</v>
      </c>
      <c r="D117" s="259">
        <v>2</v>
      </c>
      <c r="E117" s="269"/>
      <c r="F117" s="261" t="s">
        <v>258</v>
      </c>
      <c r="G117" s="261">
        <v>10</v>
      </c>
      <c r="H117" s="259">
        <f t="shared" si="24"/>
        <v>2018</v>
      </c>
      <c r="I117" s="262"/>
      <c r="J117" s="262"/>
      <c r="K117" s="263">
        <v>21378</v>
      </c>
      <c r="L117" s="262"/>
      <c r="M117" s="263">
        <f t="shared" si="25"/>
        <v>21378</v>
      </c>
      <c r="N117" s="263">
        <f t="shared" si="26"/>
        <v>178.15</v>
      </c>
      <c r="O117" s="263">
        <f t="shared" si="27"/>
        <v>0</v>
      </c>
      <c r="P117" s="263">
        <f t="shared" si="28"/>
        <v>0</v>
      </c>
      <c r="Q117" s="263">
        <f t="shared" si="29"/>
        <v>0</v>
      </c>
      <c r="R117" s="262">
        <v>1</v>
      </c>
      <c r="S117" s="263">
        <f t="shared" si="30"/>
        <v>0</v>
      </c>
      <c r="T117" s="262"/>
      <c r="U117" s="263">
        <f t="shared" si="31"/>
        <v>21378</v>
      </c>
      <c r="V117" s="263">
        <f t="shared" si="32"/>
        <v>21378</v>
      </c>
      <c r="W117" s="262">
        <v>1</v>
      </c>
      <c r="X117" s="263">
        <f t="shared" si="33"/>
        <v>21378</v>
      </c>
      <c r="Y117" s="263">
        <f t="shared" si="34"/>
        <v>21378</v>
      </c>
      <c r="Z117" s="263">
        <f t="shared" si="35"/>
        <v>0</v>
      </c>
      <c r="AA117" s="263">
        <f t="shared" si="36"/>
        <v>2008.0833333333333</v>
      </c>
      <c r="AB117" s="263">
        <f t="shared" si="37"/>
        <v>2020.75</v>
      </c>
      <c r="AC117" s="263">
        <f t="shared" si="38"/>
        <v>2018.0833333333333</v>
      </c>
      <c r="AD117" s="264">
        <f t="shared" si="39"/>
        <v>2019.75</v>
      </c>
      <c r="AE117" s="264">
        <f t="shared" si="40"/>
        <v>-8.3333333333333329E-2</v>
      </c>
      <c r="AF117" s="264">
        <f t="shared" si="41"/>
        <v>2018.0833333333333</v>
      </c>
      <c r="AG117" s="264">
        <f t="shared" si="42"/>
        <v>2019.75</v>
      </c>
      <c r="AH117" s="264">
        <f t="shared" si="43"/>
        <v>-8.3333333333333329E-2</v>
      </c>
    </row>
    <row r="118" spans="1:34">
      <c r="A118" s="257">
        <v>118</v>
      </c>
      <c r="B118" s="257" t="s">
        <v>403</v>
      </c>
      <c r="C118" s="258">
        <v>2008</v>
      </c>
      <c r="D118" s="259">
        <v>2</v>
      </c>
      <c r="E118" s="269"/>
      <c r="F118" s="261" t="s">
        <v>258</v>
      </c>
      <c r="G118" s="261">
        <v>10</v>
      </c>
      <c r="H118" s="259">
        <f t="shared" si="24"/>
        <v>2018</v>
      </c>
      <c r="I118" s="262"/>
      <c r="J118" s="262"/>
      <c r="K118" s="263">
        <v>18565</v>
      </c>
      <c r="L118" s="262"/>
      <c r="M118" s="263">
        <f t="shared" si="25"/>
        <v>18565</v>
      </c>
      <c r="N118" s="263">
        <f t="shared" si="26"/>
        <v>154.70833333333334</v>
      </c>
      <c r="O118" s="263">
        <f t="shared" si="27"/>
        <v>0</v>
      </c>
      <c r="P118" s="263">
        <f t="shared" si="28"/>
        <v>0</v>
      </c>
      <c r="Q118" s="263">
        <f t="shared" si="29"/>
        <v>0</v>
      </c>
      <c r="R118" s="262">
        <v>1</v>
      </c>
      <c r="S118" s="263">
        <f t="shared" si="30"/>
        <v>0</v>
      </c>
      <c r="T118" s="262"/>
      <c r="U118" s="263">
        <f t="shared" si="31"/>
        <v>18565</v>
      </c>
      <c r="V118" s="263">
        <f t="shared" si="32"/>
        <v>18565</v>
      </c>
      <c r="W118" s="262">
        <v>1</v>
      </c>
      <c r="X118" s="263">
        <f t="shared" si="33"/>
        <v>18565</v>
      </c>
      <c r="Y118" s="263">
        <f t="shared" si="34"/>
        <v>18565</v>
      </c>
      <c r="Z118" s="263">
        <f t="shared" si="35"/>
        <v>0</v>
      </c>
      <c r="AA118" s="263">
        <f t="shared" si="36"/>
        <v>2008.0833333333333</v>
      </c>
      <c r="AB118" s="263">
        <f t="shared" si="37"/>
        <v>2020.75</v>
      </c>
      <c r="AC118" s="263">
        <f t="shared" si="38"/>
        <v>2018.0833333333333</v>
      </c>
      <c r="AD118" s="264">
        <f t="shared" si="39"/>
        <v>2019.75</v>
      </c>
      <c r="AE118" s="264">
        <f t="shared" si="40"/>
        <v>-8.3333333333333329E-2</v>
      </c>
      <c r="AF118" s="264">
        <f t="shared" si="41"/>
        <v>2018.0833333333333</v>
      </c>
      <c r="AG118" s="264">
        <f t="shared" si="42"/>
        <v>2019.75</v>
      </c>
      <c r="AH118" s="264">
        <f t="shared" si="43"/>
        <v>-8.3333333333333329E-2</v>
      </c>
    </row>
    <row r="119" spans="1:34">
      <c r="A119" s="257">
        <v>119</v>
      </c>
      <c r="B119" s="257" t="s">
        <v>404</v>
      </c>
      <c r="C119" s="258">
        <v>2008</v>
      </c>
      <c r="D119" s="259">
        <v>12</v>
      </c>
      <c r="E119" s="269"/>
      <c r="F119" s="261" t="s">
        <v>258</v>
      </c>
      <c r="G119" s="261">
        <v>10</v>
      </c>
      <c r="H119" s="259">
        <f t="shared" si="24"/>
        <v>2018</v>
      </c>
      <c r="I119" s="262"/>
      <c r="J119" s="262"/>
      <c r="K119" s="263">
        <v>25411</v>
      </c>
      <c r="L119" s="262"/>
      <c r="M119" s="263">
        <f t="shared" si="25"/>
        <v>25411</v>
      </c>
      <c r="N119" s="263">
        <f t="shared" si="26"/>
        <v>211.75833333333333</v>
      </c>
      <c r="O119" s="263">
        <f t="shared" si="27"/>
        <v>0</v>
      </c>
      <c r="P119" s="263">
        <f t="shared" si="28"/>
        <v>0</v>
      </c>
      <c r="Q119" s="263">
        <f t="shared" si="29"/>
        <v>0</v>
      </c>
      <c r="R119" s="262">
        <v>1</v>
      </c>
      <c r="S119" s="263">
        <f t="shared" si="30"/>
        <v>0</v>
      </c>
      <c r="T119" s="262"/>
      <c r="U119" s="263">
        <f t="shared" si="31"/>
        <v>25411</v>
      </c>
      <c r="V119" s="263">
        <f t="shared" si="32"/>
        <v>25411</v>
      </c>
      <c r="W119" s="262">
        <v>1</v>
      </c>
      <c r="X119" s="263">
        <f t="shared" si="33"/>
        <v>25411</v>
      </c>
      <c r="Y119" s="263">
        <f t="shared" si="34"/>
        <v>25411</v>
      </c>
      <c r="Z119" s="263">
        <f t="shared" si="35"/>
        <v>0</v>
      </c>
      <c r="AA119" s="263">
        <f t="shared" si="36"/>
        <v>2008.9166666666667</v>
      </c>
      <c r="AB119" s="263">
        <f t="shared" si="37"/>
        <v>2020.75</v>
      </c>
      <c r="AC119" s="263">
        <f t="shared" si="38"/>
        <v>2018.9166666666667</v>
      </c>
      <c r="AD119" s="264">
        <f t="shared" si="39"/>
        <v>2019.75</v>
      </c>
      <c r="AE119" s="264">
        <f t="shared" si="40"/>
        <v>-8.3333333333333329E-2</v>
      </c>
      <c r="AF119" s="264">
        <f t="shared" si="41"/>
        <v>2018.9166666666667</v>
      </c>
      <c r="AG119" s="264">
        <f t="shared" si="42"/>
        <v>2019.75</v>
      </c>
      <c r="AH119" s="264">
        <f t="shared" si="43"/>
        <v>-8.3333333333333329E-2</v>
      </c>
    </row>
    <row r="120" spans="1:34">
      <c r="A120" s="257">
        <v>120</v>
      </c>
      <c r="B120" s="257" t="s">
        <v>405</v>
      </c>
      <c r="C120" s="258">
        <v>2008</v>
      </c>
      <c r="D120" s="259">
        <v>11</v>
      </c>
      <c r="E120" s="269"/>
      <c r="F120" s="261" t="s">
        <v>258</v>
      </c>
      <c r="G120" s="261">
        <v>10</v>
      </c>
      <c r="H120" s="259">
        <f t="shared" si="24"/>
        <v>2018</v>
      </c>
      <c r="I120" s="262"/>
      <c r="J120" s="262"/>
      <c r="K120" s="263">
        <v>24619</v>
      </c>
      <c r="L120" s="262"/>
      <c r="M120" s="263">
        <f t="shared" si="25"/>
        <v>24619</v>
      </c>
      <c r="N120" s="263">
        <f t="shared" si="26"/>
        <v>205.15833333333333</v>
      </c>
      <c r="O120" s="263">
        <f t="shared" si="27"/>
        <v>0</v>
      </c>
      <c r="P120" s="263">
        <f t="shared" si="28"/>
        <v>0</v>
      </c>
      <c r="Q120" s="263">
        <f t="shared" si="29"/>
        <v>0</v>
      </c>
      <c r="R120" s="262">
        <v>1</v>
      </c>
      <c r="S120" s="263">
        <f t="shared" si="30"/>
        <v>0</v>
      </c>
      <c r="T120" s="262"/>
      <c r="U120" s="263">
        <f t="shared" si="31"/>
        <v>24619</v>
      </c>
      <c r="V120" s="263">
        <f t="shared" si="32"/>
        <v>24619</v>
      </c>
      <c r="W120" s="262">
        <v>1</v>
      </c>
      <c r="X120" s="263">
        <f t="shared" si="33"/>
        <v>24619</v>
      </c>
      <c r="Y120" s="263">
        <f t="shared" si="34"/>
        <v>24619</v>
      </c>
      <c r="Z120" s="263">
        <f t="shared" si="35"/>
        <v>0</v>
      </c>
      <c r="AA120" s="263">
        <f t="shared" si="36"/>
        <v>2008.8333333333333</v>
      </c>
      <c r="AB120" s="263">
        <f t="shared" si="37"/>
        <v>2020.75</v>
      </c>
      <c r="AC120" s="263">
        <f t="shared" si="38"/>
        <v>2018.8333333333333</v>
      </c>
      <c r="AD120" s="264">
        <f t="shared" si="39"/>
        <v>2019.75</v>
      </c>
      <c r="AE120" s="264">
        <f t="shared" si="40"/>
        <v>-8.3333333333333329E-2</v>
      </c>
      <c r="AF120" s="264">
        <f t="shared" si="41"/>
        <v>2018.8333333333333</v>
      </c>
      <c r="AG120" s="264">
        <f t="shared" si="42"/>
        <v>2019.75</v>
      </c>
      <c r="AH120" s="264">
        <f t="shared" si="43"/>
        <v>-8.3333333333333329E-2</v>
      </c>
    </row>
    <row r="121" spans="1:34">
      <c r="A121" s="257">
        <v>97</v>
      </c>
      <c r="B121" s="257" t="s">
        <v>406</v>
      </c>
      <c r="C121" s="258">
        <v>2012</v>
      </c>
      <c r="D121" s="259">
        <v>1</v>
      </c>
      <c r="E121" s="269"/>
      <c r="F121" s="261" t="s">
        <v>258</v>
      </c>
      <c r="G121" s="261">
        <v>10</v>
      </c>
      <c r="H121" s="259">
        <f t="shared" si="24"/>
        <v>2022</v>
      </c>
      <c r="I121" s="262"/>
      <c r="J121" s="262"/>
      <c r="K121" s="263">
        <v>9810</v>
      </c>
      <c r="L121" s="262"/>
      <c r="M121" s="263">
        <f t="shared" si="25"/>
        <v>9810</v>
      </c>
      <c r="N121" s="263">
        <f t="shared" si="26"/>
        <v>81.75</v>
      </c>
      <c r="O121" s="263">
        <f t="shared" si="27"/>
        <v>981</v>
      </c>
      <c r="P121" s="263">
        <f t="shared" si="28"/>
        <v>0</v>
      </c>
      <c r="Q121" s="263">
        <f t="shared" si="29"/>
        <v>981</v>
      </c>
      <c r="R121" s="262">
        <v>1</v>
      </c>
      <c r="S121" s="263">
        <f t="shared" si="30"/>
        <v>981</v>
      </c>
      <c r="T121" s="262"/>
      <c r="U121" s="263">
        <f t="shared" si="31"/>
        <v>7602.75</v>
      </c>
      <c r="V121" s="263">
        <f t="shared" si="32"/>
        <v>7602.75</v>
      </c>
      <c r="W121" s="262">
        <v>1</v>
      </c>
      <c r="X121" s="263">
        <f t="shared" si="33"/>
        <v>7602.75</v>
      </c>
      <c r="Y121" s="263">
        <f t="shared" si="34"/>
        <v>8583.75</v>
      </c>
      <c r="Z121" s="263">
        <f t="shared" si="35"/>
        <v>1716.75</v>
      </c>
      <c r="AA121" s="263">
        <f t="shared" si="36"/>
        <v>2012</v>
      </c>
      <c r="AB121" s="263">
        <f t="shared" si="37"/>
        <v>2020.75</v>
      </c>
      <c r="AC121" s="263">
        <f t="shared" si="38"/>
        <v>2022</v>
      </c>
      <c r="AD121" s="264">
        <f t="shared" si="39"/>
        <v>2019.75</v>
      </c>
      <c r="AE121" s="264">
        <f t="shared" si="40"/>
        <v>-8.3333333333333329E-2</v>
      </c>
      <c r="AF121" s="264">
        <f t="shared" si="41"/>
        <v>2022</v>
      </c>
      <c r="AG121" s="264">
        <f t="shared" si="42"/>
        <v>2019.75</v>
      </c>
      <c r="AH121" s="264">
        <f t="shared" si="43"/>
        <v>-8.3333333333333329E-2</v>
      </c>
    </row>
    <row r="122" spans="1:34">
      <c r="A122" s="257">
        <v>98</v>
      </c>
      <c r="B122" s="257" t="s">
        <v>407</v>
      </c>
      <c r="C122" s="258">
        <v>2012</v>
      </c>
      <c r="D122" s="259">
        <v>1</v>
      </c>
      <c r="E122" s="269"/>
      <c r="F122" s="261" t="s">
        <v>258</v>
      </c>
      <c r="G122" s="261">
        <v>10</v>
      </c>
      <c r="H122" s="259">
        <f t="shared" si="24"/>
        <v>2022</v>
      </c>
      <c r="I122" s="262"/>
      <c r="J122" s="262"/>
      <c r="K122" s="263">
        <v>19621</v>
      </c>
      <c r="L122" s="262"/>
      <c r="M122" s="263">
        <f t="shared" si="25"/>
        <v>19621</v>
      </c>
      <c r="N122" s="263">
        <f t="shared" si="26"/>
        <v>163.50833333333333</v>
      </c>
      <c r="O122" s="263">
        <f t="shared" si="27"/>
        <v>1962.1</v>
      </c>
      <c r="P122" s="263">
        <f t="shared" si="28"/>
        <v>0</v>
      </c>
      <c r="Q122" s="263">
        <f t="shared" si="29"/>
        <v>1962.1</v>
      </c>
      <c r="R122" s="262">
        <v>1</v>
      </c>
      <c r="S122" s="263">
        <f t="shared" si="30"/>
        <v>1962.1</v>
      </c>
      <c r="T122" s="262"/>
      <c r="U122" s="263">
        <f t="shared" si="31"/>
        <v>15206.275</v>
      </c>
      <c r="V122" s="263">
        <f t="shared" si="32"/>
        <v>15206.275</v>
      </c>
      <c r="W122" s="262">
        <v>1</v>
      </c>
      <c r="X122" s="263">
        <f t="shared" si="33"/>
        <v>15206.275</v>
      </c>
      <c r="Y122" s="263">
        <f t="shared" si="34"/>
        <v>17168.375</v>
      </c>
      <c r="Z122" s="263">
        <f t="shared" si="35"/>
        <v>3433.6750000000002</v>
      </c>
      <c r="AA122" s="263">
        <f t="shared" si="36"/>
        <v>2012</v>
      </c>
      <c r="AB122" s="263">
        <f t="shared" si="37"/>
        <v>2020.75</v>
      </c>
      <c r="AC122" s="263">
        <f t="shared" si="38"/>
        <v>2022</v>
      </c>
      <c r="AD122" s="264">
        <f t="shared" si="39"/>
        <v>2019.75</v>
      </c>
      <c r="AE122" s="264">
        <f t="shared" si="40"/>
        <v>-8.3333333333333329E-2</v>
      </c>
      <c r="AF122" s="264">
        <f t="shared" si="41"/>
        <v>2022</v>
      </c>
      <c r="AG122" s="264">
        <f t="shared" si="42"/>
        <v>2019.75</v>
      </c>
      <c r="AH122" s="264">
        <f t="shared" si="43"/>
        <v>-8.3333333333333329E-2</v>
      </c>
    </row>
    <row r="123" spans="1:34">
      <c r="A123" s="257">
        <v>99</v>
      </c>
      <c r="B123" s="257" t="s">
        <v>408</v>
      </c>
      <c r="C123" s="258">
        <v>2012</v>
      </c>
      <c r="D123" s="259">
        <v>10</v>
      </c>
      <c r="E123" s="269"/>
      <c r="F123" s="261" t="s">
        <v>258</v>
      </c>
      <c r="G123" s="261">
        <v>10</v>
      </c>
      <c r="H123" s="259">
        <f t="shared" si="24"/>
        <v>2022</v>
      </c>
      <c r="I123" s="262"/>
      <c r="J123" s="262"/>
      <c r="K123" s="263">
        <v>13252</v>
      </c>
      <c r="L123" s="262"/>
      <c r="M123" s="263">
        <f t="shared" si="25"/>
        <v>13252</v>
      </c>
      <c r="N123" s="263">
        <f t="shared" si="26"/>
        <v>110.43333333333334</v>
      </c>
      <c r="O123" s="263">
        <f t="shared" si="27"/>
        <v>1325.2</v>
      </c>
      <c r="P123" s="263">
        <f t="shared" si="28"/>
        <v>0</v>
      </c>
      <c r="Q123" s="263">
        <f t="shared" si="29"/>
        <v>1325.2</v>
      </c>
      <c r="R123" s="262">
        <v>1</v>
      </c>
      <c r="S123" s="263">
        <f t="shared" si="30"/>
        <v>1325.2</v>
      </c>
      <c r="T123" s="262"/>
      <c r="U123" s="263">
        <f t="shared" si="31"/>
        <v>9276.4</v>
      </c>
      <c r="V123" s="263">
        <f t="shared" si="32"/>
        <v>9276.4</v>
      </c>
      <c r="W123" s="262">
        <v>1</v>
      </c>
      <c r="X123" s="263">
        <f t="shared" si="33"/>
        <v>9276.4</v>
      </c>
      <c r="Y123" s="263">
        <f t="shared" si="34"/>
        <v>10601.6</v>
      </c>
      <c r="Z123" s="263">
        <f t="shared" si="35"/>
        <v>3313</v>
      </c>
      <c r="AA123" s="263">
        <f t="shared" si="36"/>
        <v>2012.75</v>
      </c>
      <c r="AB123" s="263">
        <f t="shared" si="37"/>
        <v>2020.75</v>
      </c>
      <c r="AC123" s="263">
        <f t="shared" si="38"/>
        <v>2022.75</v>
      </c>
      <c r="AD123" s="264">
        <f t="shared" si="39"/>
        <v>2019.75</v>
      </c>
      <c r="AE123" s="264">
        <f t="shared" si="40"/>
        <v>-8.3333333333333329E-2</v>
      </c>
      <c r="AF123" s="264">
        <f t="shared" si="41"/>
        <v>2022.75</v>
      </c>
      <c r="AG123" s="264">
        <f t="shared" si="42"/>
        <v>2019.75</v>
      </c>
      <c r="AH123" s="264">
        <f t="shared" si="43"/>
        <v>-8.3333333333333329E-2</v>
      </c>
    </row>
    <row r="124" spans="1:34">
      <c r="A124" s="257">
        <v>100</v>
      </c>
      <c r="B124" s="257" t="s">
        <v>409</v>
      </c>
      <c r="C124" s="258">
        <v>2012</v>
      </c>
      <c r="D124" s="259">
        <v>10</v>
      </c>
      <c r="E124" s="269"/>
      <c r="F124" s="261" t="s">
        <v>258</v>
      </c>
      <c r="G124" s="261">
        <v>10</v>
      </c>
      <c r="H124" s="259">
        <f t="shared" si="24"/>
        <v>2022</v>
      </c>
      <c r="I124" s="262"/>
      <c r="J124" s="262"/>
      <c r="K124" s="263">
        <v>12280</v>
      </c>
      <c r="L124" s="262"/>
      <c r="M124" s="263">
        <f t="shared" si="25"/>
        <v>12280</v>
      </c>
      <c r="N124" s="263">
        <f t="shared" si="26"/>
        <v>102.33333333333333</v>
      </c>
      <c r="O124" s="263">
        <f t="shared" si="27"/>
        <v>1228</v>
      </c>
      <c r="P124" s="263">
        <f t="shared" si="28"/>
        <v>0</v>
      </c>
      <c r="Q124" s="263">
        <f t="shared" si="29"/>
        <v>1228</v>
      </c>
      <c r="R124" s="262">
        <v>1</v>
      </c>
      <c r="S124" s="263">
        <f t="shared" si="30"/>
        <v>1228</v>
      </c>
      <c r="T124" s="262"/>
      <c r="U124" s="263">
        <f t="shared" si="31"/>
        <v>8596</v>
      </c>
      <c r="V124" s="263">
        <f t="shared" si="32"/>
        <v>8596</v>
      </c>
      <c r="W124" s="262">
        <v>1</v>
      </c>
      <c r="X124" s="263">
        <f t="shared" si="33"/>
        <v>8596</v>
      </c>
      <c r="Y124" s="263">
        <f t="shared" si="34"/>
        <v>9824</v>
      </c>
      <c r="Z124" s="263">
        <f t="shared" si="35"/>
        <v>3070</v>
      </c>
      <c r="AA124" s="263">
        <f t="shared" si="36"/>
        <v>2012.75</v>
      </c>
      <c r="AB124" s="263">
        <f t="shared" si="37"/>
        <v>2020.75</v>
      </c>
      <c r="AC124" s="263">
        <f t="shared" si="38"/>
        <v>2022.75</v>
      </c>
      <c r="AD124" s="264">
        <f t="shared" si="39"/>
        <v>2019.75</v>
      </c>
      <c r="AE124" s="264">
        <f t="shared" si="40"/>
        <v>-8.3333333333333329E-2</v>
      </c>
      <c r="AF124" s="264">
        <f t="shared" si="41"/>
        <v>2022.75</v>
      </c>
      <c r="AG124" s="264">
        <f t="shared" si="42"/>
        <v>2019.75</v>
      </c>
      <c r="AH124" s="264">
        <f t="shared" si="43"/>
        <v>-8.3333333333333329E-2</v>
      </c>
    </row>
    <row r="125" spans="1:34">
      <c r="A125" s="257">
        <v>107</v>
      </c>
      <c r="B125" s="257" t="s">
        <v>410</v>
      </c>
      <c r="C125" s="258">
        <v>2014</v>
      </c>
      <c r="D125" s="259">
        <v>8</v>
      </c>
      <c r="E125" s="269"/>
      <c r="F125" s="261" t="s">
        <v>258</v>
      </c>
      <c r="G125" s="261">
        <v>10</v>
      </c>
      <c r="H125" s="259">
        <f t="shared" si="24"/>
        <v>2024</v>
      </c>
      <c r="I125" s="262"/>
      <c r="J125" s="262"/>
      <c r="K125" s="263">
        <v>26505</v>
      </c>
      <c r="L125" s="262"/>
      <c r="M125" s="263">
        <f t="shared" si="25"/>
        <v>26505</v>
      </c>
      <c r="N125" s="263">
        <f t="shared" si="26"/>
        <v>220.875</v>
      </c>
      <c r="O125" s="263">
        <f t="shared" si="27"/>
        <v>2650.5</v>
      </c>
      <c r="P125" s="263">
        <f t="shared" si="28"/>
        <v>0</v>
      </c>
      <c r="Q125" s="263">
        <f t="shared" si="29"/>
        <v>2650.5</v>
      </c>
      <c r="R125" s="262">
        <v>1</v>
      </c>
      <c r="S125" s="263">
        <f t="shared" si="30"/>
        <v>2650.5</v>
      </c>
      <c r="T125" s="262"/>
      <c r="U125" s="263">
        <f t="shared" si="31"/>
        <v>13694.2500000002</v>
      </c>
      <c r="V125" s="263">
        <f t="shared" si="32"/>
        <v>13694.2500000002</v>
      </c>
      <c r="W125" s="262">
        <v>1</v>
      </c>
      <c r="X125" s="263">
        <f t="shared" si="33"/>
        <v>13694.2500000002</v>
      </c>
      <c r="Y125" s="263">
        <f t="shared" si="34"/>
        <v>16344.7500000002</v>
      </c>
      <c r="Z125" s="263">
        <f t="shared" si="35"/>
        <v>11485.4999999998</v>
      </c>
      <c r="AA125" s="263">
        <f t="shared" si="36"/>
        <v>2014.5833333333333</v>
      </c>
      <c r="AB125" s="263">
        <f t="shared" si="37"/>
        <v>2020.75</v>
      </c>
      <c r="AC125" s="263">
        <f t="shared" si="38"/>
        <v>2024.5833333333333</v>
      </c>
      <c r="AD125" s="264">
        <f t="shared" si="39"/>
        <v>2019.75</v>
      </c>
      <c r="AE125" s="264">
        <f t="shared" si="40"/>
        <v>-8.3333333333333329E-2</v>
      </c>
      <c r="AF125" s="264">
        <f t="shared" si="41"/>
        <v>2024.5833333333333</v>
      </c>
      <c r="AG125" s="264">
        <f t="shared" si="42"/>
        <v>2019.75</v>
      </c>
      <c r="AH125" s="264">
        <f t="shared" si="43"/>
        <v>-8.3333333333333329E-2</v>
      </c>
    </row>
    <row r="126" spans="1:34">
      <c r="A126" s="257">
        <v>113</v>
      </c>
      <c r="B126" s="257" t="s">
        <v>411</v>
      </c>
      <c r="C126" s="258">
        <v>2015</v>
      </c>
      <c r="D126" s="259">
        <v>10</v>
      </c>
      <c r="E126" s="269"/>
      <c r="F126" s="261" t="s">
        <v>258</v>
      </c>
      <c r="G126" s="261">
        <v>10</v>
      </c>
      <c r="H126" s="259">
        <f t="shared" si="24"/>
        <v>2025</v>
      </c>
      <c r="I126" s="262"/>
      <c r="J126" s="262"/>
      <c r="K126" s="263">
        <v>32100</v>
      </c>
      <c r="L126" s="262"/>
      <c r="M126" s="263">
        <f t="shared" si="25"/>
        <v>32100</v>
      </c>
      <c r="N126" s="263">
        <f t="shared" si="26"/>
        <v>267.5</v>
      </c>
      <c r="O126" s="263">
        <f t="shared" si="27"/>
        <v>3210</v>
      </c>
      <c r="P126" s="263">
        <f t="shared" si="28"/>
        <v>0</v>
      </c>
      <c r="Q126" s="263">
        <f t="shared" si="29"/>
        <v>3210</v>
      </c>
      <c r="R126" s="262">
        <v>1</v>
      </c>
      <c r="S126" s="263">
        <f t="shared" si="30"/>
        <v>3210</v>
      </c>
      <c r="T126" s="262"/>
      <c r="U126" s="263">
        <f t="shared" si="31"/>
        <v>12840</v>
      </c>
      <c r="V126" s="263">
        <f t="shared" si="32"/>
        <v>12840</v>
      </c>
      <c r="W126" s="262">
        <v>1</v>
      </c>
      <c r="X126" s="263">
        <f t="shared" si="33"/>
        <v>12840</v>
      </c>
      <c r="Y126" s="263">
        <f t="shared" si="34"/>
        <v>16050</v>
      </c>
      <c r="Z126" s="263">
        <f t="shared" si="35"/>
        <v>17655</v>
      </c>
      <c r="AA126" s="263">
        <f t="shared" si="36"/>
        <v>2015.75</v>
      </c>
      <c r="AB126" s="263">
        <f t="shared" si="37"/>
        <v>2020.75</v>
      </c>
      <c r="AC126" s="263">
        <f t="shared" si="38"/>
        <v>2025.75</v>
      </c>
      <c r="AD126" s="264">
        <f t="shared" si="39"/>
        <v>2019.75</v>
      </c>
      <c r="AE126" s="264">
        <f t="shared" si="40"/>
        <v>-8.3333333333333329E-2</v>
      </c>
      <c r="AF126" s="264">
        <f t="shared" si="41"/>
        <v>2025.75</v>
      </c>
      <c r="AG126" s="264">
        <f t="shared" si="42"/>
        <v>2019.75</v>
      </c>
      <c r="AH126" s="264">
        <f t="shared" si="43"/>
        <v>-8.3333333333333329E-2</v>
      </c>
    </row>
    <row r="127" spans="1:34">
      <c r="A127" s="257">
        <v>114</v>
      </c>
      <c r="B127" s="257" t="s">
        <v>412</v>
      </c>
      <c r="C127" s="258">
        <v>2015</v>
      </c>
      <c r="D127" s="259">
        <v>12</v>
      </c>
      <c r="E127" s="269"/>
      <c r="F127" s="261" t="s">
        <v>258</v>
      </c>
      <c r="G127" s="261">
        <v>10</v>
      </c>
      <c r="H127" s="259">
        <f t="shared" si="24"/>
        <v>2025</v>
      </c>
      <c r="I127" s="262"/>
      <c r="J127" s="262"/>
      <c r="K127" s="263">
        <v>26100</v>
      </c>
      <c r="L127" s="262"/>
      <c r="M127" s="263">
        <f t="shared" si="25"/>
        <v>26100</v>
      </c>
      <c r="N127" s="263">
        <f t="shared" si="26"/>
        <v>217.5</v>
      </c>
      <c r="O127" s="263">
        <f t="shared" si="27"/>
        <v>2610</v>
      </c>
      <c r="P127" s="263">
        <f t="shared" si="28"/>
        <v>0</v>
      </c>
      <c r="Q127" s="263">
        <f t="shared" si="29"/>
        <v>2610</v>
      </c>
      <c r="R127" s="262">
        <v>1</v>
      </c>
      <c r="S127" s="263">
        <f t="shared" si="30"/>
        <v>2610</v>
      </c>
      <c r="T127" s="262"/>
      <c r="U127" s="263">
        <f t="shared" si="31"/>
        <v>10004.999999999802</v>
      </c>
      <c r="V127" s="263">
        <f t="shared" si="32"/>
        <v>10004.999999999802</v>
      </c>
      <c r="W127" s="262">
        <v>1</v>
      </c>
      <c r="X127" s="263">
        <f t="shared" si="33"/>
        <v>10004.999999999802</v>
      </c>
      <c r="Y127" s="263">
        <f t="shared" si="34"/>
        <v>12614.999999999802</v>
      </c>
      <c r="Z127" s="263">
        <f t="shared" si="35"/>
        <v>14790.000000000198</v>
      </c>
      <c r="AA127" s="263">
        <f t="shared" si="36"/>
        <v>2015.9166666666667</v>
      </c>
      <c r="AB127" s="263">
        <f t="shared" si="37"/>
        <v>2020.75</v>
      </c>
      <c r="AC127" s="263">
        <f t="shared" si="38"/>
        <v>2025.9166666666667</v>
      </c>
      <c r="AD127" s="264">
        <f t="shared" si="39"/>
        <v>2019.75</v>
      </c>
      <c r="AE127" s="264">
        <f t="shared" si="40"/>
        <v>-8.3333333333333329E-2</v>
      </c>
      <c r="AF127" s="264">
        <f t="shared" si="41"/>
        <v>2025.9166666666667</v>
      </c>
      <c r="AG127" s="264">
        <f t="shared" si="42"/>
        <v>2019.75</v>
      </c>
      <c r="AH127" s="264">
        <f t="shared" si="43"/>
        <v>-8.3333333333333329E-2</v>
      </c>
    </row>
    <row r="128" spans="1:34">
      <c r="A128" s="257">
        <v>116</v>
      </c>
      <c r="B128" s="257" t="s">
        <v>413</v>
      </c>
      <c r="C128" s="258">
        <v>2016</v>
      </c>
      <c r="D128" s="259">
        <v>7</v>
      </c>
      <c r="E128" s="269"/>
      <c r="F128" s="261" t="s">
        <v>258</v>
      </c>
      <c r="G128" s="261">
        <v>10</v>
      </c>
      <c r="H128" s="259">
        <f t="shared" si="24"/>
        <v>2026</v>
      </c>
      <c r="I128" s="262"/>
      <c r="J128" s="262"/>
      <c r="K128" s="263">
        <v>14835</v>
      </c>
      <c r="L128" s="262"/>
      <c r="M128" s="263">
        <f t="shared" si="25"/>
        <v>14835</v>
      </c>
      <c r="N128" s="263">
        <f t="shared" si="26"/>
        <v>123.625</v>
      </c>
      <c r="O128" s="263">
        <f t="shared" si="27"/>
        <v>1483.5</v>
      </c>
      <c r="P128" s="263">
        <f t="shared" si="28"/>
        <v>0</v>
      </c>
      <c r="Q128" s="263">
        <f t="shared" si="29"/>
        <v>1483.5</v>
      </c>
      <c r="R128" s="262">
        <v>1</v>
      </c>
      <c r="S128" s="263">
        <f t="shared" si="30"/>
        <v>1483.5</v>
      </c>
      <c r="T128" s="262"/>
      <c r="U128" s="263">
        <f t="shared" si="31"/>
        <v>4821.375</v>
      </c>
      <c r="V128" s="263">
        <f t="shared" si="32"/>
        <v>4821.375</v>
      </c>
      <c r="W128" s="262">
        <v>1</v>
      </c>
      <c r="X128" s="263">
        <f t="shared" si="33"/>
        <v>4821.375</v>
      </c>
      <c r="Y128" s="263">
        <f t="shared" si="34"/>
        <v>6304.875</v>
      </c>
      <c r="Z128" s="263">
        <f t="shared" si="35"/>
        <v>9271.875</v>
      </c>
      <c r="AA128" s="263">
        <f t="shared" si="36"/>
        <v>2016.5</v>
      </c>
      <c r="AB128" s="263">
        <f t="shared" si="37"/>
        <v>2020.75</v>
      </c>
      <c r="AC128" s="263">
        <f t="shared" si="38"/>
        <v>2026.5</v>
      </c>
      <c r="AD128" s="264">
        <f t="shared" si="39"/>
        <v>2019.75</v>
      </c>
      <c r="AE128" s="264">
        <f t="shared" si="40"/>
        <v>-8.3333333333333329E-2</v>
      </c>
      <c r="AF128" s="264">
        <f t="shared" si="41"/>
        <v>2026.5</v>
      </c>
      <c r="AG128" s="264">
        <f t="shared" si="42"/>
        <v>2019.75</v>
      </c>
      <c r="AH128" s="264">
        <f t="shared" si="43"/>
        <v>-8.3333333333333329E-2</v>
      </c>
    </row>
    <row r="129" spans="1:34">
      <c r="A129" s="257">
        <v>118</v>
      </c>
      <c r="B129" s="257" t="s">
        <v>414</v>
      </c>
      <c r="C129" s="258">
        <v>2017</v>
      </c>
      <c r="D129" s="259">
        <v>5</v>
      </c>
      <c r="E129" s="269"/>
      <c r="F129" s="261" t="s">
        <v>258</v>
      </c>
      <c r="G129" s="261">
        <v>10</v>
      </c>
      <c r="H129" s="259">
        <f t="shared" si="24"/>
        <v>2027</v>
      </c>
      <c r="I129" s="262"/>
      <c r="J129" s="262"/>
      <c r="K129" s="263">
        <v>26605</v>
      </c>
      <c r="L129" s="262"/>
      <c r="M129" s="263">
        <f t="shared" si="25"/>
        <v>26605</v>
      </c>
      <c r="N129" s="263">
        <f t="shared" si="26"/>
        <v>221.70833333333334</v>
      </c>
      <c r="O129" s="263">
        <f t="shared" si="27"/>
        <v>2660.5</v>
      </c>
      <c r="P129" s="263">
        <f t="shared" si="28"/>
        <v>0</v>
      </c>
      <c r="Q129" s="263">
        <f t="shared" si="29"/>
        <v>2660.5</v>
      </c>
      <c r="R129" s="262">
        <v>1</v>
      </c>
      <c r="S129" s="263">
        <f t="shared" si="30"/>
        <v>2660.5</v>
      </c>
      <c r="T129" s="262"/>
      <c r="U129" s="263">
        <f t="shared" si="31"/>
        <v>6429.5416666668689</v>
      </c>
      <c r="V129" s="263">
        <f t="shared" si="32"/>
        <v>6429.5416666668689</v>
      </c>
      <c r="W129" s="262">
        <v>1</v>
      </c>
      <c r="X129" s="263">
        <f t="shared" si="33"/>
        <v>6429.5416666668689</v>
      </c>
      <c r="Y129" s="263">
        <f t="shared" si="34"/>
        <v>9090.041666666868</v>
      </c>
      <c r="Z129" s="263">
        <f t="shared" si="35"/>
        <v>18845.208333333132</v>
      </c>
      <c r="AA129" s="263">
        <f t="shared" si="36"/>
        <v>2017.3333333333333</v>
      </c>
      <c r="AB129" s="263">
        <f t="shared" si="37"/>
        <v>2020.75</v>
      </c>
      <c r="AC129" s="263">
        <f t="shared" si="38"/>
        <v>2027.3333333333333</v>
      </c>
      <c r="AD129" s="264">
        <f t="shared" si="39"/>
        <v>2019.75</v>
      </c>
      <c r="AE129" s="264">
        <f t="shared" si="40"/>
        <v>-8.3333333333333329E-2</v>
      </c>
      <c r="AF129" s="264">
        <f t="shared" si="41"/>
        <v>2027.3333333333333</v>
      </c>
      <c r="AG129" s="264">
        <f t="shared" si="42"/>
        <v>2019.75</v>
      </c>
      <c r="AH129" s="264">
        <f t="shared" si="43"/>
        <v>-8.3333333333333329E-2</v>
      </c>
    </row>
    <row r="130" spans="1:34">
      <c r="A130" s="257">
        <v>122</v>
      </c>
      <c r="B130" s="257" t="s">
        <v>415</v>
      </c>
      <c r="C130" s="258">
        <v>2018</v>
      </c>
      <c r="D130" s="259">
        <v>6</v>
      </c>
      <c r="E130" s="269"/>
      <c r="F130" s="261" t="s">
        <v>258</v>
      </c>
      <c r="G130" s="261">
        <v>10</v>
      </c>
      <c r="H130" s="259">
        <f t="shared" si="24"/>
        <v>2028</v>
      </c>
      <c r="I130" s="262"/>
      <c r="J130" s="262"/>
      <c r="K130" s="263">
        <v>27490</v>
      </c>
      <c r="L130" s="262"/>
      <c r="M130" s="263">
        <f t="shared" si="25"/>
        <v>27490</v>
      </c>
      <c r="N130" s="263">
        <f t="shared" si="26"/>
        <v>229.08333333333334</v>
      </c>
      <c r="O130" s="263">
        <f t="shared" si="27"/>
        <v>2749</v>
      </c>
      <c r="P130" s="263">
        <f t="shared" si="28"/>
        <v>0</v>
      </c>
      <c r="Q130" s="263">
        <f t="shared" si="29"/>
        <v>2749</v>
      </c>
      <c r="R130" s="262">
        <v>1</v>
      </c>
      <c r="S130" s="263">
        <f t="shared" si="30"/>
        <v>2749</v>
      </c>
      <c r="T130" s="262"/>
      <c r="U130" s="263">
        <f t="shared" si="31"/>
        <v>3665.3333333331252</v>
      </c>
      <c r="V130" s="263">
        <f t="shared" si="32"/>
        <v>3665.3333333331252</v>
      </c>
      <c r="W130" s="262">
        <v>1</v>
      </c>
      <c r="X130" s="263">
        <f t="shared" si="33"/>
        <v>3665.3333333331252</v>
      </c>
      <c r="Y130" s="263">
        <f t="shared" si="34"/>
        <v>6414.3333333331248</v>
      </c>
      <c r="Z130" s="263">
        <f t="shared" si="35"/>
        <v>22450.166666666875</v>
      </c>
      <c r="AA130" s="263">
        <f t="shared" si="36"/>
        <v>2018.4166666666667</v>
      </c>
      <c r="AB130" s="263">
        <f t="shared" si="37"/>
        <v>2020.75</v>
      </c>
      <c r="AC130" s="263">
        <f t="shared" si="38"/>
        <v>2028.4166666666667</v>
      </c>
      <c r="AD130" s="264">
        <f t="shared" si="39"/>
        <v>2019.75</v>
      </c>
      <c r="AE130" s="264">
        <f t="shared" si="40"/>
        <v>-8.3333333333333329E-2</v>
      </c>
      <c r="AF130" s="264">
        <f t="shared" si="41"/>
        <v>2028.4166666666667</v>
      </c>
      <c r="AG130" s="264">
        <f t="shared" si="42"/>
        <v>2019.75</v>
      </c>
      <c r="AH130" s="264">
        <f t="shared" si="43"/>
        <v>-8.3333333333333329E-2</v>
      </c>
    </row>
    <row r="131" spans="1:34">
      <c r="A131" s="257">
        <v>123</v>
      </c>
      <c r="B131" s="257" t="s">
        <v>416</v>
      </c>
      <c r="C131" s="258">
        <v>2018</v>
      </c>
      <c r="D131" s="259">
        <v>6</v>
      </c>
      <c r="E131" s="269"/>
      <c r="F131" s="261" t="s">
        <v>258</v>
      </c>
      <c r="G131" s="261">
        <v>10</v>
      </c>
      <c r="H131" s="259">
        <f t="shared" si="24"/>
        <v>2028</v>
      </c>
      <c r="I131" s="262"/>
      <c r="J131" s="262"/>
      <c r="K131" s="263">
        <v>22560</v>
      </c>
      <c r="L131" s="262"/>
      <c r="M131" s="263">
        <f t="shared" si="25"/>
        <v>22560</v>
      </c>
      <c r="N131" s="263">
        <f t="shared" si="26"/>
        <v>188</v>
      </c>
      <c r="O131" s="263">
        <f t="shared" si="27"/>
        <v>2256</v>
      </c>
      <c r="P131" s="263">
        <f t="shared" si="28"/>
        <v>0</v>
      </c>
      <c r="Q131" s="263">
        <f t="shared" si="29"/>
        <v>2256</v>
      </c>
      <c r="R131" s="262">
        <v>1</v>
      </c>
      <c r="S131" s="263">
        <f t="shared" si="30"/>
        <v>2256</v>
      </c>
      <c r="T131" s="262"/>
      <c r="U131" s="263">
        <f t="shared" si="31"/>
        <v>3007.999999999829</v>
      </c>
      <c r="V131" s="263">
        <f t="shared" si="32"/>
        <v>3007.999999999829</v>
      </c>
      <c r="W131" s="262">
        <v>1</v>
      </c>
      <c r="X131" s="263">
        <f t="shared" si="33"/>
        <v>3007.999999999829</v>
      </c>
      <c r="Y131" s="263">
        <f t="shared" si="34"/>
        <v>5263.999999999829</v>
      </c>
      <c r="Z131" s="263">
        <f t="shared" si="35"/>
        <v>18424.000000000171</v>
      </c>
      <c r="AA131" s="263">
        <f t="shared" si="36"/>
        <v>2018.4166666666667</v>
      </c>
      <c r="AB131" s="263">
        <f t="shared" si="37"/>
        <v>2020.75</v>
      </c>
      <c r="AC131" s="263">
        <f t="shared" si="38"/>
        <v>2028.4166666666667</v>
      </c>
      <c r="AD131" s="264">
        <f t="shared" si="39"/>
        <v>2019.75</v>
      </c>
      <c r="AE131" s="264">
        <f t="shared" si="40"/>
        <v>-8.3333333333333329E-2</v>
      </c>
      <c r="AF131" s="264">
        <f t="shared" si="41"/>
        <v>2028.4166666666667</v>
      </c>
      <c r="AG131" s="264">
        <f t="shared" si="42"/>
        <v>2019.75</v>
      </c>
      <c r="AH131" s="264">
        <f t="shared" si="43"/>
        <v>-8.3333333333333329E-2</v>
      </c>
    </row>
    <row r="132" spans="1:34">
      <c r="A132" s="257">
        <v>124</v>
      </c>
      <c r="B132" s="257" t="s">
        <v>417</v>
      </c>
      <c r="C132" s="258">
        <v>2018</v>
      </c>
      <c r="D132" s="259">
        <v>6</v>
      </c>
      <c r="E132" s="269"/>
      <c r="F132" s="261" t="s">
        <v>258</v>
      </c>
      <c r="G132" s="261">
        <v>10</v>
      </c>
      <c r="H132" s="259">
        <f t="shared" si="24"/>
        <v>2028</v>
      </c>
      <c r="I132" s="262"/>
      <c r="J132" s="262"/>
      <c r="K132" s="263">
        <v>6290</v>
      </c>
      <c r="L132" s="262"/>
      <c r="M132" s="263">
        <f t="shared" si="25"/>
        <v>6290</v>
      </c>
      <c r="N132" s="263">
        <f t="shared" si="26"/>
        <v>52.416666666666664</v>
      </c>
      <c r="O132" s="263">
        <f t="shared" si="27"/>
        <v>629</v>
      </c>
      <c r="P132" s="263">
        <f t="shared" si="28"/>
        <v>0</v>
      </c>
      <c r="Q132" s="263">
        <f t="shared" si="29"/>
        <v>629</v>
      </c>
      <c r="R132" s="262">
        <v>1</v>
      </c>
      <c r="S132" s="263">
        <f t="shared" si="30"/>
        <v>629</v>
      </c>
      <c r="T132" s="262"/>
      <c r="U132" s="263">
        <f t="shared" si="31"/>
        <v>838.66666666661899</v>
      </c>
      <c r="V132" s="263">
        <f t="shared" si="32"/>
        <v>838.66666666661899</v>
      </c>
      <c r="W132" s="262">
        <v>1</v>
      </c>
      <c r="X132" s="263">
        <f t="shared" si="33"/>
        <v>838.66666666661899</v>
      </c>
      <c r="Y132" s="263">
        <f t="shared" si="34"/>
        <v>1467.666666666619</v>
      </c>
      <c r="Z132" s="263">
        <f t="shared" si="35"/>
        <v>5136.8333333333812</v>
      </c>
      <c r="AA132" s="263">
        <f t="shared" si="36"/>
        <v>2018.4166666666667</v>
      </c>
      <c r="AB132" s="263">
        <f t="shared" si="37"/>
        <v>2020.75</v>
      </c>
      <c r="AC132" s="263">
        <f t="shared" si="38"/>
        <v>2028.4166666666667</v>
      </c>
      <c r="AD132" s="264">
        <f t="shared" si="39"/>
        <v>2019.75</v>
      </c>
      <c r="AE132" s="264">
        <f t="shared" si="40"/>
        <v>-8.3333333333333329E-2</v>
      </c>
      <c r="AF132" s="264">
        <f t="shared" si="41"/>
        <v>2028.4166666666667</v>
      </c>
      <c r="AG132" s="264">
        <f t="shared" si="42"/>
        <v>2019.75</v>
      </c>
      <c r="AH132" s="264">
        <f t="shared" si="43"/>
        <v>-8.3333333333333329E-2</v>
      </c>
    </row>
    <row r="133" spans="1:34">
      <c r="A133" s="257">
        <v>126</v>
      </c>
      <c r="B133" s="257" t="s">
        <v>418</v>
      </c>
      <c r="C133" s="258">
        <v>2018</v>
      </c>
      <c r="D133" s="259">
        <v>11</v>
      </c>
      <c r="E133" s="269"/>
      <c r="F133" s="261" t="s">
        <v>258</v>
      </c>
      <c r="G133" s="261">
        <v>10</v>
      </c>
      <c r="H133" s="259">
        <f t="shared" si="24"/>
        <v>2028</v>
      </c>
      <c r="I133" s="262"/>
      <c r="J133" s="262"/>
      <c r="K133" s="263">
        <v>40622</v>
      </c>
      <c r="L133" s="262"/>
      <c r="M133" s="263">
        <f t="shared" si="25"/>
        <v>40622</v>
      </c>
      <c r="N133" s="263">
        <f t="shared" si="26"/>
        <v>338.51666666666665</v>
      </c>
      <c r="O133" s="263">
        <f t="shared" si="27"/>
        <v>4062.2</v>
      </c>
      <c r="P133" s="263">
        <f t="shared" si="28"/>
        <v>0</v>
      </c>
      <c r="Q133" s="263">
        <f t="shared" si="29"/>
        <v>4062.2</v>
      </c>
      <c r="R133" s="262">
        <v>1</v>
      </c>
      <c r="S133" s="263">
        <f t="shared" si="30"/>
        <v>4062.2</v>
      </c>
      <c r="T133" s="262"/>
      <c r="U133" s="263">
        <f t="shared" si="31"/>
        <v>3723.6833333336413</v>
      </c>
      <c r="V133" s="263">
        <f t="shared" si="32"/>
        <v>3723.6833333336413</v>
      </c>
      <c r="W133" s="262">
        <v>1</v>
      </c>
      <c r="X133" s="263">
        <f t="shared" si="33"/>
        <v>3723.6833333336413</v>
      </c>
      <c r="Y133" s="263">
        <f t="shared" si="34"/>
        <v>7785.8833333336406</v>
      </c>
      <c r="Z133" s="263">
        <f t="shared" si="35"/>
        <v>34867.216666666362</v>
      </c>
      <c r="AA133" s="263">
        <f t="shared" si="36"/>
        <v>2018.8333333333333</v>
      </c>
      <c r="AB133" s="263">
        <f t="shared" si="37"/>
        <v>2020.75</v>
      </c>
      <c r="AC133" s="263">
        <f t="shared" si="38"/>
        <v>2028.8333333333333</v>
      </c>
      <c r="AD133" s="264">
        <f t="shared" si="39"/>
        <v>2019.75</v>
      </c>
      <c r="AE133" s="264">
        <f t="shared" si="40"/>
        <v>-8.3333333333333329E-2</v>
      </c>
      <c r="AF133" s="264">
        <f t="shared" si="41"/>
        <v>2028.8333333333333</v>
      </c>
      <c r="AG133" s="264">
        <f t="shared" si="42"/>
        <v>2019.75</v>
      </c>
      <c r="AH133" s="264">
        <f t="shared" si="43"/>
        <v>-8.3333333333333329E-2</v>
      </c>
    </row>
    <row r="134" spans="1:34">
      <c r="A134" s="257">
        <v>127</v>
      </c>
      <c r="B134" s="257" t="s">
        <v>419</v>
      </c>
      <c r="C134" s="258">
        <v>2019</v>
      </c>
      <c r="D134" s="259">
        <v>5</v>
      </c>
      <c r="E134" s="269"/>
      <c r="F134" s="261" t="s">
        <v>258</v>
      </c>
      <c r="G134" s="261">
        <v>10</v>
      </c>
      <c r="H134" s="259">
        <f t="shared" si="24"/>
        <v>2029</v>
      </c>
      <c r="I134" s="262"/>
      <c r="J134" s="262"/>
      <c r="K134" s="263">
        <v>14543</v>
      </c>
      <c r="L134" s="262"/>
      <c r="M134" s="263">
        <f t="shared" si="25"/>
        <v>14543</v>
      </c>
      <c r="N134" s="263">
        <f t="shared" si="26"/>
        <v>121.19166666666666</v>
      </c>
      <c r="O134" s="263">
        <f t="shared" si="27"/>
        <v>1454.3</v>
      </c>
      <c r="P134" s="263">
        <f t="shared" si="28"/>
        <v>0</v>
      </c>
      <c r="Q134" s="263">
        <f t="shared" si="29"/>
        <v>1454.3</v>
      </c>
      <c r="R134" s="262">
        <v>1</v>
      </c>
      <c r="S134" s="263">
        <f t="shared" si="30"/>
        <v>1454.3</v>
      </c>
      <c r="T134" s="262"/>
      <c r="U134" s="263">
        <f t="shared" si="31"/>
        <v>605.95833333344353</v>
      </c>
      <c r="V134" s="263">
        <f t="shared" si="32"/>
        <v>605.95833333344353</v>
      </c>
      <c r="W134" s="262">
        <v>1</v>
      </c>
      <c r="X134" s="263">
        <f t="shared" si="33"/>
        <v>605.95833333344353</v>
      </c>
      <c r="Y134" s="263">
        <f t="shared" si="34"/>
        <v>2060.2583333334433</v>
      </c>
      <c r="Z134" s="263">
        <f t="shared" si="35"/>
        <v>13209.891666666557</v>
      </c>
      <c r="AA134" s="263">
        <f t="shared" si="36"/>
        <v>2019.3333333333333</v>
      </c>
      <c r="AB134" s="263">
        <f t="shared" si="37"/>
        <v>2020.75</v>
      </c>
      <c r="AC134" s="263">
        <f t="shared" si="38"/>
        <v>2029.3333333333333</v>
      </c>
      <c r="AD134" s="264">
        <f t="shared" si="39"/>
        <v>2019.75</v>
      </c>
      <c r="AE134" s="264">
        <f t="shared" si="40"/>
        <v>-8.3333333333333329E-2</v>
      </c>
      <c r="AF134" s="264">
        <f t="shared" si="41"/>
        <v>2029.3333333333333</v>
      </c>
      <c r="AG134" s="264">
        <f t="shared" si="42"/>
        <v>2019.75</v>
      </c>
      <c r="AH134" s="264">
        <f t="shared" si="43"/>
        <v>-8.3333333333333329E-2</v>
      </c>
    </row>
    <row r="135" spans="1:34">
      <c r="A135" s="257">
        <v>128</v>
      </c>
      <c r="B135" s="257" t="s">
        <v>420</v>
      </c>
      <c r="C135" s="258">
        <v>2019</v>
      </c>
      <c r="D135" s="259">
        <v>9</v>
      </c>
      <c r="E135" s="269"/>
      <c r="F135" s="261" t="s">
        <v>258</v>
      </c>
      <c r="G135" s="261">
        <v>10</v>
      </c>
      <c r="H135" s="259">
        <f t="shared" si="24"/>
        <v>2029</v>
      </c>
      <c r="I135" s="262"/>
      <c r="J135" s="262"/>
      <c r="K135" s="263">
        <v>27835</v>
      </c>
      <c r="L135" s="262"/>
      <c r="M135" s="263">
        <f t="shared" si="25"/>
        <v>27835</v>
      </c>
      <c r="N135" s="263">
        <f t="shared" si="26"/>
        <v>231.95833333333334</v>
      </c>
      <c r="O135" s="263">
        <f t="shared" si="27"/>
        <v>2783.5</v>
      </c>
      <c r="P135" s="263">
        <f t="shared" si="28"/>
        <v>0</v>
      </c>
      <c r="Q135" s="263">
        <f t="shared" si="29"/>
        <v>2783.5</v>
      </c>
      <c r="R135" s="262">
        <v>1</v>
      </c>
      <c r="S135" s="263">
        <f t="shared" si="30"/>
        <v>2783.5</v>
      </c>
      <c r="T135" s="262"/>
      <c r="U135" s="263">
        <f t="shared" si="31"/>
        <v>231.95833333312237</v>
      </c>
      <c r="V135" s="263">
        <f t="shared" si="32"/>
        <v>231.95833333312237</v>
      </c>
      <c r="W135" s="262">
        <v>1</v>
      </c>
      <c r="X135" s="263">
        <f t="shared" si="33"/>
        <v>231.95833333312237</v>
      </c>
      <c r="Y135" s="263">
        <f t="shared" si="34"/>
        <v>3015.4583333331225</v>
      </c>
      <c r="Z135" s="263">
        <f t="shared" si="35"/>
        <v>26211.291666666879</v>
      </c>
      <c r="AA135" s="263">
        <f t="shared" si="36"/>
        <v>2019.6666666666667</v>
      </c>
      <c r="AB135" s="263">
        <f t="shared" si="37"/>
        <v>2020.75</v>
      </c>
      <c r="AC135" s="263">
        <f t="shared" si="38"/>
        <v>2029.6666666666667</v>
      </c>
      <c r="AD135" s="264">
        <f t="shared" si="39"/>
        <v>2019.75</v>
      </c>
      <c r="AE135" s="264">
        <f t="shared" si="40"/>
        <v>-8.3333333333333329E-2</v>
      </c>
      <c r="AF135" s="264">
        <f t="shared" si="41"/>
        <v>2029.6666666666667</v>
      </c>
      <c r="AG135" s="264">
        <f t="shared" si="42"/>
        <v>2019.75</v>
      </c>
      <c r="AH135" s="264">
        <f t="shared" si="43"/>
        <v>-8.3333333333333329E-2</v>
      </c>
    </row>
    <row r="136" spans="1:34">
      <c r="A136" s="257">
        <v>129</v>
      </c>
      <c r="B136" s="257" t="s">
        <v>421</v>
      </c>
      <c r="C136" s="258">
        <v>2019</v>
      </c>
      <c r="D136" s="259">
        <v>10</v>
      </c>
      <c r="E136" s="269"/>
      <c r="F136" s="261" t="s">
        <v>258</v>
      </c>
      <c r="G136" s="261">
        <v>10</v>
      </c>
      <c r="H136" s="259">
        <f t="shared" si="24"/>
        <v>2029</v>
      </c>
      <c r="I136" s="262"/>
      <c r="J136" s="262"/>
      <c r="K136" s="263">
        <v>110127</v>
      </c>
      <c r="L136" s="262"/>
      <c r="M136" s="263">
        <f t="shared" si="25"/>
        <v>110127</v>
      </c>
      <c r="N136" s="263">
        <f t="shared" si="26"/>
        <v>917.72500000000002</v>
      </c>
      <c r="O136" s="263">
        <f t="shared" si="27"/>
        <v>11012.7</v>
      </c>
      <c r="P136" s="263">
        <f t="shared" si="28"/>
        <v>0</v>
      </c>
      <c r="Q136" s="263">
        <f t="shared" si="29"/>
        <v>11012.7</v>
      </c>
      <c r="R136" s="262">
        <v>1</v>
      </c>
      <c r="S136" s="263">
        <f t="shared" si="30"/>
        <v>11012.7</v>
      </c>
      <c r="T136" s="262"/>
      <c r="U136" s="263">
        <f t="shared" si="31"/>
        <v>0</v>
      </c>
      <c r="V136" s="263">
        <f t="shared" si="32"/>
        <v>0</v>
      </c>
      <c r="W136" s="262">
        <v>1</v>
      </c>
      <c r="X136" s="263">
        <f t="shared" si="33"/>
        <v>0</v>
      </c>
      <c r="Y136" s="263">
        <f t="shared" si="34"/>
        <v>11012.7</v>
      </c>
      <c r="Z136" s="263">
        <f>+M136-Y136</f>
        <v>99114.3</v>
      </c>
      <c r="AA136" s="263">
        <f t="shared" si="36"/>
        <v>2019.75</v>
      </c>
      <c r="AB136" s="263">
        <f t="shared" si="37"/>
        <v>2020.75</v>
      </c>
      <c r="AC136" s="263">
        <f t="shared" si="38"/>
        <v>2029.75</v>
      </c>
      <c r="AD136" s="264">
        <f t="shared" si="39"/>
        <v>2019.75</v>
      </c>
      <c r="AE136" s="264">
        <f t="shared" si="40"/>
        <v>-8.3333333333333329E-2</v>
      </c>
      <c r="AF136" s="264">
        <f t="shared" si="41"/>
        <v>2029.75</v>
      </c>
      <c r="AG136" s="264">
        <f t="shared" si="42"/>
        <v>2019.75</v>
      </c>
      <c r="AH136" s="264">
        <f t="shared" si="43"/>
        <v>-8.3333333333333329E-2</v>
      </c>
    </row>
    <row r="137" spans="1:34">
      <c r="A137" s="257" t="s">
        <v>349</v>
      </c>
      <c r="B137" s="257" t="s">
        <v>422</v>
      </c>
      <c r="C137" s="258">
        <v>2019</v>
      </c>
      <c r="D137" s="259">
        <v>10</v>
      </c>
      <c r="E137" s="269"/>
      <c r="F137" s="261" t="s">
        <v>258</v>
      </c>
      <c r="G137" s="261">
        <v>10</v>
      </c>
      <c r="H137" s="259">
        <f t="shared" si="24"/>
        <v>2029</v>
      </c>
      <c r="I137" s="262"/>
      <c r="J137" s="262"/>
      <c r="K137" s="263">
        <v>16696</v>
      </c>
      <c r="L137" s="262"/>
      <c r="M137" s="263">
        <f t="shared" si="25"/>
        <v>16696</v>
      </c>
      <c r="N137" s="263">
        <f t="shared" si="26"/>
        <v>139.13333333333333</v>
      </c>
      <c r="O137" s="263">
        <f t="shared" si="27"/>
        <v>1669.6</v>
      </c>
      <c r="P137" s="263">
        <f t="shared" si="28"/>
        <v>0</v>
      </c>
      <c r="Q137" s="263">
        <f t="shared" si="29"/>
        <v>1669.6</v>
      </c>
      <c r="R137" s="262">
        <v>1</v>
      </c>
      <c r="S137" s="263">
        <f t="shared" si="30"/>
        <v>1669.6</v>
      </c>
      <c r="T137" s="262"/>
      <c r="U137" s="263">
        <f t="shared" si="31"/>
        <v>0</v>
      </c>
      <c r="V137" s="263">
        <f t="shared" si="32"/>
        <v>0</v>
      </c>
      <c r="W137" s="262">
        <v>1</v>
      </c>
      <c r="X137" s="263">
        <f t="shared" si="33"/>
        <v>0</v>
      </c>
      <c r="Y137" s="263">
        <f t="shared" si="34"/>
        <v>1669.6</v>
      </c>
      <c r="Z137" s="263">
        <f>+M137-Y137</f>
        <v>15026.4</v>
      </c>
      <c r="AA137" s="263">
        <f t="shared" si="36"/>
        <v>2019.75</v>
      </c>
      <c r="AB137" s="263">
        <f t="shared" si="37"/>
        <v>2020.75</v>
      </c>
      <c r="AC137" s="263">
        <f t="shared" si="38"/>
        <v>2029.75</v>
      </c>
      <c r="AD137" s="264">
        <f t="shared" si="39"/>
        <v>2019.75</v>
      </c>
      <c r="AE137" s="264">
        <f t="shared" si="40"/>
        <v>-8.3333333333333329E-2</v>
      </c>
      <c r="AF137" s="264">
        <f t="shared" si="41"/>
        <v>2029.75</v>
      </c>
      <c r="AG137" s="264">
        <f t="shared" si="42"/>
        <v>2019.75</v>
      </c>
      <c r="AH137" s="264">
        <f t="shared" si="43"/>
        <v>-8.3333333333333329E-2</v>
      </c>
    </row>
    <row r="138" spans="1:34">
      <c r="A138" s="265" t="s">
        <v>352</v>
      </c>
      <c r="B138" s="257"/>
      <c r="C138" s="258"/>
      <c r="D138" s="259"/>
      <c r="E138" s="269"/>
      <c r="F138" s="261"/>
      <c r="G138" s="261"/>
      <c r="H138" s="259"/>
      <c r="I138" s="262"/>
      <c r="J138" s="262"/>
      <c r="K138" s="263"/>
      <c r="L138" s="262"/>
      <c r="M138" s="263"/>
      <c r="N138" s="263"/>
      <c r="O138" s="263"/>
      <c r="P138" s="263"/>
      <c r="Q138" s="263"/>
      <c r="R138" s="262"/>
      <c r="S138" s="263"/>
      <c r="T138" s="262"/>
      <c r="U138" s="263"/>
      <c r="V138" s="263"/>
      <c r="W138" s="262"/>
      <c r="X138" s="263"/>
      <c r="Y138" s="263"/>
      <c r="Z138" s="263"/>
      <c r="AA138" s="263"/>
      <c r="AB138" s="263"/>
      <c r="AC138" s="263"/>
      <c r="AD138" s="264"/>
      <c r="AE138" s="264"/>
      <c r="AF138" s="264"/>
      <c r="AG138" s="264"/>
      <c r="AH138" s="264"/>
    </row>
    <row r="139" spans="1:34">
      <c r="A139" s="257"/>
      <c r="B139" s="257" t="s">
        <v>423</v>
      </c>
      <c r="C139" s="258">
        <v>2013</v>
      </c>
      <c r="D139" s="259">
        <v>6</v>
      </c>
      <c r="E139" s="269"/>
      <c r="F139" s="261" t="s">
        <v>258</v>
      </c>
      <c r="G139" s="261">
        <v>3</v>
      </c>
      <c r="H139" s="259">
        <f>+C139+G139</f>
        <v>2016</v>
      </c>
      <c r="I139" s="262"/>
      <c r="J139" s="262"/>
      <c r="K139" s="263">
        <v>7852</v>
      </c>
      <c r="L139" s="262"/>
      <c r="M139" s="263">
        <f>K139-K139*E139</f>
        <v>7852</v>
      </c>
      <c r="N139" s="263">
        <f>M139/G139/12</f>
        <v>218.11111111111111</v>
      </c>
      <c r="O139" s="263">
        <f>IF(L139&gt;0,0,IF((OR((AA139&gt;AB139),(AC139&lt;AD139))),0,IF((AND((AC139&gt;=AD139),(AC139&lt;=AB139))),N139*((AC139-AD139)*12),IF((AND((AD139&lt;=AA139),(AB139&gt;=AA139))),((AB139-AA139)*12)*N139,IF(AC139&gt;AB139,12*N139,0)))))</f>
        <v>0</v>
      </c>
      <c r="P139" s="263">
        <f>IF(L139=0,0,IF((AND((AE139&gt;=AD139),(AE139&lt;=AC139))),((AE139-AD139)*12)*N139,0))</f>
        <v>0</v>
      </c>
      <c r="Q139" s="263">
        <f>IF(P139&gt;0,P139,O139)</f>
        <v>0</v>
      </c>
      <c r="R139" s="262">
        <v>1</v>
      </c>
      <c r="S139" s="263">
        <f>R139*SUM(O139:P139)</f>
        <v>0</v>
      </c>
      <c r="T139" s="262"/>
      <c r="U139" s="263">
        <f>IF(AA139&gt;AB139,0,IF(AC139&lt;AD139,M139,IF((AND((AC139&gt;=AD139),(AC139&lt;=AB139))),(M139-Q139),IF((AND((AD139&lt;=AA139),(AB139&gt;=AA139))),0,IF(AC139&gt;AB139,((AD139-AA139)*12)*N139,0)))))</f>
        <v>7852</v>
      </c>
      <c r="V139" s="263">
        <f>U139*R139</f>
        <v>7852</v>
      </c>
      <c r="W139" s="262">
        <v>1</v>
      </c>
      <c r="X139" s="263">
        <f>V139*W139</f>
        <v>7852</v>
      </c>
      <c r="Y139" s="263">
        <f>IF(L139&gt;0,0,X139+S139*W139)*W139</f>
        <v>7852</v>
      </c>
      <c r="Z139" s="263">
        <f>IF(L139&gt;0,(K139-X139)/2,IF(AA139&gt;=AD139,(((K139*R139)*W139)-Y139)/2,((((K139*R139)*W139)-X139)+(((K139*R139)*W139)-Y139))/2))</f>
        <v>0</v>
      </c>
      <c r="AA139" s="263">
        <f t="shared" si="36"/>
        <v>2013.4166666666667</v>
      </c>
      <c r="AB139" s="263">
        <f t="shared" si="37"/>
        <v>2020.75</v>
      </c>
      <c r="AC139" s="263">
        <f t="shared" si="38"/>
        <v>2016.4166666666667</v>
      </c>
      <c r="AD139" s="264">
        <f t="shared" si="39"/>
        <v>2019.75</v>
      </c>
      <c r="AE139" s="264">
        <f t="shared" si="40"/>
        <v>-8.3333333333333329E-2</v>
      </c>
      <c r="AF139" s="264">
        <f t="shared" si="41"/>
        <v>2016.4166666666667</v>
      </c>
      <c r="AG139" s="264">
        <f t="shared" si="42"/>
        <v>2019.75</v>
      </c>
      <c r="AH139" s="264">
        <f t="shared" si="43"/>
        <v>-8.3333333333333329E-2</v>
      </c>
    </row>
    <row r="140" spans="1:34">
      <c r="A140" s="257"/>
      <c r="B140" s="257" t="s">
        <v>424</v>
      </c>
      <c r="C140" s="258">
        <v>2013</v>
      </c>
      <c r="D140" s="259">
        <v>6</v>
      </c>
      <c r="E140" s="269"/>
      <c r="F140" s="261" t="s">
        <v>258</v>
      </c>
      <c r="G140" s="261">
        <v>3</v>
      </c>
      <c r="H140" s="259">
        <f>+C140+G140</f>
        <v>2016</v>
      </c>
      <c r="I140" s="262"/>
      <c r="J140" s="262"/>
      <c r="K140" s="266">
        <v>5065</v>
      </c>
      <c r="L140" s="267"/>
      <c r="M140" s="266">
        <f>K140-K140*E140</f>
        <v>5065</v>
      </c>
      <c r="N140" s="266">
        <f>M140/G140/12</f>
        <v>140.69444444444443</v>
      </c>
      <c r="O140" s="266">
        <f>IF(L140&gt;0,0,IF((OR((AA140&gt;AB140),(AC140&lt;AD140))),0,IF((AND((AC140&gt;=AD140),(AC140&lt;=AB140))),N140*((AC140-AD140)*12),IF((AND((AD140&lt;=AA140),(AB140&gt;=AA140))),((AB140-AA140)*12)*N140,IF(AC140&gt;AB140,12*N140,0)))))</f>
        <v>0</v>
      </c>
      <c r="P140" s="266">
        <f>IF(L140=0,0,IF((AND((AE140&gt;=AD140),(AE140&lt;=AC140))),((AE140-AD140)*12)*N140,0))</f>
        <v>0</v>
      </c>
      <c r="Q140" s="266">
        <f>IF(P140&gt;0,P140,O140)</f>
        <v>0</v>
      </c>
      <c r="R140" s="267">
        <v>1</v>
      </c>
      <c r="S140" s="266">
        <f>R140*SUM(O140:P140)</f>
        <v>0</v>
      </c>
      <c r="T140" s="267"/>
      <c r="U140" s="266">
        <f>IF(AA140&gt;AB140,0,IF(AC140&lt;AD140,M140,IF((AND((AC140&gt;=AD140),(AC140&lt;=AB140))),(M140-Q140),IF((AND((AD140&lt;=AA140),(AB140&gt;=AA140))),0,IF(AC140&gt;AB140,((AD140-AA140)*12)*N140,0)))))</f>
        <v>5065</v>
      </c>
      <c r="V140" s="266">
        <f>U140*R140</f>
        <v>5065</v>
      </c>
      <c r="W140" s="267">
        <v>1</v>
      </c>
      <c r="X140" s="266">
        <f>V140*W140</f>
        <v>5065</v>
      </c>
      <c r="Y140" s="266">
        <f>IF(L140&gt;0,0,X140+S140*W140)*W140</f>
        <v>5065</v>
      </c>
      <c r="Z140" s="266">
        <f>IF(L140&gt;0,(K140-X140)/2,IF(AA140&gt;=AD140,(((K140*R140)*W140)-Y140)/2,((((K140*R140)*W140)-X140)+(((K140*R140)*W140)-Y140))/2))</f>
        <v>0</v>
      </c>
      <c r="AA140" s="263">
        <f>$C140+(($D140-1)/12)</f>
        <v>2013.4166666666667</v>
      </c>
      <c r="AB140" s="263">
        <f>($M$5+1)-($M$2/12)</f>
        <v>2020.75</v>
      </c>
      <c r="AC140" s="263">
        <f>$H140+(($D140-1)/12)</f>
        <v>2016.4166666666667</v>
      </c>
      <c r="AD140" s="264">
        <f>$M$4+($M$3/12)</f>
        <v>2019.75</v>
      </c>
      <c r="AE140" s="264">
        <f>$I140+(($J140-1)/12)</f>
        <v>-8.3333333333333329E-2</v>
      </c>
      <c r="AF140" s="264">
        <f>$H140+(($D140-1)/12)</f>
        <v>2016.4166666666667</v>
      </c>
      <c r="AG140" s="264">
        <f>$M$4+($M$3/12)</f>
        <v>2019.75</v>
      </c>
      <c r="AH140" s="264">
        <f>$I140+(($J140-1)/12)</f>
        <v>-8.3333333333333329E-2</v>
      </c>
    </row>
    <row r="141" spans="1:34">
      <c r="A141" s="257"/>
      <c r="B141" s="268" t="s">
        <v>425</v>
      </c>
      <c r="C141" s="259"/>
      <c r="D141" s="259"/>
      <c r="E141" s="262"/>
      <c r="F141" s="261"/>
      <c r="G141" s="261"/>
      <c r="H141" s="275"/>
      <c r="I141" s="262"/>
      <c r="J141" s="262"/>
      <c r="K141" s="262">
        <f>SUM(K75:K140)</f>
        <v>1075911</v>
      </c>
      <c r="L141" s="262"/>
      <c r="M141" s="262">
        <f t="shared" ref="M141:Z141" si="44">SUM(M75:M140)</f>
        <v>1075911</v>
      </c>
      <c r="N141" s="262">
        <f t="shared" si="44"/>
        <v>9217.0888888888876</v>
      </c>
      <c r="O141" s="262">
        <f t="shared" si="44"/>
        <v>44727.1</v>
      </c>
      <c r="P141" s="262">
        <f t="shared" si="44"/>
        <v>0</v>
      </c>
      <c r="Q141" s="262">
        <f t="shared" si="44"/>
        <v>44727.1</v>
      </c>
      <c r="R141" s="262">
        <f t="shared" si="44"/>
        <v>65</v>
      </c>
      <c r="S141" s="262">
        <f t="shared" si="44"/>
        <v>44727.1</v>
      </c>
      <c r="T141" s="262">
        <f t="shared" si="44"/>
        <v>0</v>
      </c>
      <c r="U141" s="262">
        <f t="shared" si="44"/>
        <v>729185.19166666688</v>
      </c>
      <c r="V141" s="262">
        <f t="shared" si="44"/>
        <v>729185.19166666688</v>
      </c>
      <c r="W141" s="262">
        <f t="shared" si="44"/>
        <v>65</v>
      </c>
      <c r="X141" s="262">
        <f t="shared" si="44"/>
        <v>729185.19166666688</v>
      </c>
      <c r="Y141" s="262">
        <f t="shared" si="44"/>
        <v>773912.29166666663</v>
      </c>
      <c r="Z141" s="262">
        <f t="shared" si="44"/>
        <v>318021.1083333334</v>
      </c>
      <c r="AA141" s="263"/>
      <c r="AB141" s="263"/>
      <c r="AC141" s="263"/>
      <c r="AD141" s="264"/>
      <c r="AE141" s="264"/>
      <c r="AF141" s="264"/>
      <c r="AG141" s="264"/>
      <c r="AH141" s="264"/>
    </row>
    <row r="142" spans="1:34">
      <c r="A142" s="257"/>
      <c r="B142" s="268"/>
      <c r="C142" s="259"/>
      <c r="D142" s="259"/>
      <c r="E142" s="262"/>
      <c r="F142" s="261"/>
      <c r="G142" s="261"/>
      <c r="H142" s="275"/>
      <c r="I142" s="262"/>
      <c r="J142" s="262"/>
      <c r="K142" s="262"/>
      <c r="L142" s="262"/>
      <c r="M142" s="263"/>
      <c r="N142" s="263"/>
      <c r="O142" s="263"/>
      <c r="P142" s="263">
        <f t="shared" si="28"/>
        <v>0</v>
      </c>
      <c r="Q142" s="263">
        <f t="shared" si="29"/>
        <v>0</v>
      </c>
      <c r="R142" s="262">
        <v>1</v>
      </c>
      <c r="S142" s="263">
        <f t="shared" si="30"/>
        <v>0</v>
      </c>
      <c r="T142" s="262"/>
      <c r="U142" s="263"/>
      <c r="V142" s="263"/>
      <c r="W142" s="262"/>
      <c r="X142" s="263"/>
      <c r="Y142" s="263"/>
      <c r="Z142" s="263"/>
      <c r="AA142" s="263"/>
      <c r="AB142" s="263"/>
      <c r="AC142" s="263"/>
      <c r="AD142" s="264"/>
      <c r="AE142" s="264"/>
      <c r="AF142" s="264"/>
      <c r="AG142" s="264"/>
      <c r="AH142" s="264"/>
    </row>
    <row r="143" spans="1:34">
      <c r="A143" s="257"/>
      <c r="B143" s="276" t="s">
        <v>426</v>
      </c>
      <c r="C143" s="259"/>
      <c r="D143" s="259"/>
      <c r="E143" s="262"/>
      <c r="F143" s="261"/>
      <c r="G143" s="261"/>
      <c r="H143" s="275"/>
      <c r="I143" s="262"/>
      <c r="J143" s="262"/>
      <c r="K143" s="262"/>
      <c r="L143" s="262"/>
      <c r="M143" s="262"/>
      <c r="N143" s="262"/>
      <c r="O143" s="262"/>
      <c r="P143" s="262"/>
      <c r="Q143" s="262"/>
      <c r="R143" s="262"/>
      <c r="S143" s="262"/>
      <c r="T143" s="262"/>
      <c r="U143" s="262"/>
      <c r="V143" s="262"/>
      <c r="W143" s="262"/>
      <c r="X143" s="262"/>
      <c r="Y143" s="262"/>
      <c r="Z143" s="262"/>
      <c r="AA143" s="262"/>
      <c r="AB143" s="262"/>
      <c r="AC143" s="262"/>
      <c r="AD143" s="271"/>
      <c r="AE143" s="271"/>
      <c r="AF143" s="271"/>
      <c r="AG143" s="271"/>
      <c r="AH143" s="271"/>
    </row>
    <row r="144" spans="1:34">
      <c r="A144" s="277">
        <v>9</v>
      </c>
      <c r="B144" s="277" t="s">
        <v>427</v>
      </c>
      <c r="C144" s="278">
        <v>1993</v>
      </c>
      <c r="D144" s="259">
        <v>9</v>
      </c>
      <c r="E144" s="262"/>
      <c r="F144" s="261" t="s">
        <v>258</v>
      </c>
      <c r="G144" s="261">
        <v>5</v>
      </c>
      <c r="H144" s="259">
        <f>+C144+G144</f>
        <v>1998</v>
      </c>
      <c r="I144" s="262"/>
      <c r="J144" s="262"/>
      <c r="K144" s="277">
        <v>300</v>
      </c>
      <c r="L144" s="262"/>
      <c r="M144" s="263">
        <f>K144-K144*E144</f>
        <v>300</v>
      </c>
      <c r="N144" s="263">
        <f t="shared" ref="N144:N151" si="45">M144/G144/12</f>
        <v>5</v>
      </c>
      <c r="O144" s="263">
        <f t="shared" ref="O144:O151" si="46">IF(L144&gt;0,0,IF((OR((AA144&gt;AB144),(AC144&lt;AD144))),0,IF((AND((AC144&gt;=AD144),(AC144&lt;=AB144))),N144*((AC144-AD144)*12),IF((AND((AD144&lt;=AA144),(AB144&gt;=AA144))),((AB144-AA144)*12)*N144,IF(AC144&gt;AB144,12*N144,0)))))</f>
        <v>0</v>
      </c>
      <c r="P144" s="263">
        <f t="shared" ref="P144:P151" si="47">IF(L144=0,0,IF((AND((AE144&gt;=AD144),(AE144&lt;=AC144))),((AE144-AD144)*12)*N144,0))</f>
        <v>0</v>
      </c>
      <c r="Q144" s="263">
        <f t="shared" ref="Q144:Q151" si="48">IF(P144&gt;0,P144,O144)</f>
        <v>0</v>
      </c>
      <c r="R144" s="262">
        <v>1</v>
      </c>
      <c r="S144" s="263">
        <f t="shared" ref="S144:S151" si="49">R144*SUM(O144:P144)</f>
        <v>0</v>
      </c>
      <c r="T144" s="262"/>
      <c r="U144" s="263">
        <f t="shared" ref="U144:U151" si="50">IF(AA144&gt;AB144,0,IF(AC144&lt;AD144,M144,IF((AND((AC144&gt;=AD144),(AC144&lt;=AB144))),(M144-Q144),IF((AND((AD144&lt;=AA144),(AB144&gt;=AA144))),0,IF(AC144&gt;AB144,((AD144-AA144)*12)*N144,0)))))</f>
        <v>300</v>
      </c>
      <c r="V144" s="263">
        <f t="shared" ref="V144:V151" si="51">U144*R144</f>
        <v>300</v>
      </c>
      <c r="W144" s="262">
        <v>1</v>
      </c>
      <c r="X144" s="263">
        <f t="shared" ref="X144:X151" si="52">V144*W144</f>
        <v>300</v>
      </c>
      <c r="Y144" s="263">
        <f t="shared" ref="Y144:Y151" si="53">IF(L144&gt;0,0,X144+S144*W144)*W144</f>
        <v>300</v>
      </c>
      <c r="Z144" s="263">
        <f t="shared" ref="Z144:Z151" si="54">IF(L144&gt;0,(K144-X144)/2,IF(AA144&gt;=AD144,(((K144*R144)*W144)-Y144)/2,((((K144*R144)*W144)-X144)+(((K144*R144)*W144)-Y144))/2))</f>
        <v>0</v>
      </c>
      <c r="AA144" s="263">
        <f t="shared" ref="AA144:AA176" si="55">$C144+(($D144-1)/12)</f>
        <v>1993.6666666666667</v>
      </c>
      <c r="AB144" s="263">
        <f t="shared" ref="AB144:AB176" si="56">($M$5+1)-($M$2/12)</f>
        <v>2020.75</v>
      </c>
      <c r="AC144" s="263">
        <f t="shared" ref="AC144:AC176" si="57">$H144+(($D144-1)/12)</f>
        <v>1998.6666666666667</v>
      </c>
      <c r="AD144" s="264">
        <f t="shared" ref="AD144:AD176" si="58">$M$4+($M$3/12)</f>
        <v>2019.75</v>
      </c>
      <c r="AE144" s="264">
        <f t="shared" ref="AE144:AE176" si="59">$I144+(($J144-1)/12)</f>
        <v>-8.3333333333333329E-2</v>
      </c>
      <c r="AF144" s="264">
        <f t="shared" ref="AF144:AF176" si="60">$H144+(($D144-1)/12)</f>
        <v>1998.6666666666667</v>
      </c>
      <c r="AG144" s="264">
        <f t="shared" ref="AG144:AG176" si="61">$M$4+($M$3/12)</f>
        <v>2019.75</v>
      </c>
      <c r="AH144" s="264">
        <f t="shared" ref="AH144:AH176" si="62">$I144+(($J144-1)/12)</f>
        <v>-8.3333333333333329E-2</v>
      </c>
    </row>
    <row r="145" spans="1:34">
      <c r="A145" s="277">
        <v>19</v>
      </c>
      <c r="B145" s="277" t="s">
        <v>428</v>
      </c>
      <c r="C145" s="278">
        <v>1986</v>
      </c>
      <c r="D145" s="259">
        <v>5</v>
      </c>
      <c r="E145" s="262"/>
      <c r="F145" s="261" t="s">
        <v>258</v>
      </c>
      <c r="G145" s="261">
        <v>5</v>
      </c>
      <c r="H145" s="259">
        <f t="shared" ref="H145:H151" si="63">+C145+G145</f>
        <v>1991</v>
      </c>
      <c r="I145" s="262"/>
      <c r="J145" s="262"/>
      <c r="K145" s="279">
        <v>1621</v>
      </c>
      <c r="L145" s="262"/>
      <c r="M145" s="263">
        <f t="shared" ref="M145:M154" si="64">K145-K145*E145</f>
        <v>1621</v>
      </c>
      <c r="N145" s="263">
        <f t="shared" si="45"/>
        <v>27.016666666666666</v>
      </c>
      <c r="O145" s="263">
        <f t="shared" si="46"/>
        <v>0</v>
      </c>
      <c r="P145" s="263">
        <f t="shared" si="47"/>
        <v>0</v>
      </c>
      <c r="Q145" s="263">
        <f t="shared" si="48"/>
        <v>0</v>
      </c>
      <c r="R145" s="262">
        <v>1</v>
      </c>
      <c r="S145" s="263">
        <f t="shared" si="49"/>
        <v>0</v>
      </c>
      <c r="T145" s="262"/>
      <c r="U145" s="263">
        <f t="shared" si="50"/>
        <v>1621</v>
      </c>
      <c r="V145" s="263">
        <f t="shared" si="51"/>
        <v>1621</v>
      </c>
      <c r="W145" s="262">
        <v>1</v>
      </c>
      <c r="X145" s="263">
        <f t="shared" si="52"/>
        <v>1621</v>
      </c>
      <c r="Y145" s="263">
        <f t="shared" si="53"/>
        <v>1621</v>
      </c>
      <c r="Z145" s="263">
        <f t="shared" si="54"/>
        <v>0</v>
      </c>
      <c r="AA145" s="263">
        <f t="shared" si="55"/>
        <v>1986.3333333333333</v>
      </c>
      <c r="AB145" s="263">
        <f t="shared" si="56"/>
        <v>2020.75</v>
      </c>
      <c r="AC145" s="263">
        <f t="shared" si="57"/>
        <v>1991.3333333333333</v>
      </c>
      <c r="AD145" s="264">
        <f t="shared" si="58"/>
        <v>2019.75</v>
      </c>
      <c r="AE145" s="264">
        <f t="shared" si="59"/>
        <v>-8.3333333333333329E-2</v>
      </c>
      <c r="AF145" s="264">
        <f t="shared" si="60"/>
        <v>1991.3333333333333</v>
      </c>
      <c r="AG145" s="264">
        <f t="shared" si="61"/>
        <v>2019.75</v>
      </c>
      <c r="AH145" s="264">
        <f t="shared" si="62"/>
        <v>-8.3333333333333329E-2</v>
      </c>
    </row>
    <row r="146" spans="1:34">
      <c r="A146" s="277">
        <v>46</v>
      </c>
      <c r="B146" s="277" t="s">
        <v>429</v>
      </c>
      <c r="C146" s="278">
        <v>1993</v>
      </c>
      <c r="D146" s="259">
        <v>6</v>
      </c>
      <c r="E146" s="262"/>
      <c r="F146" s="261" t="s">
        <v>258</v>
      </c>
      <c r="G146" s="261">
        <v>5</v>
      </c>
      <c r="H146" s="259">
        <f t="shared" si="63"/>
        <v>1998</v>
      </c>
      <c r="I146" s="262"/>
      <c r="J146" s="262"/>
      <c r="K146" s="277">
        <v>971</v>
      </c>
      <c r="L146" s="262"/>
      <c r="M146" s="263">
        <f t="shared" si="64"/>
        <v>971</v>
      </c>
      <c r="N146" s="263">
        <f t="shared" si="45"/>
        <v>16.183333333333334</v>
      </c>
      <c r="O146" s="263">
        <f t="shared" si="46"/>
        <v>0</v>
      </c>
      <c r="P146" s="263">
        <f t="shared" si="47"/>
        <v>0</v>
      </c>
      <c r="Q146" s="263">
        <f t="shared" si="48"/>
        <v>0</v>
      </c>
      <c r="R146" s="262">
        <v>1</v>
      </c>
      <c r="S146" s="263">
        <f t="shared" si="49"/>
        <v>0</v>
      </c>
      <c r="T146" s="262"/>
      <c r="U146" s="263">
        <f t="shared" si="50"/>
        <v>971</v>
      </c>
      <c r="V146" s="263">
        <f t="shared" si="51"/>
        <v>971</v>
      </c>
      <c r="W146" s="262">
        <v>1</v>
      </c>
      <c r="X146" s="263">
        <f t="shared" si="52"/>
        <v>971</v>
      </c>
      <c r="Y146" s="263">
        <f t="shared" si="53"/>
        <v>971</v>
      </c>
      <c r="Z146" s="263">
        <f t="shared" si="54"/>
        <v>0</v>
      </c>
      <c r="AA146" s="263">
        <f t="shared" si="55"/>
        <v>1993.4166666666667</v>
      </c>
      <c r="AB146" s="263">
        <f t="shared" si="56"/>
        <v>2020.75</v>
      </c>
      <c r="AC146" s="263">
        <f t="shared" si="57"/>
        <v>1998.4166666666667</v>
      </c>
      <c r="AD146" s="264">
        <f t="shared" si="58"/>
        <v>2019.75</v>
      </c>
      <c r="AE146" s="264">
        <f t="shared" si="59"/>
        <v>-8.3333333333333329E-2</v>
      </c>
      <c r="AF146" s="264">
        <f t="shared" si="60"/>
        <v>1998.4166666666667</v>
      </c>
      <c r="AG146" s="264">
        <f t="shared" si="61"/>
        <v>2019.75</v>
      </c>
      <c r="AH146" s="264">
        <f t="shared" si="62"/>
        <v>-8.3333333333333329E-2</v>
      </c>
    </row>
    <row r="147" spans="1:34">
      <c r="A147" s="277">
        <v>47</v>
      </c>
      <c r="B147" s="277" t="s">
        <v>430</v>
      </c>
      <c r="C147" s="278">
        <v>1993</v>
      </c>
      <c r="D147" s="259">
        <v>8</v>
      </c>
      <c r="E147" s="262"/>
      <c r="F147" s="261" t="s">
        <v>258</v>
      </c>
      <c r="G147" s="261">
        <v>5</v>
      </c>
      <c r="H147" s="259">
        <f t="shared" si="63"/>
        <v>1998</v>
      </c>
      <c r="I147" s="262"/>
      <c r="J147" s="262"/>
      <c r="K147" s="279">
        <v>3500</v>
      </c>
      <c r="L147" s="262"/>
      <c r="M147" s="263">
        <f t="shared" si="64"/>
        <v>3500</v>
      </c>
      <c r="N147" s="263">
        <f t="shared" si="45"/>
        <v>58.333333333333336</v>
      </c>
      <c r="O147" s="263">
        <f t="shared" si="46"/>
        <v>0</v>
      </c>
      <c r="P147" s="263">
        <f t="shared" si="47"/>
        <v>0</v>
      </c>
      <c r="Q147" s="263">
        <f t="shared" si="48"/>
        <v>0</v>
      </c>
      <c r="R147" s="262">
        <v>1</v>
      </c>
      <c r="S147" s="263">
        <f t="shared" si="49"/>
        <v>0</v>
      </c>
      <c r="T147" s="262"/>
      <c r="U147" s="263">
        <f t="shared" si="50"/>
        <v>3500</v>
      </c>
      <c r="V147" s="263">
        <f t="shared" si="51"/>
        <v>3500</v>
      </c>
      <c r="W147" s="262">
        <v>1</v>
      </c>
      <c r="X147" s="263">
        <f t="shared" si="52"/>
        <v>3500</v>
      </c>
      <c r="Y147" s="263">
        <f t="shared" si="53"/>
        <v>3500</v>
      </c>
      <c r="Z147" s="263">
        <f t="shared" si="54"/>
        <v>0</v>
      </c>
      <c r="AA147" s="263">
        <f t="shared" si="55"/>
        <v>1993.5833333333333</v>
      </c>
      <c r="AB147" s="263">
        <f t="shared" si="56"/>
        <v>2020.75</v>
      </c>
      <c r="AC147" s="263">
        <f t="shared" si="57"/>
        <v>1998.5833333333333</v>
      </c>
      <c r="AD147" s="264">
        <f t="shared" si="58"/>
        <v>2019.75</v>
      </c>
      <c r="AE147" s="264">
        <f t="shared" si="59"/>
        <v>-8.3333333333333329E-2</v>
      </c>
      <c r="AF147" s="264">
        <f t="shared" si="60"/>
        <v>1998.5833333333333</v>
      </c>
      <c r="AG147" s="264">
        <f t="shared" si="61"/>
        <v>2019.75</v>
      </c>
      <c r="AH147" s="264">
        <f t="shared" si="62"/>
        <v>-8.3333333333333329E-2</v>
      </c>
    </row>
    <row r="148" spans="1:34">
      <c r="A148" s="277">
        <v>50</v>
      </c>
      <c r="B148" s="277" t="s">
        <v>431</v>
      </c>
      <c r="C148" s="278">
        <v>1994</v>
      </c>
      <c r="D148" s="259">
        <v>10</v>
      </c>
      <c r="E148" s="262"/>
      <c r="F148" s="261" t="s">
        <v>258</v>
      </c>
      <c r="G148" s="261">
        <v>5</v>
      </c>
      <c r="H148" s="259">
        <f t="shared" si="63"/>
        <v>1999</v>
      </c>
      <c r="I148" s="262"/>
      <c r="J148" s="262"/>
      <c r="K148" s="277">
        <v>550</v>
      </c>
      <c r="L148" s="262"/>
      <c r="M148" s="263">
        <f t="shared" si="64"/>
        <v>550</v>
      </c>
      <c r="N148" s="263">
        <f t="shared" si="45"/>
        <v>9.1666666666666661</v>
      </c>
      <c r="O148" s="263">
        <f t="shared" si="46"/>
        <v>0</v>
      </c>
      <c r="P148" s="263">
        <f t="shared" si="47"/>
        <v>0</v>
      </c>
      <c r="Q148" s="263">
        <f t="shared" si="48"/>
        <v>0</v>
      </c>
      <c r="R148" s="262">
        <v>1</v>
      </c>
      <c r="S148" s="263">
        <f t="shared" si="49"/>
        <v>0</v>
      </c>
      <c r="T148" s="262"/>
      <c r="U148" s="263">
        <f t="shared" si="50"/>
        <v>550</v>
      </c>
      <c r="V148" s="263">
        <f t="shared" si="51"/>
        <v>550</v>
      </c>
      <c r="W148" s="262">
        <v>1</v>
      </c>
      <c r="X148" s="263">
        <f t="shared" si="52"/>
        <v>550</v>
      </c>
      <c r="Y148" s="263">
        <f t="shared" si="53"/>
        <v>550</v>
      </c>
      <c r="Z148" s="263">
        <f t="shared" si="54"/>
        <v>0</v>
      </c>
      <c r="AA148" s="263">
        <f t="shared" si="55"/>
        <v>1994.75</v>
      </c>
      <c r="AB148" s="263">
        <f t="shared" si="56"/>
        <v>2020.75</v>
      </c>
      <c r="AC148" s="263">
        <f t="shared" si="57"/>
        <v>1999.75</v>
      </c>
      <c r="AD148" s="264">
        <f t="shared" si="58"/>
        <v>2019.75</v>
      </c>
      <c r="AE148" s="264">
        <f t="shared" si="59"/>
        <v>-8.3333333333333329E-2</v>
      </c>
      <c r="AF148" s="264">
        <f t="shared" si="60"/>
        <v>1999.75</v>
      </c>
      <c r="AG148" s="264">
        <f t="shared" si="61"/>
        <v>2019.75</v>
      </c>
      <c r="AH148" s="264">
        <f t="shared" si="62"/>
        <v>-8.3333333333333329E-2</v>
      </c>
    </row>
    <row r="149" spans="1:34">
      <c r="A149" s="277">
        <v>51</v>
      </c>
      <c r="B149" s="277" t="s">
        <v>432</v>
      </c>
      <c r="C149" s="278">
        <v>1995</v>
      </c>
      <c r="D149" s="259">
        <v>4</v>
      </c>
      <c r="E149" s="262"/>
      <c r="F149" s="261" t="s">
        <v>258</v>
      </c>
      <c r="G149" s="261">
        <v>5</v>
      </c>
      <c r="H149" s="259">
        <f t="shared" si="63"/>
        <v>2000</v>
      </c>
      <c r="I149" s="262"/>
      <c r="J149" s="262"/>
      <c r="K149" s="277">
        <v>923</v>
      </c>
      <c r="L149" s="262"/>
      <c r="M149" s="263">
        <f t="shared" si="64"/>
        <v>923</v>
      </c>
      <c r="N149" s="263">
        <f t="shared" si="45"/>
        <v>15.383333333333333</v>
      </c>
      <c r="O149" s="263">
        <f t="shared" si="46"/>
        <v>0</v>
      </c>
      <c r="P149" s="263">
        <f t="shared" si="47"/>
        <v>0</v>
      </c>
      <c r="Q149" s="263">
        <f t="shared" si="48"/>
        <v>0</v>
      </c>
      <c r="R149" s="262">
        <v>1</v>
      </c>
      <c r="S149" s="263">
        <f t="shared" si="49"/>
        <v>0</v>
      </c>
      <c r="T149" s="262"/>
      <c r="U149" s="263">
        <f t="shared" si="50"/>
        <v>923</v>
      </c>
      <c r="V149" s="263">
        <f t="shared" si="51"/>
        <v>923</v>
      </c>
      <c r="W149" s="262">
        <v>1</v>
      </c>
      <c r="X149" s="263">
        <f t="shared" si="52"/>
        <v>923</v>
      </c>
      <c r="Y149" s="263">
        <f t="shared" si="53"/>
        <v>923</v>
      </c>
      <c r="Z149" s="263">
        <f t="shared" si="54"/>
        <v>0</v>
      </c>
      <c r="AA149" s="263">
        <f t="shared" si="55"/>
        <v>1995.25</v>
      </c>
      <c r="AB149" s="263">
        <f t="shared" si="56"/>
        <v>2020.75</v>
      </c>
      <c r="AC149" s="263">
        <f t="shared" si="57"/>
        <v>2000.25</v>
      </c>
      <c r="AD149" s="264">
        <f t="shared" si="58"/>
        <v>2019.75</v>
      </c>
      <c r="AE149" s="264">
        <f t="shared" si="59"/>
        <v>-8.3333333333333329E-2</v>
      </c>
      <c r="AF149" s="264">
        <f t="shared" si="60"/>
        <v>2000.25</v>
      </c>
      <c r="AG149" s="264">
        <f t="shared" si="61"/>
        <v>2019.75</v>
      </c>
      <c r="AH149" s="264">
        <f t="shared" si="62"/>
        <v>-8.3333333333333329E-2</v>
      </c>
    </row>
    <row r="150" spans="1:34">
      <c r="A150" s="277">
        <v>52</v>
      </c>
      <c r="B150" s="277" t="s">
        <v>433</v>
      </c>
      <c r="C150" s="278">
        <v>1988</v>
      </c>
      <c r="D150" s="259">
        <v>3</v>
      </c>
      <c r="E150" s="262"/>
      <c r="F150" s="261" t="s">
        <v>258</v>
      </c>
      <c r="G150" s="261">
        <v>5</v>
      </c>
      <c r="H150" s="259">
        <f t="shared" si="63"/>
        <v>1993</v>
      </c>
      <c r="I150" s="262"/>
      <c r="J150" s="262"/>
      <c r="K150" s="279">
        <v>2880</v>
      </c>
      <c r="L150" s="262"/>
      <c r="M150" s="263">
        <f t="shared" si="64"/>
        <v>2880</v>
      </c>
      <c r="N150" s="263">
        <f t="shared" si="45"/>
        <v>48</v>
      </c>
      <c r="O150" s="263">
        <f t="shared" si="46"/>
        <v>0</v>
      </c>
      <c r="P150" s="263">
        <f t="shared" si="47"/>
        <v>0</v>
      </c>
      <c r="Q150" s="263">
        <f t="shared" si="48"/>
        <v>0</v>
      </c>
      <c r="R150" s="262">
        <v>1</v>
      </c>
      <c r="S150" s="263">
        <f t="shared" si="49"/>
        <v>0</v>
      </c>
      <c r="T150" s="262"/>
      <c r="U150" s="263">
        <f t="shared" si="50"/>
        <v>2880</v>
      </c>
      <c r="V150" s="263">
        <f t="shared" si="51"/>
        <v>2880</v>
      </c>
      <c r="W150" s="262">
        <v>1</v>
      </c>
      <c r="X150" s="263">
        <f t="shared" si="52"/>
        <v>2880</v>
      </c>
      <c r="Y150" s="263">
        <f t="shared" si="53"/>
        <v>2880</v>
      </c>
      <c r="Z150" s="263">
        <f t="shared" si="54"/>
        <v>0</v>
      </c>
      <c r="AA150" s="263">
        <f t="shared" si="55"/>
        <v>1988.1666666666667</v>
      </c>
      <c r="AB150" s="263">
        <f t="shared" si="56"/>
        <v>2020.75</v>
      </c>
      <c r="AC150" s="263">
        <f t="shared" si="57"/>
        <v>1993.1666666666667</v>
      </c>
      <c r="AD150" s="264">
        <f t="shared" si="58"/>
        <v>2019.75</v>
      </c>
      <c r="AE150" s="264">
        <f t="shared" si="59"/>
        <v>-8.3333333333333329E-2</v>
      </c>
      <c r="AF150" s="264">
        <f t="shared" si="60"/>
        <v>1993.1666666666667</v>
      </c>
      <c r="AG150" s="264">
        <f t="shared" si="61"/>
        <v>2019.75</v>
      </c>
      <c r="AH150" s="264">
        <f t="shared" si="62"/>
        <v>-8.3333333333333329E-2</v>
      </c>
    </row>
    <row r="151" spans="1:34">
      <c r="A151" s="277">
        <v>53</v>
      </c>
      <c r="B151" s="277" t="s">
        <v>434</v>
      </c>
      <c r="C151" s="278">
        <v>1989</v>
      </c>
      <c r="D151" s="259">
        <v>12</v>
      </c>
      <c r="E151" s="262"/>
      <c r="F151" s="261" t="s">
        <v>258</v>
      </c>
      <c r="G151" s="261">
        <v>5</v>
      </c>
      <c r="H151" s="259">
        <f t="shared" si="63"/>
        <v>1994</v>
      </c>
      <c r="I151" s="262"/>
      <c r="J151" s="262"/>
      <c r="K151" s="277">
        <v>775</v>
      </c>
      <c r="L151" s="262"/>
      <c r="M151" s="263">
        <f t="shared" si="64"/>
        <v>775</v>
      </c>
      <c r="N151" s="263">
        <f t="shared" si="45"/>
        <v>12.916666666666666</v>
      </c>
      <c r="O151" s="263">
        <f t="shared" si="46"/>
        <v>0</v>
      </c>
      <c r="P151" s="263">
        <f t="shared" si="47"/>
        <v>0</v>
      </c>
      <c r="Q151" s="263">
        <f t="shared" si="48"/>
        <v>0</v>
      </c>
      <c r="R151" s="262">
        <v>1</v>
      </c>
      <c r="S151" s="263">
        <f t="shared" si="49"/>
        <v>0</v>
      </c>
      <c r="T151" s="262"/>
      <c r="U151" s="263">
        <f t="shared" si="50"/>
        <v>775</v>
      </c>
      <c r="V151" s="263">
        <f t="shared" si="51"/>
        <v>775</v>
      </c>
      <c r="W151" s="262">
        <v>1</v>
      </c>
      <c r="X151" s="263">
        <f t="shared" si="52"/>
        <v>775</v>
      </c>
      <c r="Y151" s="263">
        <f t="shared" si="53"/>
        <v>775</v>
      </c>
      <c r="Z151" s="263">
        <f t="shared" si="54"/>
        <v>0</v>
      </c>
      <c r="AA151" s="263">
        <f t="shared" si="55"/>
        <v>1989.9166666666667</v>
      </c>
      <c r="AB151" s="263">
        <f t="shared" si="56"/>
        <v>2020.75</v>
      </c>
      <c r="AC151" s="263">
        <f t="shared" si="57"/>
        <v>1994.9166666666667</v>
      </c>
      <c r="AD151" s="264">
        <f t="shared" si="58"/>
        <v>2019.75</v>
      </c>
      <c r="AE151" s="264">
        <f t="shared" si="59"/>
        <v>-8.3333333333333329E-2</v>
      </c>
      <c r="AF151" s="264">
        <f t="shared" si="60"/>
        <v>1994.9166666666667</v>
      </c>
      <c r="AG151" s="264">
        <f t="shared" si="61"/>
        <v>2019.75</v>
      </c>
      <c r="AH151" s="264">
        <f t="shared" si="62"/>
        <v>-8.3333333333333329E-2</v>
      </c>
    </row>
    <row r="152" spans="1:34">
      <c r="A152" s="277">
        <v>67</v>
      </c>
      <c r="B152" s="277" t="s">
        <v>435</v>
      </c>
      <c r="C152" s="278">
        <v>1997</v>
      </c>
      <c r="D152" s="259">
        <v>9</v>
      </c>
      <c r="E152" s="262"/>
      <c r="F152" s="261" t="s">
        <v>258</v>
      </c>
      <c r="G152" s="261">
        <v>5</v>
      </c>
      <c r="H152" s="259">
        <f>+C152+G152</f>
        <v>2002</v>
      </c>
      <c r="I152" s="262"/>
      <c r="J152" s="262"/>
      <c r="K152" s="279">
        <v>1615</v>
      </c>
      <c r="L152" s="262"/>
      <c r="M152" s="263">
        <f t="shared" si="64"/>
        <v>1615</v>
      </c>
      <c r="N152" s="263">
        <f>M152/G152/12</f>
        <v>26.916666666666668</v>
      </c>
      <c r="O152" s="263">
        <f>IF(L152&gt;0,0,IF((OR((AA152&gt;AB152),(AC152&lt;AD152))),0,IF((AND((AC152&gt;=AD152),(AC152&lt;=AB152))),N152*((AC152-AD152)*12),IF((AND((AD152&lt;=AA152),(AB152&gt;=AA152))),((AB152-AA152)*12)*N152,IF(AC152&gt;AB152,12*N152,0)))))</f>
        <v>0</v>
      </c>
      <c r="P152" s="263">
        <f>IF(L152=0,0,IF((AND((AE152&gt;=AD152),(AE152&lt;=AC152))),((AE152-AD152)*12)*N152,0))</f>
        <v>0</v>
      </c>
      <c r="Q152" s="263">
        <f>IF(P152&gt;0,P152,O152)</f>
        <v>0</v>
      </c>
      <c r="R152" s="262">
        <v>1</v>
      </c>
      <c r="S152" s="263">
        <f>R152*SUM(O152:P152)</f>
        <v>0</v>
      </c>
      <c r="T152" s="262"/>
      <c r="U152" s="263">
        <f>IF(AA152&gt;AB152,0,IF(AC152&lt;AD152,M152,IF((AND((AC152&gt;=AD152),(AC152&lt;=AB152))),(M152-Q152),IF((AND((AD152&lt;=AA152),(AB152&gt;=AA152))),0,IF(AC152&gt;AB152,((AD152-AA152)*12)*N152,0)))))</f>
        <v>1615</v>
      </c>
      <c r="V152" s="263">
        <f>U152*R152</f>
        <v>1615</v>
      </c>
      <c r="W152" s="262">
        <v>1</v>
      </c>
      <c r="X152" s="263">
        <f>V152*W152</f>
        <v>1615</v>
      </c>
      <c r="Y152" s="263">
        <f>IF(L152&gt;0,0,X152+S152*W152)*W152</f>
        <v>1615</v>
      </c>
      <c r="Z152" s="263">
        <f>IF(L152&gt;0,(K152-X152)/2,IF(AA152&gt;=AD152,(((K152*R152)*W152)-Y152)/2,((((K152*R152)*W152)-X152)+(((K152*R152)*W152)-Y152))/2))</f>
        <v>0</v>
      </c>
      <c r="AA152" s="263">
        <f t="shared" si="55"/>
        <v>1997.6666666666667</v>
      </c>
      <c r="AB152" s="263">
        <f t="shared" si="56"/>
        <v>2020.75</v>
      </c>
      <c r="AC152" s="263">
        <f t="shared" si="57"/>
        <v>2002.6666666666667</v>
      </c>
      <c r="AD152" s="264">
        <f t="shared" si="58"/>
        <v>2019.75</v>
      </c>
      <c r="AE152" s="264">
        <f t="shared" si="59"/>
        <v>-8.3333333333333329E-2</v>
      </c>
      <c r="AF152" s="264">
        <f t="shared" si="60"/>
        <v>2002.6666666666667</v>
      </c>
      <c r="AG152" s="264">
        <f t="shared" si="61"/>
        <v>2019.75</v>
      </c>
      <c r="AH152" s="264">
        <f t="shared" si="62"/>
        <v>-8.3333333333333329E-2</v>
      </c>
    </row>
    <row r="153" spans="1:34">
      <c r="A153" s="277">
        <v>68</v>
      </c>
      <c r="B153" s="277" t="s">
        <v>436</v>
      </c>
      <c r="C153" s="278">
        <v>1997</v>
      </c>
      <c r="D153" s="259">
        <v>10</v>
      </c>
      <c r="E153" s="262"/>
      <c r="F153" s="261" t="s">
        <v>258</v>
      </c>
      <c r="G153" s="261">
        <v>5</v>
      </c>
      <c r="H153" s="259">
        <f>+C153+G153</f>
        <v>2002</v>
      </c>
      <c r="I153" s="262"/>
      <c r="J153" s="262"/>
      <c r="K153" s="279">
        <v>2781</v>
      </c>
      <c r="L153" s="262"/>
      <c r="M153" s="263">
        <f t="shared" si="64"/>
        <v>2781</v>
      </c>
      <c r="N153" s="263">
        <f>M153/G153/12</f>
        <v>46.35</v>
      </c>
      <c r="O153" s="263">
        <f>IF(L153&gt;0,0,IF((OR((AA153&gt;AB153),(AC153&lt;AD153))),0,IF((AND((AC153&gt;=AD153),(AC153&lt;=AB153))),N153*((AC153-AD153)*12),IF((AND((AD153&lt;=AA153),(AB153&gt;=AA153))),((AB153-AA153)*12)*N153,IF(AC153&gt;AB153,12*N153,0)))))</f>
        <v>0</v>
      </c>
      <c r="P153" s="263">
        <f>IF(L153=0,0,IF((AND((AE153&gt;=AD153),(AE153&lt;=AC153))),((AE153-AD153)*12)*N153,0))</f>
        <v>0</v>
      </c>
      <c r="Q153" s="263">
        <f>IF(P153&gt;0,P153,O153)</f>
        <v>0</v>
      </c>
      <c r="R153" s="262">
        <v>1</v>
      </c>
      <c r="S153" s="263">
        <f>R153*SUM(O153:P153)</f>
        <v>0</v>
      </c>
      <c r="T153" s="262"/>
      <c r="U153" s="263">
        <f>IF(AA153&gt;AB153,0,IF(AC153&lt;AD153,M153,IF((AND((AC153&gt;=AD153),(AC153&lt;=AB153))),(M153-Q153),IF((AND((AD153&lt;=AA153),(AB153&gt;=AA153))),0,IF(AC153&gt;AB153,((AD153-AA153)*12)*N153,0)))))</f>
        <v>2781</v>
      </c>
      <c r="V153" s="263">
        <f>U153*R153</f>
        <v>2781</v>
      </c>
      <c r="W153" s="262">
        <v>1</v>
      </c>
      <c r="X153" s="263">
        <f>V153*W153</f>
        <v>2781</v>
      </c>
      <c r="Y153" s="263">
        <f>IF(L153&gt;0,0,X153+S153*W153)*W153</f>
        <v>2781</v>
      </c>
      <c r="Z153" s="263">
        <f>IF(L153&gt;0,(K153-X153)/2,IF(AA153&gt;=AD153,(((K153*R153)*W153)-Y153)/2,((((K153*R153)*W153)-X153)+(((K153*R153)*W153)-Y153))/2))</f>
        <v>0</v>
      </c>
      <c r="AA153" s="263">
        <f t="shared" si="55"/>
        <v>1997.75</v>
      </c>
      <c r="AB153" s="263">
        <f t="shared" si="56"/>
        <v>2020.75</v>
      </c>
      <c r="AC153" s="263">
        <f t="shared" si="57"/>
        <v>2002.75</v>
      </c>
      <c r="AD153" s="264">
        <f t="shared" si="58"/>
        <v>2019.75</v>
      </c>
      <c r="AE153" s="264">
        <f t="shared" si="59"/>
        <v>-8.3333333333333329E-2</v>
      </c>
      <c r="AF153" s="264">
        <f t="shared" si="60"/>
        <v>2002.75</v>
      </c>
      <c r="AG153" s="264">
        <f t="shared" si="61"/>
        <v>2019.75</v>
      </c>
      <c r="AH153" s="264">
        <f t="shared" si="62"/>
        <v>-8.3333333333333329E-2</v>
      </c>
    </row>
    <row r="154" spans="1:34">
      <c r="A154" s="277">
        <v>116</v>
      </c>
      <c r="B154" s="277" t="s">
        <v>437</v>
      </c>
      <c r="C154" s="278">
        <v>2008</v>
      </c>
      <c r="D154" s="259">
        <v>6</v>
      </c>
      <c r="E154" s="262"/>
      <c r="F154" s="261" t="s">
        <v>258</v>
      </c>
      <c r="G154" s="261">
        <v>10</v>
      </c>
      <c r="H154" s="259">
        <f>+C154+G154</f>
        <v>2018</v>
      </c>
      <c r="I154" s="262"/>
      <c r="J154" s="262"/>
      <c r="K154" s="280">
        <v>11303</v>
      </c>
      <c r="L154" s="267"/>
      <c r="M154" s="266">
        <f t="shared" si="64"/>
        <v>11303</v>
      </c>
      <c r="N154" s="266">
        <f>M154/G154/12</f>
        <v>94.191666666666663</v>
      </c>
      <c r="O154" s="266">
        <f>IF(L154&gt;0,0,IF((OR((AA154&gt;AB154),(AC154&lt;AD154))),0,IF((AND((AC154&gt;=AD154),(AC154&lt;=AB154))),N154*((AC154-AD154)*12),IF((AND((AD154&lt;=AA154),(AB154&gt;=AA154))),((AB154-AA154)*12)*N154,IF(AC154&gt;AB154,12*N154,0)))))</f>
        <v>0</v>
      </c>
      <c r="P154" s="266">
        <f>IF(L154=0,0,IF((AND((AE154&gt;=AD154),(AE154&lt;=AC154))),((AE154-AD154)*12)*N154,0))</f>
        <v>0</v>
      </c>
      <c r="Q154" s="266">
        <f>IF(P154&gt;0,P154,O154)</f>
        <v>0</v>
      </c>
      <c r="R154" s="267">
        <v>1</v>
      </c>
      <c r="S154" s="266">
        <f>R154*SUM(O154:P154)</f>
        <v>0</v>
      </c>
      <c r="T154" s="267"/>
      <c r="U154" s="266">
        <f>IF(AA154&gt;AB154,0,IF(AC154&lt;AD154,M154,IF((AND((AC154&gt;=AD154),(AC154&lt;=AB154))),(M154-Q154),IF((AND((AD154&lt;=AA154),(AB154&gt;=AA154))),0,IF(AC154&gt;AB154,((AD154-AA154)*12)*N154,0)))))</f>
        <v>11303</v>
      </c>
      <c r="V154" s="266">
        <f>U154*R154</f>
        <v>11303</v>
      </c>
      <c r="W154" s="267">
        <v>1</v>
      </c>
      <c r="X154" s="266">
        <f>V154*W154</f>
        <v>11303</v>
      </c>
      <c r="Y154" s="266">
        <f>IF(L154&gt;0,0,X154+S154*W154)*W154</f>
        <v>11303</v>
      </c>
      <c r="Z154" s="266">
        <f>+M154-Y154</f>
        <v>0</v>
      </c>
      <c r="AA154" s="263">
        <f t="shared" si="55"/>
        <v>2008.4166666666667</v>
      </c>
      <c r="AB154" s="263">
        <f t="shared" si="56"/>
        <v>2020.75</v>
      </c>
      <c r="AC154" s="263">
        <f t="shared" si="57"/>
        <v>2018.4166666666667</v>
      </c>
      <c r="AD154" s="264">
        <f t="shared" si="58"/>
        <v>2019.75</v>
      </c>
      <c r="AE154" s="264">
        <f t="shared" si="59"/>
        <v>-8.3333333333333329E-2</v>
      </c>
      <c r="AF154" s="264">
        <f t="shared" si="60"/>
        <v>2018.4166666666667</v>
      </c>
      <c r="AG154" s="264">
        <f t="shared" si="61"/>
        <v>2019.75</v>
      </c>
      <c r="AH154" s="264">
        <f t="shared" si="62"/>
        <v>-8.3333333333333329E-2</v>
      </c>
    </row>
    <row r="155" spans="1:34">
      <c r="A155" s="257"/>
      <c r="B155" s="268" t="s">
        <v>438</v>
      </c>
      <c r="C155" s="259"/>
      <c r="D155" s="259"/>
      <c r="E155" s="262"/>
      <c r="F155" s="261"/>
      <c r="G155" s="261"/>
      <c r="H155" s="275"/>
      <c r="I155" s="262"/>
      <c r="J155" s="262"/>
      <c r="K155" s="279">
        <f>SUM(K144:K154)</f>
        <v>27219</v>
      </c>
      <c r="L155" s="262">
        <v>0</v>
      </c>
      <c r="M155" s="279">
        <f t="shared" ref="M155:Z155" si="65">SUM(M144:M154)</f>
        <v>27219</v>
      </c>
      <c r="N155" s="279">
        <f t="shared" si="65"/>
        <v>359.45833333333331</v>
      </c>
      <c r="O155" s="279">
        <f t="shared" si="65"/>
        <v>0</v>
      </c>
      <c r="P155" s="279">
        <f t="shared" si="65"/>
        <v>0</v>
      </c>
      <c r="Q155" s="279">
        <f t="shared" si="65"/>
        <v>0</v>
      </c>
      <c r="R155" s="279">
        <f t="shared" si="65"/>
        <v>11</v>
      </c>
      <c r="S155" s="279">
        <f t="shared" si="65"/>
        <v>0</v>
      </c>
      <c r="T155" s="279">
        <f t="shared" si="65"/>
        <v>0</v>
      </c>
      <c r="U155" s="279">
        <f t="shared" si="65"/>
        <v>27219</v>
      </c>
      <c r="V155" s="279">
        <f t="shared" si="65"/>
        <v>27219</v>
      </c>
      <c r="W155" s="279">
        <f t="shared" si="65"/>
        <v>11</v>
      </c>
      <c r="X155" s="279">
        <f t="shared" si="65"/>
        <v>27219</v>
      </c>
      <c r="Y155" s="279">
        <f t="shared" si="65"/>
        <v>27219</v>
      </c>
      <c r="Z155" s="279">
        <f t="shared" si="65"/>
        <v>0</v>
      </c>
      <c r="AA155" s="263"/>
      <c r="AB155" s="263"/>
      <c r="AC155" s="263"/>
      <c r="AD155" s="264"/>
      <c r="AE155" s="264"/>
      <c r="AF155" s="264"/>
      <c r="AG155" s="264"/>
      <c r="AH155" s="264"/>
    </row>
    <row r="156" spans="1:34">
      <c r="A156" s="257"/>
      <c r="B156" s="268"/>
      <c r="C156" s="259"/>
      <c r="D156" s="259"/>
      <c r="E156" s="262"/>
      <c r="F156" s="261"/>
      <c r="G156" s="261"/>
      <c r="H156" s="275"/>
      <c r="I156" s="262"/>
      <c r="J156" s="262"/>
      <c r="K156" s="279"/>
      <c r="L156" s="262"/>
      <c r="M156" s="279"/>
      <c r="N156" s="279"/>
      <c r="O156" s="279"/>
      <c r="P156" s="279"/>
      <c r="Q156" s="279"/>
      <c r="R156" s="279"/>
      <c r="S156" s="279"/>
      <c r="T156" s="279"/>
      <c r="U156" s="279"/>
      <c r="V156" s="279"/>
      <c r="W156" s="279"/>
      <c r="X156" s="279"/>
      <c r="Y156" s="279"/>
      <c r="Z156" s="279"/>
      <c r="AA156" s="263"/>
      <c r="AB156" s="263"/>
      <c r="AC156" s="263"/>
      <c r="AD156" s="264"/>
      <c r="AE156" s="264"/>
      <c r="AF156" s="264"/>
      <c r="AG156" s="264"/>
      <c r="AH156" s="264"/>
    </row>
    <row r="157" spans="1:34">
      <c r="A157" s="257"/>
      <c r="B157" s="276" t="s">
        <v>439</v>
      </c>
      <c r="C157" s="259"/>
      <c r="D157" s="259"/>
      <c r="E157" s="262"/>
      <c r="F157" s="261"/>
      <c r="G157" s="261"/>
      <c r="H157" s="275"/>
      <c r="I157" s="262"/>
      <c r="J157" s="262"/>
      <c r="K157" s="262"/>
      <c r="L157" s="262"/>
      <c r="M157" s="263"/>
      <c r="N157" s="263"/>
      <c r="O157" s="263"/>
      <c r="P157" s="263"/>
      <c r="Q157" s="263"/>
      <c r="R157" s="262"/>
      <c r="S157" s="263"/>
      <c r="T157" s="262"/>
      <c r="U157" s="263"/>
      <c r="V157" s="263"/>
      <c r="W157" s="262"/>
      <c r="X157" s="263"/>
      <c r="Y157" s="263"/>
      <c r="Z157" s="263"/>
      <c r="AA157" s="263"/>
      <c r="AB157" s="263"/>
      <c r="AC157" s="263"/>
      <c r="AD157" s="264"/>
      <c r="AE157" s="264"/>
      <c r="AF157" s="264"/>
      <c r="AG157" s="264"/>
      <c r="AH157" s="264"/>
    </row>
    <row r="158" spans="1:34">
      <c r="A158" s="257">
        <v>2</v>
      </c>
      <c r="B158" s="257" t="s">
        <v>440</v>
      </c>
      <c r="C158" s="281">
        <v>1988</v>
      </c>
      <c r="D158" s="259">
        <v>12</v>
      </c>
      <c r="E158" s="262"/>
      <c r="F158" s="261" t="s">
        <v>258</v>
      </c>
      <c r="G158" s="261">
        <v>5</v>
      </c>
      <c r="H158" s="259">
        <f t="shared" ref="H158:H176" si="66">+C158+G158</f>
        <v>1993</v>
      </c>
      <c r="I158" s="262"/>
      <c r="J158" s="262"/>
      <c r="K158" s="257">
        <v>205</v>
      </c>
      <c r="L158" s="262"/>
      <c r="M158" s="263">
        <f t="shared" ref="M158:M176" si="67">K158-K158*E158</f>
        <v>205</v>
      </c>
      <c r="N158" s="263">
        <f t="shared" ref="N158:N176" si="68">M158/G158/12</f>
        <v>3.4166666666666665</v>
      </c>
      <c r="O158" s="263">
        <f t="shared" ref="O158:O176" si="69">IF(L158&gt;0,0,IF((OR((AA158&gt;AB158),(AC158&lt;AD158))),0,IF((AND((AC158&gt;=AD158),(AC158&lt;=AB158))),N158*((AC158-AD158)*12),IF((AND((AD158&lt;=AA158),(AB158&gt;=AA158))),((AB158-AA158)*12)*N158,IF(AC158&gt;AB158,12*N158,0)))))</f>
        <v>0</v>
      </c>
      <c r="P158" s="263">
        <f t="shared" ref="P158:P176" si="70">IF(L158=0,0,IF((AND((AE158&gt;=AD158),(AE158&lt;=AC158))),((AE158-AD158)*12)*N158,0))</f>
        <v>0</v>
      </c>
      <c r="Q158" s="263">
        <f t="shared" ref="Q158:Q176" si="71">IF(P158&gt;0,P158,O158)</f>
        <v>0</v>
      </c>
      <c r="R158" s="262">
        <v>1</v>
      </c>
      <c r="S158" s="263">
        <f t="shared" ref="S158:S176" si="72">R158*SUM(O158:P158)</f>
        <v>0</v>
      </c>
      <c r="T158" s="262"/>
      <c r="U158" s="263">
        <f t="shared" ref="U158:U176" si="73">IF(AA158&gt;AB158,0,IF(AC158&lt;AD158,M158,IF((AND((AC158&gt;=AD158),(AC158&lt;=AB158))),(M158-Q158),IF((AND((AD158&lt;=AA158),(AB158&gt;=AA158))),0,IF(AC158&gt;AB158,((AD158-AA158)*12)*N158,0)))))</f>
        <v>205</v>
      </c>
      <c r="V158" s="263">
        <f t="shared" ref="V158:V176" si="74">U158*R158</f>
        <v>205</v>
      </c>
      <c r="W158" s="262">
        <v>1</v>
      </c>
      <c r="X158" s="263">
        <f t="shared" ref="X158:X176" si="75">V158*W158</f>
        <v>205</v>
      </c>
      <c r="Y158" s="263">
        <f t="shared" ref="Y158:Y176" si="76">IF(L158&gt;0,0,X158+S158*W158)*W158</f>
        <v>205</v>
      </c>
      <c r="Z158" s="263">
        <f t="shared" ref="Z158:Z176" si="77">IF(L158&gt;0,(K158-X158)/2,IF(AA158&gt;=AD158,(((K158*R158)*W158)-Y158)/2,((((K158*R158)*W158)-X158)+(((K158*R158)*W158)-Y158))/2))</f>
        <v>0</v>
      </c>
      <c r="AA158" s="263">
        <f t="shared" si="55"/>
        <v>1988.9166666666667</v>
      </c>
      <c r="AB158" s="263">
        <f t="shared" si="56"/>
        <v>2020.75</v>
      </c>
      <c r="AC158" s="263">
        <f t="shared" si="57"/>
        <v>1993.9166666666667</v>
      </c>
      <c r="AD158" s="264">
        <f t="shared" si="58"/>
        <v>2019.75</v>
      </c>
      <c r="AE158" s="264">
        <f t="shared" si="59"/>
        <v>-8.3333333333333329E-2</v>
      </c>
      <c r="AF158" s="264">
        <f t="shared" si="60"/>
        <v>1993.9166666666667</v>
      </c>
      <c r="AG158" s="264">
        <f t="shared" si="61"/>
        <v>2019.75</v>
      </c>
      <c r="AH158" s="264">
        <f t="shared" si="62"/>
        <v>-8.3333333333333329E-2</v>
      </c>
    </row>
    <row r="159" spans="1:34">
      <c r="A159" s="257">
        <v>3</v>
      </c>
      <c r="B159" s="257" t="s">
        <v>441</v>
      </c>
      <c r="C159" s="281">
        <v>1989</v>
      </c>
      <c r="D159" s="259">
        <v>9</v>
      </c>
      <c r="E159" s="262"/>
      <c r="F159" s="261" t="s">
        <v>258</v>
      </c>
      <c r="G159" s="261">
        <v>5</v>
      </c>
      <c r="H159" s="259">
        <f t="shared" si="66"/>
        <v>1994</v>
      </c>
      <c r="I159" s="262"/>
      <c r="J159" s="262"/>
      <c r="K159" s="257">
        <v>200</v>
      </c>
      <c r="L159" s="262"/>
      <c r="M159" s="263">
        <f t="shared" si="67"/>
        <v>200</v>
      </c>
      <c r="N159" s="263">
        <f t="shared" si="68"/>
        <v>3.3333333333333335</v>
      </c>
      <c r="O159" s="263">
        <f t="shared" si="69"/>
        <v>0</v>
      </c>
      <c r="P159" s="263">
        <f t="shared" si="70"/>
        <v>0</v>
      </c>
      <c r="Q159" s="263">
        <f t="shared" si="71"/>
        <v>0</v>
      </c>
      <c r="R159" s="262">
        <v>1</v>
      </c>
      <c r="S159" s="263">
        <f t="shared" si="72"/>
        <v>0</v>
      </c>
      <c r="T159" s="262"/>
      <c r="U159" s="263">
        <f t="shared" si="73"/>
        <v>200</v>
      </c>
      <c r="V159" s="263">
        <f t="shared" si="74"/>
        <v>200</v>
      </c>
      <c r="W159" s="262">
        <v>1</v>
      </c>
      <c r="X159" s="263">
        <f t="shared" si="75"/>
        <v>200</v>
      </c>
      <c r="Y159" s="263">
        <f t="shared" si="76"/>
        <v>200</v>
      </c>
      <c r="Z159" s="263">
        <f t="shared" si="77"/>
        <v>0</v>
      </c>
      <c r="AA159" s="263">
        <f t="shared" si="55"/>
        <v>1989.6666666666667</v>
      </c>
      <c r="AB159" s="263">
        <f t="shared" si="56"/>
        <v>2020.75</v>
      </c>
      <c r="AC159" s="263">
        <f t="shared" si="57"/>
        <v>1994.6666666666667</v>
      </c>
      <c r="AD159" s="264">
        <f t="shared" si="58"/>
        <v>2019.75</v>
      </c>
      <c r="AE159" s="264">
        <f t="shared" si="59"/>
        <v>-8.3333333333333329E-2</v>
      </c>
      <c r="AF159" s="264">
        <f t="shared" si="60"/>
        <v>1994.6666666666667</v>
      </c>
      <c r="AG159" s="264">
        <f t="shared" si="61"/>
        <v>2019.75</v>
      </c>
      <c r="AH159" s="264">
        <f t="shared" si="62"/>
        <v>-8.3333333333333329E-2</v>
      </c>
    </row>
    <row r="160" spans="1:34">
      <c r="A160" s="257">
        <v>4</v>
      </c>
      <c r="B160" s="257" t="s">
        <v>442</v>
      </c>
      <c r="C160" s="281">
        <v>1994</v>
      </c>
      <c r="D160" s="259">
        <v>5</v>
      </c>
      <c r="E160" s="262"/>
      <c r="F160" s="261" t="s">
        <v>258</v>
      </c>
      <c r="G160" s="261">
        <v>5</v>
      </c>
      <c r="H160" s="259">
        <f t="shared" si="66"/>
        <v>1999</v>
      </c>
      <c r="I160" s="262"/>
      <c r="J160" s="262"/>
      <c r="K160" s="257">
        <v>210</v>
      </c>
      <c r="L160" s="262"/>
      <c r="M160" s="263">
        <f t="shared" si="67"/>
        <v>210</v>
      </c>
      <c r="N160" s="263">
        <f t="shared" si="68"/>
        <v>3.5</v>
      </c>
      <c r="O160" s="263">
        <f t="shared" si="69"/>
        <v>0</v>
      </c>
      <c r="P160" s="263">
        <f t="shared" si="70"/>
        <v>0</v>
      </c>
      <c r="Q160" s="263">
        <f t="shared" si="71"/>
        <v>0</v>
      </c>
      <c r="R160" s="262">
        <v>1</v>
      </c>
      <c r="S160" s="263">
        <f t="shared" si="72"/>
        <v>0</v>
      </c>
      <c r="T160" s="262"/>
      <c r="U160" s="263">
        <f t="shared" si="73"/>
        <v>210</v>
      </c>
      <c r="V160" s="263">
        <f t="shared" si="74"/>
        <v>210</v>
      </c>
      <c r="W160" s="262">
        <v>1</v>
      </c>
      <c r="X160" s="263">
        <f t="shared" si="75"/>
        <v>210</v>
      </c>
      <c r="Y160" s="263">
        <f t="shared" si="76"/>
        <v>210</v>
      </c>
      <c r="Z160" s="263">
        <f t="shared" si="77"/>
        <v>0</v>
      </c>
      <c r="AA160" s="263">
        <f t="shared" si="55"/>
        <v>1994.3333333333333</v>
      </c>
      <c r="AB160" s="263">
        <f t="shared" si="56"/>
        <v>2020.75</v>
      </c>
      <c r="AC160" s="263">
        <f t="shared" si="57"/>
        <v>1999.3333333333333</v>
      </c>
      <c r="AD160" s="264">
        <f t="shared" si="58"/>
        <v>2019.75</v>
      </c>
      <c r="AE160" s="264">
        <f t="shared" si="59"/>
        <v>-8.3333333333333329E-2</v>
      </c>
      <c r="AF160" s="264">
        <f t="shared" si="60"/>
        <v>1999.3333333333333</v>
      </c>
      <c r="AG160" s="264">
        <f t="shared" si="61"/>
        <v>2019.75</v>
      </c>
      <c r="AH160" s="264">
        <f t="shared" si="62"/>
        <v>-8.3333333333333329E-2</v>
      </c>
    </row>
    <row r="161" spans="1:34">
      <c r="A161" s="257">
        <v>5</v>
      </c>
      <c r="B161" s="257" t="s">
        <v>443</v>
      </c>
      <c r="C161" s="281">
        <v>1994</v>
      </c>
      <c r="D161" s="259">
        <v>4</v>
      </c>
      <c r="E161" s="262"/>
      <c r="F161" s="261" t="s">
        <v>258</v>
      </c>
      <c r="G161" s="261">
        <v>5</v>
      </c>
      <c r="H161" s="259">
        <f t="shared" si="66"/>
        <v>1999</v>
      </c>
      <c r="I161" s="262"/>
      <c r="J161" s="262"/>
      <c r="K161" s="257">
        <v>245</v>
      </c>
      <c r="L161" s="262"/>
      <c r="M161" s="263">
        <f t="shared" si="67"/>
        <v>245</v>
      </c>
      <c r="N161" s="263">
        <f t="shared" si="68"/>
        <v>4.083333333333333</v>
      </c>
      <c r="O161" s="263">
        <f t="shared" si="69"/>
        <v>0</v>
      </c>
      <c r="P161" s="263">
        <f t="shared" si="70"/>
        <v>0</v>
      </c>
      <c r="Q161" s="263">
        <f t="shared" si="71"/>
        <v>0</v>
      </c>
      <c r="R161" s="262">
        <v>1</v>
      </c>
      <c r="S161" s="263">
        <f t="shared" si="72"/>
        <v>0</v>
      </c>
      <c r="T161" s="262"/>
      <c r="U161" s="263">
        <f t="shared" si="73"/>
        <v>245</v>
      </c>
      <c r="V161" s="263">
        <f t="shared" si="74"/>
        <v>245</v>
      </c>
      <c r="W161" s="262">
        <v>1</v>
      </c>
      <c r="X161" s="263">
        <f t="shared" si="75"/>
        <v>245</v>
      </c>
      <c r="Y161" s="263">
        <f t="shared" si="76"/>
        <v>245</v>
      </c>
      <c r="Z161" s="263">
        <f t="shared" si="77"/>
        <v>0</v>
      </c>
      <c r="AA161" s="263">
        <f t="shared" si="55"/>
        <v>1994.25</v>
      </c>
      <c r="AB161" s="263">
        <f t="shared" si="56"/>
        <v>2020.75</v>
      </c>
      <c r="AC161" s="263">
        <f t="shared" si="57"/>
        <v>1999.25</v>
      </c>
      <c r="AD161" s="264">
        <f t="shared" si="58"/>
        <v>2019.75</v>
      </c>
      <c r="AE161" s="264">
        <f t="shared" si="59"/>
        <v>-8.3333333333333329E-2</v>
      </c>
      <c r="AF161" s="264">
        <f t="shared" si="60"/>
        <v>1999.25</v>
      </c>
      <c r="AG161" s="264">
        <f t="shared" si="61"/>
        <v>2019.75</v>
      </c>
      <c r="AH161" s="264">
        <f t="shared" si="62"/>
        <v>-8.3333333333333329E-2</v>
      </c>
    </row>
    <row r="162" spans="1:34">
      <c r="A162" s="257">
        <v>8</v>
      </c>
      <c r="B162" s="257" t="s">
        <v>444</v>
      </c>
      <c r="C162" s="281">
        <v>1980</v>
      </c>
      <c r="D162" s="259">
        <v>7</v>
      </c>
      <c r="E162" s="262"/>
      <c r="F162" s="261" t="s">
        <v>258</v>
      </c>
      <c r="G162" s="261">
        <v>5</v>
      </c>
      <c r="H162" s="259">
        <f t="shared" si="66"/>
        <v>1985</v>
      </c>
      <c r="I162" s="262"/>
      <c r="J162" s="262"/>
      <c r="K162" s="257">
        <v>132</v>
      </c>
      <c r="L162" s="262"/>
      <c r="M162" s="263">
        <f t="shared" si="67"/>
        <v>132</v>
      </c>
      <c r="N162" s="263">
        <f t="shared" si="68"/>
        <v>2.1999999999999997</v>
      </c>
      <c r="O162" s="263">
        <f t="shared" si="69"/>
        <v>0</v>
      </c>
      <c r="P162" s="263">
        <f t="shared" si="70"/>
        <v>0</v>
      </c>
      <c r="Q162" s="263">
        <f t="shared" si="71"/>
        <v>0</v>
      </c>
      <c r="R162" s="262">
        <v>1</v>
      </c>
      <c r="S162" s="263">
        <f t="shared" si="72"/>
        <v>0</v>
      </c>
      <c r="T162" s="262"/>
      <c r="U162" s="263">
        <f t="shared" si="73"/>
        <v>132</v>
      </c>
      <c r="V162" s="263">
        <f t="shared" si="74"/>
        <v>132</v>
      </c>
      <c r="W162" s="262">
        <v>1</v>
      </c>
      <c r="X162" s="263">
        <f t="shared" si="75"/>
        <v>132</v>
      </c>
      <c r="Y162" s="263">
        <f t="shared" si="76"/>
        <v>132</v>
      </c>
      <c r="Z162" s="263">
        <f t="shared" si="77"/>
        <v>0</v>
      </c>
      <c r="AA162" s="263">
        <f t="shared" si="55"/>
        <v>1980.5</v>
      </c>
      <c r="AB162" s="263">
        <f t="shared" si="56"/>
        <v>2020.75</v>
      </c>
      <c r="AC162" s="263">
        <f t="shared" si="57"/>
        <v>1985.5</v>
      </c>
      <c r="AD162" s="264">
        <f t="shared" si="58"/>
        <v>2019.75</v>
      </c>
      <c r="AE162" s="264">
        <f t="shared" si="59"/>
        <v>-8.3333333333333329E-2</v>
      </c>
      <c r="AF162" s="264">
        <f t="shared" si="60"/>
        <v>1985.5</v>
      </c>
      <c r="AG162" s="264">
        <f t="shared" si="61"/>
        <v>2019.75</v>
      </c>
      <c r="AH162" s="264">
        <f t="shared" si="62"/>
        <v>-8.3333333333333329E-2</v>
      </c>
    </row>
    <row r="163" spans="1:34">
      <c r="A163" s="257">
        <v>9</v>
      </c>
      <c r="B163" s="257" t="s">
        <v>445</v>
      </c>
      <c r="C163" s="281">
        <v>1980</v>
      </c>
      <c r="D163" s="259">
        <v>12</v>
      </c>
      <c r="E163" s="262"/>
      <c r="F163" s="261" t="s">
        <v>258</v>
      </c>
      <c r="G163" s="261">
        <v>5</v>
      </c>
      <c r="H163" s="259">
        <f t="shared" si="66"/>
        <v>1985</v>
      </c>
      <c r="I163" s="262"/>
      <c r="J163" s="262"/>
      <c r="K163" s="257">
        <v>506</v>
      </c>
      <c r="L163" s="262"/>
      <c r="M163" s="263">
        <f t="shared" si="67"/>
        <v>506</v>
      </c>
      <c r="N163" s="263">
        <f t="shared" si="68"/>
        <v>8.4333333333333336</v>
      </c>
      <c r="O163" s="263">
        <f t="shared" si="69"/>
        <v>0</v>
      </c>
      <c r="P163" s="263">
        <f t="shared" si="70"/>
        <v>0</v>
      </c>
      <c r="Q163" s="263">
        <f t="shared" si="71"/>
        <v>0</v>
      </c>
      <c r="R163" s="262">
        <v>1</v>
      </c>
      <c r="S163" s="263">
        <f t="shared" si="72"/>
        <v>0</v>
      </c>
      <c r="T163" s="262"/>
      <c r="U163" s="263">
        <f t="shared" si="73"/>
        <v>506</v>
      </c>
      <c r="V163" s="263">
        <f t="shared" si="74"/>
        <v>506</v>
      </c>
      <c r="W163" s="262">
        <v>1</v>
      </c>
      <c r="X163" s="263">
        <f t="shared" si="75"/>
        <v>506</v>
      </c>
      <c r="Y163" s="263">
        <f t="shared" si="76"/>
        <v>506</v>
      </c>
      <c r="Z163" s="263">
        <f t="shared" si="77"/>
        <v>0</v>
      </c>
      <c r="AA163" s="263">
        <f t="shared" si="55"/>
        <v>1980.9166666666667</v>
      </c>
      <c r="AB163" s="263">
        <f t="shared" si="56"/>
        <v>2020.75</v>
      </c>
      <c r="AC163" s="263">
        <f t="shared" si="57"/>
        <v>1985.9166666666667</v>
      </c>
      <c r="AD163" s="264">
        <f t="shared" si="58"/>
        <v>2019.75</v>
      </c>
      <c r="AE163" s="264">
        <f t="shared" si="59"/>
        <v>-8.3333333333333329E-2</v>
      </c>
      <c r="AF163" s="264">
        <f t="shared" si="60"/>
        <v>1985.9166666666667</v>
      </c>
      <c r="AG163" s="264">
        <f t="shared" si="61"/>
        <v>2019.75</v>
      </c>
      <c r="AH163" s="264">
        <f t="shared" si="62"/>
        <v>-8.3333333333333329E-2</v>
      </c>
    </row>
    <row r="164" spans="1:34">
      <c r="A164" s="257">
        <v>10</v>
      </c>
      <c r="B164" s="257" t="s">
        <v>445</v>
      </c>
      <c r="C164" s="281">
        <v>1980</v>
      </c>
      <c r="D164" s="259">
        <v>7</v>
      </c>
      <c r="E164" s="262"/>
      <c r="F164" s="261" t="s">
        <v>258</v>
      </c>
      <c r="G164" s="261">
        <v>5</v>
      </c>
      <c r="H164" s="259">
        <f t="shared" si="66"/>
        <v>1985</v>
      </c>
      <c r="I164" s="262"/>
      <c r="J164" s="262"/>
      <c r="K164" s="257">
        <v>29</v>
      </c>
      <c r="L164" s="262"/>
      <c r="M164" s="263">
        <f t="shared" si="67"/>
        <v>29</v>
      </c>
      <c r="N164" s="263">
        <f t="shared" si="68"/>
        <v>0.48333333333333334</v>
      </c>
      <c r="O164" s="263">
        <f t="shared" si="69"/>
        <v>0</v>
      </c>
      <c r="P164" s="263">
        <f t="shared" si="70"/>
        <v>0</v>
      </c>
      <c r="Q164" s="263">
        <f t="shared" si="71"/>
        <v>0</v>
      </c>
      <c r="R164" s="262">
        <v>1</v>
      </c>
      <c r="S164" s="263">
        <f t="shared" si="72"/>
        <v>0</v>
      </c>
      <c r="T164" s="262"/>
      <c r="U164" s="263">
        <f t="shared" si="73"/>
        <v>29</v>
      </c>
      <c r="V164" s="263">
        <f t="shared" si="74"/>
        <v>29</v>
      </c>
      <c r="W164" s="262">
        <v>1</v>
      </c>
      <c r="X164" s="263">
        <f t="shared" si="75"/>
        <v>29</v>
      </c>
      <c r="Y164" s="263">
        <f t="shared" si="76"/>
        <v>29</v>
      </c>
      <c r="Z164" s="263">
        <f t="shared" si="77"/>
        <v>0</v>
      </c>
      <c r="AA164" s="263">
        <f t="shared" si="55"/>
        <v>1980.5</v>
      </c>
      <c r="AB164" s="263">
        <f t="shared" si="56"/>
        <v>2020.75</v>
      </c>
      <c r="AC164" s="263">
        <f t="shared" si="57"/>
        <v>1985.5</v>
      </c>
      <c r="AD164" s="264">
        <f t="shared" si="58"/>
        <v>2019.75</v>
      </c>
      <c r="AE164" s="264">
        <f t="shared" si="59"/>
        <v>-8.3333333333333329E-2</v>
      </c>
      <c r="AF164" s="264">
        <f t="shared" si="60"/>
        <v>1985.5</v>
      </c>
      <c r="AG164" s="264">
        <f t="shared" si="61"/>
        <v>2019.75</v>
      </c>
      <c r="AH164" s="264">
        <f t="shared" si="62"/>
        <v>-8.3333333333333329E-2</v>
      </c>
    </row>
    <row r="165" spans="1:34">
      <c r="A165" s="257">
        <v>11</v>
      </c>
      <c r="B165" s="257" t="s">
        <v>446</v>
      </c>
      <c r="C165" s="281">
        <v>1980</v>
      </c>
      <c r="D165" s="259">
        <v>10</v>
      </c>
      <c r="E165" s="262"/>
      <c r="F165" s="261" t="s">
        <v>258</v>
      </c>
      <c r="G165" s="261">
        <v>5</v>
      </c>
      <c r="H165" s="259">
        <f t="shared" si="66"/>
        <v>1985</v>
      </c>
      <c r="I165" s="262"/>
      <c r="J165" s="262"/>
      <c r="K165" s="257">
        <v>195</v>
      </c>
      <c r="L165" s="262"/>
      <c r="M165" s="263">
        <f t="shared" si="67"/>
        <v>195</v>
      </c>
      <c r="N165" s="263">
        <f t="shared" si="68"/>
        <v>3.25</v>
      </c>
      <c r="O165" s="263">
        <f t="shared" si="69"/>
        <v>0</v>
      </c>
      <c r="P165" s="263">
        <f t="shared" si="70"/>
        <v>0</v>
      </c>
      <c r="Q165" s="263">
        <f t="shared" si="71"/>
        <v>0</v>
      </c>
      <c r="R165" s="262">
        <v>1</v>
      </c>
      <c r="S165" s="263">
        <f t="shared" si="72"/>
        <v>0</v>
      </c>
      <c r="T165" s="262"/>
      <c r="U165" s="263">
        <f t="shared" si="73"/>
        <v>195</v>
      </c>
      <c r="V165" s="263">
        <f t="shared" si="74"/>
        <v>195</v>
      </c>
      <c r="W165" s="262">
        <v>1</v>
      </c>
      <c r="X165" s="263">
        <f t="shared" si="75"/>
        <v>195</v>
      </c>
      <c r="Y165" s="263">
        <f t="shared" si="76"/>
        <v>195</v>
      </c>
      <c r="Z165" s="263">
        <f t="shared" si="77"/>
        <v>0</v>
      </c>
      <c r="AA165" s="263">
        <f t="shared" si="55"/>
        <v>1980.75</v>
      </c>
      <c r="AB165" s="263">
        <f t="shared" si="56"/>
        <v>2020.75</v>
      </c>
      <c r="AC165" s="263">
        <f t="shared" si="57"/>
        <v>1985.75</v>
      </c>
      <c r="AD165" s="264">
        <f t="shared" si="58"/>
        <v>2019.75</v>
      </c>
      <c r="AE165" s="264">
        <f t="shared" si="59"/>
        <v>-8.3333333333333329E-2</v>
      </c>
      <c r="AF165" s="264">
        <f t="shared" si="60"/>
        <v>1985.75</v>
      </c>
      <c r="AG165" s="264">
        <f t="shared" si="61"/>
        <v>2019.75</v>
      </c>
      <c r="AH165" s="264">
        <f t="shared" si="62"/>
        <v>-8.3333333333333329E-2</v>
      </c>
    </row>
    <row r="166" spans="1:34">
      <c r="A166" s="257">
        <v>12</v>
      </c>
      <c r="B166" s="257" t="s">
        <v>445</v>
      </c>
      <c r="C166" s="281">
        <v>1980</v>
      </c>
      <c r="D166" s="259">
        <v>12</v>
      </c>
      <c r="E166" s="262"/>
      <c r="F166" s="261" t="s">
        <v>258</v>
      </c>
      <c r="G166" s="261">
        <v>5</v>
      </c>
      <c r="H166" s="259">
        <f t="shared" si="66"/>
        <v>1985</v>
      </c>
      <c r="I166" s="262"/>
      <c r="J166" s="262"/>
      <c r="K166" s="257">
        <v>35</v>
      </c>
      <c r="L166" s="262"/>
      <c r="M166" s="263">
        <f t="shared" si="67"/>
        <v>35</v>
      </c>
      <c r="N166" s="263">
        <f t="shared" si="68"/>
        <v>0.58333333333333337</v>
      </c>
      <c r="O166" s="263">
        <f t="shared" si="69"/>
        <v>0</v>
      </c>
      <c r="P166" s="263">
        <f t="shared" si="70"/>
        <v>0</v>
      </c>
      <c r="Q166" s="263">
        <f t="shared" si="71"/>
        <v>0</v>
      </c>
      <c r="R166" s="262">
        <v>1</v>
      </c>
      <c r="S166" s="263">
        <f t="shared" si="72"/>
        <v>0</v>
      </c>
      <c r="T166" s="262"/>
      <c r="U166" s="263">
        <f t="shared" si="73"/>
        <v>35</v>
      </c>
      <c r="V166" s="263">
        <f t="shared" si="74"/>
        <v>35</v>
      </c>
      <c r="W166" s="262">
        <v>1</v>
      </c>
      <c r="X166" s="263">
        <f t="shared" si="75"/>
        <v>35</v>
      </c>
      <c r="Y166" s="263">
        <f t="shared" si="76"/>
        <v>35</v>
      </c>
      <c r="Z166" s="263">
        <f t="shared" si="77"/>
        <v>0</v>
      </c>
      <c r="AA166" s="263">
        <f t="shared" si="55"/>
        <v>1980.9166666666667</v>
      </c>
      <c r="AB166" s="263">
        <f t="shared" si="56"/>
        <v>2020.75</v>
      </c>
      <c r="AC166" s="263">
        <f t="shared" si="57"/>
        <v>1985.9166666666667</v>
      </c>
      <c r="AD166" s="264">
        <f t="shared" si="58"/>
        <v>2019.75</v>
      </c>
      <c r="AE166" s="264">
        <f t="shared" si="59"/>
        <v>-8.3333333333333329E-2</v>
      </c>
      <c r="AF166" s="264">
        <f t="shared" si="60"/>
        <v>1985.9166666666667</v>
      </c>
      <c r="AG166" s="264">
        <f t="shared" si="61"/>
        <v>2019.75</v>
      </c>
      <c r="AH166" s="264">
        <f t="shared" si="62"/>
        <v>-8.3333333333333329E-2</v>
      </c>
    </row>
    <row r="167" spans="1:34">
      <c r="A167" s="257">
        <v>13</v>
      </c>
      <c r="B167" s="257" t="s">
        <v>447</v>
      </c>
      <c r="C167" s="281">
        <v>1980</v>
      </c>
      <c r="D167" s="259">
        <v>12</v>
      </c>
      <c r="E167" s="262"/>
      <c r="F167" s="261" t="s">
        <v>258</v>
      </c>
      <c r="G167" s="261">
        <v>5</v>
      </c>
      <c r="H167" s="259">
        <f t="shared" si="66"/>
        <v>1985</v>
      </c>
      <c r="I167" s="262"/>
      <c r="J167" s="262"/>
      <c r="K167" s="257">
        <v>125</v>
      </c>
      <c r="L167" s="262"/>
      <c r="M167" s="263">
        <f t="shared" si="67"/>
        <v>125</v>
      </c>
      <c r="N167" s="263">
        <f t="shared" si="68"/>
        <v>2.0833333333333335</v>
      </c>
      <c r="O167" s="263">
        <f t="shared" si="69"/>
        <v>0</v>
      </c>
      <c r="P167" s="263">
        <f t="shared" si="70"/>
        <v>0</v>
      </c>
      <c r="Q167" s="263">
        <f t="shared" si="71"/>
        <v>0</v>
      </c>
      <c r="R167" s="262">
        <v>1</v>
      </c>
      <c r="S167" s="263">
        <f t="shared" si="72"/>
        <v>0</v>
      </c>
      <c r="T167" s="262"/>
      <c r="U167" s="263">
        <f t="shared" si="73"/>
        <v>125</v>
      </c>
      <c r="V167" s="263">
        <f t="shared" si="74"/>
        <v>125</v>
      </c>
      <c r="W167" s="262">
        <v>1</v>
      </c>
      <c r="X167" s="263">
        <f t="shared" si="75"/>
        <v>125</v>
      </c>
      <c r="Y167" s="263">
        <f t="shared" si="76"/>
        <v>125</v>
      </c>
      <c r="Z167" s="263">
        <f t="shared" si="77"/>
        <v>0</v>
      </c>
      <c r="AA167" s="263">
        <f t="shared" si="55"/>
        <v>1980.9166666666667</v>
      </c>
      <c r="AB167" s="263">
        <f t="shared" si="56"/>
        <v>2020.75</v>
      </c>
      <c r="AC167" s="263">
        <f t="shared" si="57"/>
        <v>1985.9166666666667</v>
      </c>
      <c r="AD167" s="264">
        <f t="shared" si="58"/>
        <v>2019.75</v>
      </c>
      <c r="AE167" s="264">
        <f t="shared" si="59"/>
        <v>-8.3333333333333329E-2</v>
      </c>
      <c r="AF167" s="264">
        <f t="shared" si="60"/>
        <v>1985.9166666666667</v>
      </c>
      <c r="AG167" s="264">
        <f t="shared" si="61"/>
        <v>2019.75</v>
      </c>
      <c r="AH167" s="264">
        <f t="shared" si="62"/>
        <v>-8.3333333333333329E-2</v>
      </c>
    </row>
    <row r="168" spans="1:34">
      <c r="A168" s="257">
        <v>14</v>
      </c>
      <c r="B168" s="257" t="s">
        <v>448</v>
      </c>
      <c r="C168" s="281">
        <v>1980</v>
      </c>
      <c r="D168" s="259">
        <v>12</v>
      </c>
      <c r="E168" s="262"/>
      <c r="F168" s="261" t="s">
        <v>258</v>
      </c>
      <c r="G168" s="261">
        <v>5</v>
      </c>
      <c r="H168" s="259">
        <f t="shared" si="66"/>
        <v>1985</v>
      </c>
      <c r="I168" s="262"/>
      <c r="J168" s="262"/>
      <c r="K168" s="257">
        <v>585</v>
      </c>
      <c r="L168" s="262"/>
      <c r="M168" s="263">
        <f t="shared" si="67"/>
        <v>585</v>
      </c>
      <c r="N168" s="263">
        <f t="shared" si="68"/>
        <v>9.75</v>
      </c>
      <c r="O168" s="263">
        <f t="shared" si="69"/>
        <v>0</v>
      </c>
      <c r="P168" s="263">
        <f t="shared" si="70"/>
        <v>0</v>
      </c>
      <c r="Q168" s="263">
        <f t="shared" si="71"/>
        <v>0</v>
      </c>
      <c r="R168" s="262">
        <v>1</v>
      </c>
      <c r="S168" s="263">
        <f t="shared" si="72"/>
        <v>0</v>
      </c>
      <c r="T168" s="262"/>
      <c r="U168" s="263">
        <f t="shared" si="73"/>
        <v>585</v>
      </c>
      <c r="V168" s="263">
        <f t="shared" si="74"/>
        <v>585</v>
      </c>
      <c r="W168" s="262">
        <v>1</v>
      </c>
      <c r="X168" s="263">
        <f t="shared" si="75"/>
        <v>585</v>
      </c>
      <c r="Y168" s="263">
        <f t="shared" si="76"/>
        <v>585</v>
      </c>
      <c r="Z168" s="263">
        <f t="shared" si="77"/>
        <v>0</v>
      </c>
      <c r="AA168" s="263">
        <f t="shared" si="55"/>
        <v>1980.9166666666667</v>
      </c>
      <c r="AB168" s="263">
        <f t="shared" si="56"/>
        <v>2020.75</v>
      </c>
      <c r="AC168" s="263">
        <f t="shared" si="57"/>
        <v>1985.9166666666667</v>
      </c>
      <c r="AD168" s="264">
        <f t="shared" si="58"/>
        <v>2019.75</v>
      </c>
      <c r="AE168" s="264">
        <f t="shared" si="59"/>
        <v>-8.3333333333333329E-2</v>
      </c>
      <c r="AF168" s="264">
        <f t="shared" si="60"/>
        <v>1985.9166666666667</v>
      </c>
      <c r="AG168" s="264">
        <f t="shared" si="61"/>
        <v>2019.75</v>
      </c>
      <c r="AH168" s="264">
        <f t="shared" si="62"/>
        <v>-8.3333333333333329E-2</v>
      </c>
    </row>
    <row r="169" spans="1:34">
      <c r="A169" s="257">
        <v>15</v>
      </c>
      <c r="B169" s="257" t="s">
        <v>449</v>
      </c>
      <c r="C169" s="281">
        <v>1987</v>
      </c>
      <c r="D169" s="259">
        <v>4</v>
      </c>
      <c r="E169" s="262"/>
      <c r="F169" s="261" t="s">
        <v>258</v>
      </c>
      <c r="G169" s="261">
        <v>5</v>
      </c>
      <c r="H169" s="259">
        <f t="shared" si="66"/>
        <v>1992</v>
      </c>
      <c r="I169" s="262"/>
      <c r="J169" s="262"/>
      <c r="K169" s="257">
        <v>159</v>
      </c>
      <c r="L169" s="262"/>
      <c r="M169" s="263">
        <f t="shared" si="67"/>
        <v>159</v>
      </c>
      <c r="N169" s="263">
        <f t="shared" si="68"/>
        <v>2.65</v>
      </c>
      <c r="O169" s="263">
        <f t="shared" si="69"/>
        <v>0</v>
      </c>
      <c r="P169" s="263">
        <f t="shared" si="70"/>
        <v>0</v>
      </c>
      <c r="Q169" s="263">
        <f t="shared" si="71"/>
        <v>0</v>
      </c>
      <c r="R169" s="262">
        <v>1</v>
      </c>
      <c r="S169" s="263">
        <f t="shared" si="72"/>
        <v>0</v>
      </c>
      <c r="T169" s="262"/>
      <c r="U169" s="263">
        <f t="shared" si="73"/>
        <v>159</v>
      </c>
      <c r="V169" s="263">
        <f t="shared" si="74"/>
        <v>159</v>
      </c>
      <c r="W169" s="262">
        <v>1</v>
      </c>
      <c r="X169" s="263">
        <f t="shared" si="75"/>
        <v>159</v>
      </c>
      <c r="Y169" s="263">
        <f t="shared" si="76"/>
        <v>159</v>
      </c>
      <c r="Z169" s="263">
        <f t="shared" si="77"/>
        <v>0</v>
      </c>
      <c r="AA169" s="263">
        <f t="shared" si="55"/>
        <v>1987.25</v>
      </c>
      <c r="AB169" s="263">
        <f t="shared" si="56"/>
        <v>2020.75</v>
      </c>
      <c r="AC169" s="263">
        <f t="shared" si="57"/>
        <v>1992.25</v>
      </c>
      <c r="AD169" s="264">
        <f t="shared" si="58"/>
        <v>2019.75</v>
      </c>
      <c r="AE169" s="264">
        <f t="shared" si="59"/>
        <v>-8.3333333333333329E-2</v>
      </c>
      <c r="AF169" s="264">
        <f t="shared" si="60"/>
        <v>1992.25</v>
      </c>
      <c r="AG169" s="264">
        <f t="shared" si="61"/>
        <v>2019.75</v>
      </c>
      <c r="AH169" s="264">
        <f t="shared" si="62"/>
        <v>-8.3333333333333329E-2</v>
      </c>
    </row>
    <row r="170" spans="1:34">
      <c r="A170" s="257">
        <v>16</v>
      </c>
      <c r="B170" s="257" t="s">
        <v>450</v>
      </c>
      <c r="C170" s="281">
        <v>1981</v>
      </c>
      <c r="D170" s="259">
        <v>7</v>
      </c>
      <c r="E170" s="262"/>
      <c r="F170" s="261" t="s">
        <v>258</v>
      </c>
      <c r="G170" s="261">
        <v>5</v>
      </c>
      <c r="H170" s="259">
        <f t="shared" si="66"/>
        <v>1986</v>
      </c>
      <c r="I170" s="262"/>
      <c r="J170" s="262"/>
      <c r="K170" s="257">
        <v>38</v>
      </c>
      <c r="L170" s="262"/>
      <c r="M170" s="263">
        <f t="shared" si="67"/>
        <v>38</v>
      </c>
      <c r="N170" s="263">
        <f t="shared" si="68"/>
        <v>0.6333333333333333</v>
      </c>
      <c r="O170" s="263">
        <f t="shared" si="69"/>
        <v>0</v>
      </c>
      <c r="P170" s="263">
        <f t="shared" si="70"/>
        <v>0</v>
      </c>
      <c r="Q170" s="263">
        <f t="shared" si="71"/>
        <v>0</v>
      </c>
      <c r="R170" s="262">
        <v>1</v>
      </c>
      <c r="S170" s="263">
        <f t="shared" si="72"/>
        <v>0</v>
      </c>
      <c r="T170" s="262"/>
      <c r="U170" s="263">
        <f t="shared" si="73"/>
        <v>38</v>
      </c>
      <c r="V170" s="263">
        <f t="shared" si="74"/>
        <v>38</v>
      </c>
      <c r="W170" s="262">
        <v>1</v>
      </c>
      <c r="X170" s="263">
        <f t="shared" si="75"/>
        <v>38</v>
      </c>
      <c r="Y170" s="263">
        <f t="shared" si="76"/>
        <v>38</v>
      </c>
      <c r="Z170" s="263">
        <f t="shared" si="77"/>
        <v>0</v>
      </c>
      <c r="AA170" s="263">
        <f t="shared" si="55"/>
        <v>1981.5</v>
      </c>
      <c r="AB170" s="263">
        <f t="shared" si="56"/>
        <v>2020.75</v>
      </c>
      <c r="AC170" s="263">
        <f t="shared" si="57"/>
        <v>1986.5</v>
      </c>
      <c r="AD170" s="264">
        <f t="shared" si="58"/>
        <v>2019.75</v>
      </c>
      <c r="AE170" s="264">
        <f t="shared" si="59"/>
        <v>-8.3333333333333329E-2</v>
      </c>
      <c r="AF170" s="264">
        <f t="shared" si="60"/>
        <v>1986.5</v>
      </c>
      <c r="AG170" s="264">
        <f t="shared" si="61"/>
        <v>2019.75</v>
      </c>
      <c r="AH170" s="264">
        <f t="shared" si="62"/>
        <v>-8.3333333333333329E-2</v>
      </c>
    </row>
    <row r="171" spans="1:34">
      <c r="A171" s="257">
        <v>54</v>
      </c>
      <c r="B171" s="257" t="s">
        <v>448</v>
      </c>
      <c r="C171" s="281">
        <v>1997</v>
      </c>
      <c r="D171" s="259">
        <v>10</v>
      </c>
      <c r="E171" s="262"/>
      <c r="F171" s="261" t="s">
        <v>258</v>
      </c>
      <c r="G171" s="261">
        <v>5</v>
      </c>
      <c r="H171" s="259">
        <f t="shared" si="66"/>
        <v>2002</v>
      </c>
      <c r="I171" s="262"/>
      <c r="J171" s="262"/>
      <c r="K171" s="263">
        <v>1265</v>
      </c>
      <c r="L171" s="262"/>
      <c r="M171" s="263">
        <f t="shared" si="67"/>
        <v>1265</v>
      </c>
      <c r="N171" s="263">
        <f t="shared" si="68"/>
        <v>21.083333333333332</v>
      </c>
      <c r="O171" s="263">
        <f t="shared" si="69"/>
        <v>0</v>
      </c>
      <c r="P171" s="263">
        <f t="shared" si="70"/>
        <v>0</v>
      </c>
      <c r="Q171" s="263">
        <f t="shared" si="71"/>
        <v>0</v>
      </c>
      <c r="R171" s="262">
        <v>1</v>
      </c>
      <c r="S171" s="263">
        <f t="shared" si="72"/>
        <v>0</v>
      </c>
      <c r="T171" s="262"/>
      <c r="U171" s="263">
        <f t="shared" si="73"/>
        <v>1265</v>
      </c>
      <c r="V171" s="263">
        <f t="shared" si="74"/>
        <v>1265</v>
      </c>
      <c r="W171" s="262">
        <v>1</v>
      </c>
      <c r="X171" s="263">
        <f t="shared" si="75"/>
        <v>1265</v>
      </c>
      <c r="Y171" s="263">
        <f t="shared" si="76"/>
        <v>1265</v>
      </c>
      <c r="Z171" s="263">
        <f t="shared" si="77"/>
        <v>0</v>
      </c>
      <c r="AA171" s="263">
        <f t="shared" si="55"/>
        <v>1997.75</v>
      </c>
      <c r="AB171" s="263">
        <f t="shared" si="56"/>
        <v>2020.75</v>
      </c>
      <c r="AC171" s="263">
        <f t="shared" si="57"/>
        <v>2002.75</v>
      </c>
      <c r="AD171" s="264">
        <f t="shared" si="58"/>
        <v>2019.75</v>
      </c>
      <c r="AE171" s="264">
        <f t="shared" si="59"/>
        <v>-8.3333333333333329E-2</v>
      </c>
      <c r="AF171" s="264">
        <f t="shared" si="60"/>
        <v>2002.75</v>
      </c>
      <c r="AG171" s="264">
        <f t="shared" si="61"/>
        <v>2019.75</v>
      </c>
      <c r="AH171" s="264">
        <f t="shared" si="62"/>
        <v>-8.3333333333333329E-2</v>
      </c>
    </row>
    <row r="172" spans="1:34">
      <c r="A172" s="257">
        <v>55</v>
      </c>
      <c r="B172" s="257" t="s">
        <v>451</v>
      </c>
      <c r="C172" s="281">
        <v>1998</v>
      </c>
      <c r="D172" s="259">
        <v>6</v>
      </c>
      <c r="E172" s="262"/>
      <c r="F172" s="261" t="s">
        <v>258</v>
      </c>
      <c r="G172" s="261">
        <v>5</v>
      </c>
      <c r="H172" s="259">
        <f t="shared" si="66"/>
        <v>2003</v>
      </c>
      <c r="I172" s="262"/>
      <c r="J172" s="262"/>
      <c r="K172" s="263">
        <v>6860</v>
      </c>
      <c r="L172" s="262"/>
      <c r="M172" s="263">
        <f t="shared" si="67"/>
        <v>6860</v>
      </c>
      <c r="N172" s="263">
        <f t="shared" si="68"/>
        <v>114.33333333333333</v>
      </c>
      <c r="O172" s="263">
        <f t="shared" si="69"/>
        <v>0</v>
      </c>
      <c r="P172" s="263">
        <f t="shared" si="70"/>
        <v>0</v>
      </c>
      <c r="Q172" s="263">
        <f t="shared" si="71"/>
        <v>0</v>
      </c>
      <c r="R172" s="262">
        <v>1</v>
      </c>
      <c r="S172" s="263">
        <f t="shared" si="72"/>
        <v>0</v>
      </c>
      <c r="T172" s="262"/>
      <c r="U172" s="263">
        <f t="shared" si="73"/>
        <v>6860</v>
      </c>
      <c r="V172" s="263">
        <f t="shared" si="74"/>
        <v>6860</v>
      </c>
      <c r="W172" s="262">
        <v>1</v>
      </c>
      <c r="X172" s="263">
        <f t="shared" si="75"/>
        <v>6860</v>
      </c>
      <c r="Y172" s="263">
        <f t="shared" si="76"/>
        <v>6860</v>
      </c>
      <c r="Z172" s="263">
        <f t="shared" si="77"/>
        <v>0</v>
      </c>
      <c r="AA172" s="263">
        <f t="shared" si="55"/>
        <v>1998.4166666666667</v>
      </c>
      <c r="AB172" s="263">
        <f t="shared" si="56"/>
        <v>2020.75</v>
      </c>
      <c r="AC172" s="263">
        <f t="shared" si="57"/>
        <v>2003.4166666666667</v>
      </c>
      <c r="AD172" s="264">
        <f t="shared" si="58"/>
        <v>2019.75</v>
      </c>
      <c r="AE172" s="264">
        <f t="shared" si="59"/>
        <v>-8.3333333333333329E-2</v>
      </c>
      <c r="AF172" s="264">
        <f t="shared" si="60"/>
        <v>2003.4166666666667</v>
      </c>
      <c r="AG172" s="264">
        <f t="shared" si="61"/>
        <v>2019.75</v>
      </c>
      <c r="AH172" s="264">
        <f t="shared" si="62"/>
        <v>-8.3333333333333329E-2</v>
      </c>
    </row>
    <row r="173" spans="1:34">
      <c r="A173" s="257">
        <v>97</v>
      </c>
      <c r="B173" s="257" t="s">
        <v>452</v>
      </c>
      <c r="C173" s="281">
        <v>2009</v>
      </c>
      <c r="D173" s="259">
        <v>3</v>
      </c>
      <c r="E173" s="262"/>
      <c r="F173" s="261" t="s">
        <v>258</v>
      </c>
      <c r="G173" s="261">
        <v>5</v>
      </c>
      <c r="H173" s="259">
        <f t="shared" si="66"/>
        <v>2014</v>
      </c>
      <c r="I173" s="262"/>
      <c r="J173" s="262"/>
      <c r="K173" s="263">
        <v>7361</v>
      </c>
      <c r="L173" s="262"/>
      <c r="M173" s="263">
        <f t="shared" si="67"/>
        <v>7361</v>
      </c>
      <c r="N173" s="263">
        <f t="shared" si="68"/>
        <v>122.68333333333334</v>
      </c>
      <c r="O173" s="263">
        <f t="shared" si="69"/>
        <v>0</v>
      </c>
      <c r="P173" s="263">
        <f t="shared" si="70"/>
        <v>0</v>
      </c>
      <c r="Q173" s="263">
        <f t="shared" si="71"/>
        <v>0</v>
      </c>
      <c r="R173" s="262">
        <v>1</v>
      </c>
      <c r="S173" s="263">
        <f t="shared" si="72"/>
        <v>0</v>
      </c>
      <c r="T173" s="262"/>
      <c r="U173" s="263">
        <f t="shared" si="73"/>
        <v>7361</v>
      </c>
      <c r="V173" s="263">
        <f t="shared" si="74"/>
        <v>7361</v>
      </c>
      <c r="W173" s="262">
        <v>1</v>
      </c>
      <c r="X173" s="263">
        <f t="shared" si="75"/>
        <v>7361</v>
      </c>
      <c r="Y173" s="263">
        <f t="shared" si="76"/>
        <v>7361</v>
      </c>
      <c r="Z173" s="263">
        <f t="shared" si="77"/>
        <v>0</v>
      </c>
      <c r="AA173" s="263">
        <f t="shared" si="55"/>
        <v>2009.1666666666667</v>
      </c>
      <c r="AB173" s="263">
        <f t="shared" si="56"/>
        <v>2020.75</v>
      </c>
      <c r="AC173" s="263">
        <f t="shared" si="57"/>
        <v>2014.1666666666667</v>
      </c>
      <c r="AD173" s="264">
        <f t="shared" si="58"/>
        <v>2019.75</v>
      </c>
      <c r="AE173" s="264">
        <f t="shared" si="59"/>
        <v>-8.3333333333333329E-2</v>
      </c>
      <c r="AF173" s="264">
        <f t="shared" si="60"/>
        <v>2014.1666666666667</v>
      </c>
      <c r="AG173" s="264">
        <f t="shared" si="61"/>
        <v>2019.75</v>
      </c>
      <c r="AH173" s="264">
        <f t="shared" si="62"/>
        <v>-8.3333333333333329E-2</v>
      </c>
    </row>
    <row r="174" spans="1:34">
      <c r="A174" s="257">
        <v>101</v>
      </c>
      <c r="B174" s="257" t="s">
        <v>453</v>
      </c>
      <c r="C174" s="281">
        <v>2010</v>
      </c>
      <c r="D174" s="259">
        <v>1</v>
      </c>
      <c r="E174" s="262"/>
      <c r="F174" s="261" t="s">
        <v>258</v>
      </c>
      <c r="G174" s="261">
        <v>5</v>
      </c>
      <c r="H174" s="259">
        <f t="shared" si="66"/>
        <v>2015</v>
      </c>
      <c r="I174" s="262"/>
      <c r="J174" s="262"/>
      <c r="K174" s="263">
        <v>10908</v>
      </c>
      <c r="L174" s="262"/>
      <c r="M174" s="263">
        <f t="shared" si="67"/>
        <v>10908</v>
      </c>
      <c r="N174" s="263">
        <f t="shared" si="68"/>
        <v>181.79999999999998</v>
      </c>
      <c r="O174" s="263">
        <f t="shared" si="69"/>
        <v>0</v>
      </c>
      <c r="P174" s="263">
        <f t="shared" si="70"/>
        <v>0</v>
      </c>
      <c r="Q174" s="263">
        <f t="shared" si="71"/>
        <v>0</v>
      </c>
      <c r="R174" s="262">
        <v>1</v>
      </c>
      <c r="S174" s="263">
        <f t="shared" si="72"/>
        <v>0</v>
      </c>
      <c r="T174" s="262"/>
      <c r="U174" s="263">
        <f t="shared" si="73"/>
        <v>10908</v>
      </c>
      <c r="V174" s="263">
        <f t="shared" si="74"/>
        <v>10908</v>
      </c>
      <c r="W174" s="262">
        <v>1</v>
      </c>
      <c r="X174" s="263">
        <f t="shared" si="75"/>
        <v>10908</v>
      </c>
      <c r="Y174" s="263">
        <f t="shared" si="76"/>
        <v>10908</v>
      </c>
      <c r="Z174" s="263">
        <f t="shared" si="77"/>
        <v>0</v>
      </c>
      <c r="AA174" s="263">
        <f t="shared" si="55"/>
        <v>2010</v>
      </c>
      <c r="AB174" s="263">
        <f t="shared" si="56"/>
        <v>2020.75</v>
      </c>
      <c r="AC174" s="263">
        <f t="shared" si="57"/>
        <v>2015</v>
      </c>
      <c r="AD174" s="264">
        <f t="shared" si="58"/>
        <v>2019.75</v>
      </c>
      <c r="AE174" s="264">
        <f t="shared" si="59"/>
        <v>-8.3333333333333329E-2</v>
      </c>
      <c r="AF174" s="264">
        <f t="shared" si="60"/>
        <v>2015</v>
      </c>
      <c r="AG174" s="264">
        <f t="shared" si="61"/>
        <v>2019.75</v>
      </c>
      <c r="AH174" s="264">
        <f t="shared" si="62"/>
        <v>-8.3333333333333329E-2</v>
      </c>
    </row>
    <row r="175" spans="1:34">
      <c r="A175" s="257">
        <v>102</v>
      </c>
      <c r="B175" s="257" t="s">
        <v>454</v>
      </c>
      <c r="C175" s="281">
        <v>2010</v>
      </c>
      <c r="D175" s="259">
        <v>3</v>
      </c>
      <c r="E175" s="262"/>
      <c r="F175" s="261" t="s">
        <v>258</v>
      </c>
      <c r="G175" s="261">
        <v>5</v>
      </c>
      <c r="H175" s="259">
        <f t="shared" si="66"/>
        <v>2015</v>
      </c>
      <c r="I175" s="262"/>
      <c r="J175" s="262"/>
      <c r="K175" s="263">
        <v>2477</v>
      </c>
      <c r="L175" s="262"/>
      <c r="M175" s="263">
        <f t="shared" si="67"/>
        <v>2477</v>
      </c>
      <c r="N175" s="263">
        <f t="shared" si="68"/>
        <v>41.283333333333331</v>
      </c>
      <c r="O175" s="263">
        <f t="shared" si="69"/>
        <v>0</v>
      </c>
      <c r="P175" s="263">
        <f t="shared" si="70"/>
        <v>0</v>
      </c>
      <c r="Q175" s="263">
        <f t="shared" si="71"/>
        <v>0</v>
      </c>
      <c r="R175" s="262">
        <v>1</v>
      </c>
      <c r="S175" s="263">
        <f t="shared" si="72"/>
        <v>0</v>
      </c>
      <c r="T175" s="262"/>
      <c r="U175" s="263">
        <f t="shared" si="73"/>
        <v>2477</v>
      </c>
      <c r="V175" s="263">
        <f t="shared" si="74"/>
        <v>2477</v>
      </c>
      <c r="W175" s="262">
        <v>1</v>
      </c>
      <c r="X175" s="263">
        <f t="shared" si="75"/>
        <v>2477</v>
      </c>
      <c r="Y175" s="263">
        <f t="shared" si="76"/>
        <v>2477</v>
      </c>
      <c r="Z175" s="263">
        <f t="shared" si="77"/>
        <v>0</v>
      </c>
      <c r="AA175" s="263">
        <f t="shared" si="55"/>
        <v>2010.1666666666667</v>
      </c>
      <c r="AB175" s="263">
        <f t="shared" si="56"/>
        <v>2020.75</v>
      </c>
      <c r="AC175" s="263">
        <f t="shared" si="57"/>
        <v>2015.1666666666667</v>
      </c>
      <c r="AD175" s="264">
        <f t="shared" si="58"/>
        <v>2019.75</v>
      </c>
      <c r="AE175" s="264">
        <f t="shared" si="59"/>
        <v>-8.3333333333333329E-2</v>
      </c>
      <c r="AF175" s="264">
        <f t="shared" si="60"/>
        <v>2015.1666666666667</v>
      </c>
      <c r="AG175" s="264">
        <f t="shared" si="61"/>
        <v>2019.75</v>
      </c>
      <c r="AH175" s="264">
        <f t="shared" si="62"/>
        <v>-8.3333333333333329E-2</v>
      </c>
    </row>
    <row r="176" spans="1:34">
      <c r="A176" s="257">
        <v>103</v>
      </c>
      <c r="B176" s="257" t="s">
        <v>455</v>
      </c>
      <c r="C176" s="281">
        <v>2010</v>
      </c>
      <c r="D176" s="259">
        <v>12</v>
      </c>
      <c r="E176" s="262"/>
      <c r="F176" s="261" t="s">
        <v>258</v>
      </c>
      <c r="G176" s="261">
        <v>5</v>
      </c>
      <c r="H176" s="259">
        <f t="shared" si="66"/>
        <v>2015</v>
      </c>
      <c r="I176" s="262"/>
      <c r="J176" s="262"/>
      <c r="K176" s="263">
        <v>14010</v>
      </c>
      <c r="L176" s="262"/>
      <c r="M176" s="263">
        <f t="shared" si="67"/>
        <v>14010</v>
      </c>
      <c r="N176" s="263">
        <f t="shared" si="68"/>
        <v>233.5</v>
      </c>
      <c r="O176" s="263">
        <f t="shared" si="69"/>
        <v>0</v>
      </c>
      <c r="P176" s="263">
        <f t="shared" si="70"/>
        <v>0</v>
      </c>
      <c r="Q176" s="263">
        <f t="shared" si="71"/>
        <v>0</v>
      </c>
      <c r="R176" s="262">
        <v>1</v>
      </c>
      <c r="S176" s="263">
        <f t="shared" si="72"/>
        <v>0</v>
      </c>
      <c r="T176" s="262"/>
      <c r="U176" s="263">
        <f t="shared" si="73"/>
        <v>14010</v>
      </c>
      <c r="V176" s="263">
        <f t="shared" si="74"/>
        <v>14010</v>
      </c>
      <c r="W176" s="262">
        <v>1</v>
      </c>
      <c r="X176" s="263">
        <f t="shared" si="75"/>
        <v>14010</v>
      </c>
      <c r="Y176" s="263">
        <f t="shared" si="76"/>
        <v>14010</v>
      </c>
      <c r="Z176" s="263">
        <f t="shared" si="77"/>
        <v>0</v>
      </c>
      <c r="AA176" s="263">
        <f t="shared" si="55"/>
        <v>2010.9166666666667</v>
      </c>
      <c r="AB176" s="263">
        <f t="shared" si="56"/>
        <v>2020.75</v>
      </c>
      <c r="AC176" s="263">
        <f t="shared" si="57"/>
        <v>2015.9166666666667</v>
      </c>
      <c r="AD176" s="264">
        <f t="shared" si="58"/>
        <v>2019.75</v>
      </c>
      <c r="AE176" s="264">
        <f t="shared" si="59"/>
        <v>-8.3333333333333329E-2</v>
      </c>
      <c r="AF176" s="264">
        <f t="shared" si="60"/>
        <v>2015.9166666666667</v>
      </c>
      <c r="AG176" s="264">
        <f t="shared" si="61"/>
        <v>2019.75</v>
      </c>
      <c r="AH176" s="264">
        <f t="shared" si="62"/>
        <v>-8.3333333333333329E-2</v>
      </c>
    </row>
    <row r="177" spans="1:34">
      <c r="A177" s="257"/>
      <c r="B177" s="268" t="s">
        <v>456</v>
      </c>
      <c r="C177" s="259"/>
      <c r="D177" s="259"/>
      <c r="E177" s="262"/>
      <c r="F177" s="261"/>
      <c r="G177" s="261"/>
      <c r="H177" s="282"/>
      <c r="I177" s="262"/>
      <c r="J177" s="262"/>
      <c r="K177" s="283">
        <f>SUM(K158:K176)</f>
        <v>45545</v>
      </c>
      <c r="L177" s="283">
        <f t="shared" ref="L177:Z177" si="78">SUM(L158:L176)</f>
        <v>0</v>
      </c>
      <c r="M177" s="283">
        <f t="shared" si="78"/>
        <v>45545</v>
      </c>
      <c r="N177" s="283">
        <f t="shared" si="78"/>
        <v>759.08333333333326</v>
      </c>
      <c r="O177" s="283">
        <f t="shared" si="78"/>
        <v>0</v>
      </c>
      <c r="P177" s="283">
        <f t="shared" si="78"/>
        <v>0</v>
      </c>
      <c r="Q177" s="283">
        <f t="shared" si="78"/>
        <v>0</v>
      </c>
      <c r="R177" s="283">
        <f t="shared" si="78"/>
        <v>19</v>
      </c>
      <c r="S177" s="283">
        <f t="shared" si="78"/>
        <v>0</v>
      </c>
      <c r="T177" s="283">
        <f t="shared" si="78"/>
        <v>0</v>
      </c>
      <c r="U177" s="283">
        <f t="shared" si="78"/>
        <v>45545</v>
      </c>
      <c r="V177" s="283">
        <f t="shared" si="78"/>
        <v>45545</v>
      </c>
      <c r="W177" s="283">
        <f t="shared" si="78"/>
        <v>19</v>
      </c>
      <c r="X177" s="283">
        <f t="shared" si="78"/>
        <v>45545</v>
      </c>
      <c r="Y177" s="283">
        <f t="shared" si="78"/>
        <v>45545</v>
      </c>
      <c r="Z177" s="283">
        <f t="shared" si="78"/>
        <v>0</v>
      </c>
      <c r="AA177" s="262"/>
      <c r="AB177" s="262"/>
      <c r="AC177" s="262"/>
      <c r="AD177" s="262"/>
      <c r="AE177" s="262"/>
      <c r="AF177" s="262"/>
      <c r="AG177" s="262"/>
      <c r="AH177" s="262"/>
    </row>
    <row r="178" spans="1:34" ht="15.75" thickBot="1">
      <c r="A178" s="257"/>
      <c r="B178" s="262"/>
      <c r="C178" s="259"/>
      <c r="D178" s="259"/>
      <c r="E178" s="262"/>
      <c r="F178" s="261"/>
      <c r="G178" s="262"/>
      <c r="H178" s="282"/>
      <c r="I178" s="262"/>
      <c r="J178" s="262"/>
      <c r="K178" s="284">
        <f>+K65+K72+K141+K155+K177</f>
        <v>5000513</v>
      </c>
      <c r="L178" s="284"/>
      <c r="M178" s="284">
        <f t="shared" ref="M178:Z178" si="79">+M65+M72+M141+M155+M177</f>
        <v>5000513</v>
      </c>
      <c r="N178" s="284">
        <f t="shared" si="79"/>
        <v>51324.099603174611</v>
      </c>
      <c r="O178" s="284">
        <f t="shared" si="79"/>
        <v>438306.34761904582</v>
      </c>
      <c r="P178" s="284">
        <f t="shared" si="79"/>
        <v>0</v>
      </c>
      <c r="Q178" s="284">
        <f t="shared" si="79"/>
        <v>438306.34761904582</v>
      </c>
      <c r="R178" s="284">
        <f t="shared" si="79"/>
        <v>150</v>
      </c>
      <c r="S178" s="284">
        <f t="shared" si="79"/>
        <v>438306.34761904582</v>
      </c>
      <c r="T178" s="284">
        <f t="shared" si="79"/>
        <v>0</v>
      </c>
      <c r="U178" s="284">
        <f t="shared" si="79"/>
        <v>2744347.6408730131</v>
      </c>
      <c r="V178" s="284">
        <f t="shared" si="79"/>
        <v>2744347.6408730131</v>
      </c>
      <c r="W178" s="284">
        <f t="shared" si="79"/>
        <v>150</v>
      </c>
      <c r="X178" s="284">
        <f t="shared" si="79"/>
        <v>2744347.6408730131</v>
      </c>
      <c r="Y178" s="284">
        <f t="shared" si="79"/>
        <v>3182653.9884920572</v>
      </c>
      <c r="Z178" s="284">
        <f t="shared" si="79"/>
        <v>1953462.1781746075</v>
      </c>
      <c r="AA178" s="262"/>
      <c r="AB178" s="262"/>
      <c r="AC178" s="262"/>
      <c r="AD178" s="262"/>
      <c r="AE178" s="262"/>
      <c r="AF178" s="262"/>
      <c r="AG178" s="262"/>
      <c r="AH178" s="262"/>
    </row>
    <row r="179" spans="1:34" ht="15.75" thickTop="1">
      <c r="A179" s="257"/>
      <c r="B179" s="262"/>
      <c r="C179" s="259"/>
      <c r="D179" s="259"/>
      <c r="E179" s="262"/>
      <c r="F179" s="261"/>
      <c r="G179" s="262"/>
      <c r="H179" s="282"/>
      <c r="I179" s="262"/>
      <c r="J179" s="262"/>
      <c r="K179" s="262"/>
      <c r="L179" s="262"/>
      <c r="M179" s="262"/>
      <c r="N179" s="262"/>
      <c r="O179" s="262"/>
      <c r="P179" s="262"/>
      <c r="Q179" s="262"/>
      <c r="R179" s="262"/>
      <c r="S179" s="262"/>
      <c r="T179" s="262"/>
      <c r="U179" s="262"/>
      <c r="V179" s="262"/>
      <c r="W179" s="262"/>
      <c r="X179" s="262"/>
      <c r="Y179" s="262"/>
      <c r="Z179" s="262"/>
      <c r="AA179" s="262"/>
      <c r="AB179" s="262"/>
      <c r="AC179" s="262"/>
      <c r="AD179" s="262"/>
      <c r="AE179" s="262"/>
      <c r="AF179" s="262"/>
      <c r="AG179" s="262"/>
      <c r="AH179" s="262"/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EC992-96FB-4C21-A4BA-518CC8369829}">
  <dimension ref="A1:Q47"/>
  <sheetViews>
    <sheetView workbookViewId="0">
      <selection activeCell="E13" sqref="E13"/>
    </sheetView>
  </sheetViews>
  <sheetFormatPr defaultRowHeight="15"/>
  <cols>
    <col min="1" max="1" width="17.5703125" bestFit="1" customWidth="1"/>
    <col min="3" max="4" width="9.7109375" bestFit="1" customWidth="1"/>
    <col min="5" max="5" width="9.85546875" bestFit="1" customWidth="1"/>
    <col min="6" max="14" width="9.7109375" bestFit="1" customWidth="1"/>
    <col min="15" max="15" width="10.85546875" bestFit="1" customWidth="1"/>
  </cols>
  <sheetData>
    <row r="1" spans="1:17" ht="18.75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14"/>
      <c r="Q1" s="14"/>
    </row>
    <row r="2" spans="1:17" ht="18.75">
      <c r="A2" s="224" t="s">
        <v>205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14"/>
      <c r="Q2" s="14"/>
    </row>
    <row r="3" spans="1:17" ht="18.75">
      <c r="A3" s="224" t="s">
        <v>206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14"/>
      <c r="Q3" s="14"/>
    </row>
    <row r="4" spans="1:17" ht="16.5" thickBot="1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</row>
    <row r="5" spans="1:17" ht="17.25" thickTop="1" thickBot="1">
      <c r="A5" s="14"/>
      <c r="B5" s="14"/>
      <c r="C5" s="225" t="s">
        <v>52</v>
      </c>
      <c r="D5" s="226" t="s">
        <v>53</v>
      </c>
      <c r="E5" s="226" t="s">
        <v>54</v>
      </c>
      <c r="F5" s="226" t="s">
        <v>55</v>
      </c>
      <c r="G5" s="226" t="s">
        <v>56</v>
      </c>
      <c r="H5" s="227" t="s">
        <v>57</v>
      </c>
      <c r="I5" s="226" t="s">
        <v>46</v>
      </c>
      <c r="J5" s="226" t="s">
        <v>47</v>
      </c>
      <c r="K5" s="226" t="s">
        <v>48</v>
      </c>
      <c r="L5" s="226" t="s">
        <v>49</v>
      </c>
      <c r="M5" s="226" t="s">
        <v>50</v>
      </c>
      <c r="N5" s="226" t="s">
        <v>51</v>
      </c>
      <c r="O5" s="228" t="s">
        <v>2</v>
      </c>
      <c r="P5" s="14"/>
      <c r="Q5" s="14"/>
    </row>
    <row r="6" spans="1:17" ht="16.5" thickTop="1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</row>
    <row r="7" spans="1:17" ht="15.75">
      <c r="A7" s="14" t="s">
        <v>207</v>
      </c>
      <c r="B7" s="14"/>
      <c r="C7" s="229">
        <v>1781.19</v>
      </c>
      <c r="D7" s="229">
        <v>2812.38</v>
      </c>
      <c r="E7" s="229">
        <v>750</v>
      </c>
      <c r="F7" s="229">
        <v>2812.38</v>
      </c>
      <c r="G7" s="229">
        <v>1781.19</v>
      </c>
      <c r="H7" s="229">
        <v>1500</v>
      </c>
      <c r="I7" s="229">
        <v>2812.38</v>
      </c>
      <c r="J7" s="229">
        <v>1031.19</v>
      </c>
      <c r="K7" s="229">
        <v>2812.38</v>
      </c>
      <c r="L7" s="229">
        <v>2531.19</v>
      </c>
      <c r="M7" s="229">
        <v>1781.19</v>
      </c>
      <c r="N7" s="229">
        <v>1781.19</v>
      </c>
      <c r="O7" s="230">
        <f>SUM(C7:N7)</f>
        <v>24186.659999999996</v>
      </c>
      <c r="P7" s="14"/>
      <c r="Q7" s="14"/>
    </row>
    <row r="8" spans="1:17" ht="15.7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ht="15.75">
      <c r="A9" s="14" t="s">
        <v>208</v>
      </c>
      <c r="B9" s="14"/>
      <c r="C9" s="231">
        <v>1031.19</v>
      </c>
      <c r="D9" s="231">
        <v>1031.19</v>
      </c>
      <c r="E9" s="231">
        <v>1031.19</v>
      </c>
      <c r="F9" s="231">
        <v>1031.19</v>
      </c>
      <c r="G9" s="231">
        <v>1031.19</v>
      </c>
      <c r="H9" s="231">
        <v>1031.19</v>
      </c>
      <c r="I9" s="231">
        <v>1031.19</v>
      </c>
      <c r="J9" s="231">
        <v>1031.19</v>
      </c>
      <c r="K9" s="231">
        <v>1031.19</v>
      </c>
      <c r="L9" s="231">
        <v>1031.19</v>
      </c>
      <c r="M9" s="231">
        <v>1031.19</v>
      </c>
      <c r="N9" s="231">
        <v>1031.19</v>
      </c>
      <c r="O9" s="230">
        <f>SUM(C9:N9)</f>
        <v>12374.280000000004</v>
      </c>
      <c r="P9" s="231"/>
      <c r="Q9" s="14"/>
    </row>
    <row r="10" spans="1:17" ht="15.75">
      <c r="A10" s="14" t="s">
        <v>209</v>
      </c>
      <c r="B10" s="14"/>
      <c r="C10" s="232">
        <v>750</v>
      </c>
      <c r="D10" s="232">
        <v>750</v>
      </c>
      <c r="E10" s="232">
        <v>750</v>
      </c>
      <c r="F10" s="232">
        <v>750</v>
      </c>
      <c r="G10" s="232">
        <v>750</v>
      </c>
      <c r="H10" s="232">
        <v>750</v>
      </c>
      <c r="I10" s="232">
        <v>750</v>
      </c>
      <c r="J10" s="232">
        <v>750</v>
      </c>
      <c r="K10" s="232">
        <v>750</v>
      </c>
      <c r="L10" s="232">
        <v>750</v>
      </c>
      <c r="M10" s="232">
        <v>750</v>
      </c>
      <c r="N10" s="232">
        <v>750</v>
      </c>
      <c r="O10" s="233">
        <f>SUM(C10:N10)</f>
        <v>9000</v>
      </c>
      <c r="P10" s="231"/>
      <c r="Q10" s="14"/>
    </row>
    <row r="11" spans="1:17" ht="15.75">
      <c r="A11" s="14"/>
      <c r="B11" s="14"/>
      <c r="C11" s="231">
        <f>SUM(C9:C10)</f>
        <v>1781.19</v>
      </c>
      <c r="D11" s="231">
        <f t="shared" ref="D11:O11" si="0">SUM(D9:D10)</f>
        <v>1781.19</v>
      </c>
      <c r="E11" s="231">
        <f t="shared" si="0"/>
        <v>1781.19</v>
      </c>
      <c r="F11" s="231">
        <f t="shared" si="0"/>
        <v>1781.19</v>
      </c>
      <c r="G11" s="231">
        <f t="shared" si="0"/>
        <v>1781.19</v>
      </c>
      <c r="H11" s="231">
        <f t="shared" si="0"/>
        <v>1781.19</v>
      </c>
      <c r="I11" s="231">
        <f t="shared" si="0"/>
        <v>1781.19</v>
      </c>
      <c r="J11" s="231">
        <f t="shared" si="0"/>
        <v>1781.19</v>
      </c>
      <c r="K11" s="231">
        <f t="shared" si="0"/>
        <v>1781.19</v>
      </c>
      <c r="L11" s="231">
        <f t="shared" si="0"/>
        <v>1781.19</v>
      </c>
      <c r="M11" s="231">
        <f t="shared" si="0"/>
        <v>1781.19</v>
      </c>
      <c r="N11" s="231">
        <f t="shared" si="0"/>
        <v>1781.19</v>
      </c>
      <c r="O11" s="231">
        <f t="shared" si="0"/>
        <v>21374.280000000006</v>
      </c>
      <c r="P11" s="231"/>
      <c r="Q11" s="14"/>
    </row>
    <row r="12" spans="1:17" ht="15.75">
      <c r="A12" s="14"/>
      <c r="B12" s="14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14"/>
    </row>
    <row r="13" spans="1:17" ht="15.75">
      <c r="A13" s="14" t="s">
        <v>210</v>
      </c>
      <c r="B13" s="14"/>
      <c r="C13" s="231">
        <f>+C7-C11</f>
        <v>0</v>
      </c>
      <c r="D13" s="231">
        <f t="shared" ref="D13:N13" si="1">+D7-D11</f>
        <v>1031.19</v>
      </c>
      <c r="E13" s="231">
        <f t="shared" si="1"/>
        <v>-1031.19</v>
      </c>
      <c r="F13" s="231">
        <f t="shared" si="1"/>
        <v>1031.19</v>
      </c>
      <c r="G13" s="231">
        <f t="shared" si="1"/>
        <v>0</v>
      </c>
      <c r="H13" s="231">
        <f t="shared" si="1"/>
        <v>-281.19000000000005</v>
      </c>
      <c r="I13" s="231">
        <f t="shared" si="1"/>
        <v>1031.19</v>
      </c>
      <c r="J13" s="231">
        <f t="shared" si="1"/>
        <v>-750</v>
      </c>
      <c r="K13" s="231">
        <f t="shared" si="1"/>
        <v>1031.19</v>
      </c>
      <c r="L13" s="231">
        <f t="shared" si="1"/>
        <v>750</v>
      </c>
      <c r="M13" s="231">
        <f t="shared" si="1"/>
        <v>0</v>
      </c>
      <c r="N13" s="231">
        <f t="shared" si="1"/>
        <v>0</v>
      </c>
      <c r="O13" s="231">
        <f>SUM(C13:N13)</f>
        <v>2812.38</v>
      </c>
      <c r="P13" s="231"/>
      <c r="Q13" s="14"/>
    </row>
    <row r="14" spans="1:17" ht="15.75">
      <c r="A14" s="14"/>
      <c r="B14" s="14"/>
      <c r="C14" s="231"/>
      <c r="D14" s="231"/>
      <c r="E14" s="231"/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1"/>
      <c r="Q14" s="14"/>
    </row>
    <row r="15" spans="1:17" ht="15.75">
      <c r="A15" s="14"/>
      <c r="B15" s="14"/>
      <c r="C15" s="231"/>
      <c r="D15" s="231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14"/>
    </row>
    <row r="16" spans="1:17" ht="15.75">
      <c r="A16" s="14"/>
      <c r="B16" s="14"/>
      <c r="C16" s="231"/>
      <c r="D16" s="231"/>
      <c r="E16" s="231"/>
      <c r="F16" s="231"/>
      <c r="G16" s="231"/>
      <c r="H16" s="231"/>
      <c r="I16" s="231"/>
      <c r="J16" s="231"/>
      <c r="K16" s="231"/>
      <c r="L16" s="231"/>
      <c r="M16" s="231"/>
      <c r="N16" s="231"/>
      <c r="O16" s="231"/>
      <c r="P16" s="231"/>
      <c r="Q16" s="14"/>
    </row>
    <row r="17" spans="1:17" ht="15.7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</row>
    <row r="18" spans="1:17" ht="15.7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</row>
    <row r="19" spans="1:17" ht="15.75"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234"/>
    </row>
    <row r="20" spans="1:17" ht="15.75"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234"/>
    </row>
    <row r="21" spans="1:17" ht="15.75"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234"/>
    </row>
    <row r="22" spans="1:17" ht="15.75"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234"/>
    </row>
    <row r="23" spans="1:17" ht="15.75"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234"/>
    </row>
    <row r="24" spans="1:17" ht="15.75"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234"/>
    </row>
    <row r="25" spans="1:17" ht="15.7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234"/>
    </row>
    <row r="26" spans="1:17">
      <c r="C26" s="235"/>
      <c r="D26" s="235"/>
      <c r="E26" s="235"/>
      <c r="F26" s="235"/>
      <c r="G26" s="235"/>
      <c r="H26" s="235"/>
      <c r="I26" s="235"/>
      <c r="J26" s="235"/>
      <c r="K26" s="235"/>
      <c r="L26" s="235"/>
      <c r="M26" s="235"/>
      <c r="N26" s="235"/>
      <c r="O26" s="235"/>
    </row>
    <row r="27" spans="1:17"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</row>
    <row r="28" spans="1:17"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</row>
    <row r="29" spans="1:17"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</row>
    <row r="30" spans="1:17"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</row>
    <row r="31" spans="1:17">
      <c r="C31" s="235"/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</row>
    <row r="32" spans="1:17">
      <c r="C32" s="235"/>
      <c r="D32" s="235"/>
      <c r="E32" s="235"/>
      <c r="F32" s="235"/>
      <c r="G32" s="235"/>
      <c r="H32" s="235"/>
      <c r="I32" s="235"/>
      <c r="J32" s="235"/>
      <c r="K32" s="235"/>
      <c r="L32" s="235"/>
      <c r="M32" s="235"/>
      <c r="N32" s="235"/>
      <c r="O32" s="235"/>
    </row>
    <row r="33" spans="3:15">
      <c r="C33" s="235"/>
      <c r="D33" s="235"/>
      <c r="E33" s="235"/>
      <c r="F33" s="235"/>
      <c r="G33" s="235"/>
      <c r="H33" s="235"/>
      <c r="I33" s="235"/>
      <c r="J33" s="235"/>
      <c r="K33" s="235"/>
      <c r="L33" s="235"/>
      <c r="M33" s="235"/>
      <c r="N33" s="235"/>
      <c r="O33" s="235"/>
    </row>
    <row r="34" spans="3:15"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</row>
    <row r="35" spans="3:15">
      <c r="C35" s="235"/>
      <c r="D35" s="235"/>
      <c r="E35" s="235"/>
      <c r="F35" s="235"/>
      <c r="G35" s="235"/>
      <c r="H35" s="235"/>
      <c r="I35" s="235"/>
      <c r="J35" s="235"/>
      <c r="K35" s="235"/>
      <c r="L35" s="235"/>
      <c r="M35" s="235"/>
      <c r="N35" s="235"/>
      <c r="O35" s="235"/>
    </row>
    <row r="36" spans="3:15"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</row>
    <row r="37" spans="3:15">
      <c r="C37" s="235"/>
      <c r="D37" s="235"/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</row>
    <row r="38" spans="3:15">
      <c r="C38" s="235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</row>
    <row r="39" spans="3:15">
      <c r="C39" s="235"/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</row>
    <row r="40" spans="3:15">
      <c r="C40" s="235"/>
      <c r="D40" s="235"/>
      <c r="E40" s="235"/>
      <c r="F40" s="235"/>
      <c r="G40" s="235"/>
      <c r="H40" s="235"/>
      <c r="I40" s="235"/>
      <c r="J40" s="235"/>
      <c r="K40" s="235"/>
      <c r="L40" s="235"/>
      <c r="M40" s="235"/>
      <c r="N40" s="235"/>
      <c r="O40" s="235"/>
    </row>
    <row r="41" spans="3:15">
      <c r="C41" s="235"/>
      <c r="D41" s="235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</row>
    <row r="42" spans="3:15">
      <c r="C42" s="235"/>
      <c r="D42" s="235"/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</row>
    <row r="43" spans="3:15">
      <c r="C43" s="235"/>
      <c r="D43" s="235"/>
      <c r="E43" s="235"/>
      <c r="F43" s="235"/>
      <c r="G43" s="235"/>
      <c r="H43" s="235"/>
      <c r="I43" s="235"/>
      <c r="J43" s="235"/>
      <c r="K43" s="235"/>
      <c r="L43" s="235"/>
      <c r="M43" s="235"/>
      <c r="N43" s="235"/>
      <c r="O43" s="235"/>
    </row>
    <row r="44" spans="3:15"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</row>
    <row r="45" spans="3:15"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</row>
    <row r="46" spans="3:15"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</row>
    <row r="47" spans="3:15"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5D9CE-774B-445A-84F2-260B20832CB0}">
  <sheetPr>
    <pageSetUpPr fitToPage="1"/>
  </sheetPr>
  <dimension ref="A1:N46"/>
  <sheetViews>
    <sheetView topLeftCell="A13" workbookViewId="0">
      <selection activeCell="H31" sqref="H31"/>
    </sheetView>
  </sheetViews>
  <sheetFormatPr defaultRowHeight="15"/>
  <cols>
    <col min="1" max="1" width="26.7109375" customWidth="1"/>
    <col min="2" max="15" width="13.28515625" customWidth="1"/>
  </cols>
  <sheetData>
    <row r="1" spans="1:14">
      <c r="A1" s="13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14">
      <c r="A2" s="13" t="s">
        <v>551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>
      <c r="A3" s="13" t="s">
        <v>552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5" spans="1:14" ht="18.75">
      <c r="B5" s="300" t="s">
        <v>572</v>
      </c>
      <c r="C5" s="285"/>
      <c r="D5" s="285"/>
      <c r="E5" s="285"/>
      <c r="F5" s="285"/>
      <c r="G5" s="300" t="s">
        <v>573</v>
      </c>
      <c r="H5" s="300"/>
      <c r="I5" s="300"/>
      <c r="J5" s="300"/>
      <c r="K5" s="300"/>
      <c r="L5" s="300"/>
      <c r="M5" s="300"/>
    </row>
    <row r="6" spans="1:14" ht="30">
      <c r="B6" s="42" t="s">
        <v>553</v>
      </c>
      <c r="C6" s="42" t="s">
        <v>5</v>
      </c>
      <c r="D6" s="42" t="s">
        <v>465</v>
      </c>
      <c r="E6" s="214" t="s">
        <v>554</v>
      </c>
      <c r="F6" s="214" t="s">
        <v>571</v>
      </c>
      <c r="G6" s="214" t="s">
        <v>555</v>
      </c>
      <c r="H6" s="214" t="s">
        <v>9</v>
      </c>
      <c r="I6" s="214" t="s">
        <v>59</v>
      </c>
      <c r="J6" s="214" t="s">
        <v>10</v>
      </c>
      <c r="K6" s="42" t="s">
        <v>11</v>
      </c>
      <c r="L6" s="42" t="s">
        <v>556</v>
      </c>
      <c r="M6" s="214" t="s">
        <v>767</v>
      </c>
      <c r="N6" s="214" t="s">
        <v>570</v>
      </c>
    </row>
    <row r="7" spans="1:14">
      <c r="A7" s="297" t="s">
        <v>764</v>
      </c>
      <c r="B7" s="297">
        <f>+'Pro Forma'!D9</f>
        <v>1567763.5999999999</v>
      </c>
      <c r="C7" s="297">
        <f>+'Pro Forma'!D10</f>
        <v>1163228.22</v>
      </c>
      <c r="D7" s="297">
        <f>+'Pro Forma'!D11</f>
        <v>398543.58</v>
      </c>
      <c r="E7" s="297">
        <f>+'Pro Forma'!D12</f>
        <v>370591.87000000005</v>
      </c>
      <c r="F7" s="297">
        <f>SUM(B7:E7)</f>
        <v>3500127.27</v>
      </c>
      <c r="G7" s="297">
        <f>+'Pro Forma'!D13</f>
        <v>33057.47</v>
      </c>
      <c r="H7" s="297">
        <f>+'Pro Forma'!D14</f>
        <v>43145.729999999996</v>
      </c>
      <c r="I7" s="297">
        <f>+'Pro Forma'!D15</f>
        <v>640</v>
      </c>
      <c r="J7" s="297">
        <f>+'Pro Forma'!D17</f>
        <v>7486.5000000000018</v>
      </c>
      <c r="K7" s="297">
        <f>+'Pro Forma'!D18</f>
        <v>3498.84</v>
      </c>
      <c r="L7" s="297">
        <f>+'Pro Forma'!D19</f>
        <v>44776.29</v>
      </c>
      <c r="M7" s="297">
        <f>SUM(G7:L7)</f>
        <v>132604.82999999999</v>
      </c>
      <c r="N7" s="297">
        <f>+F7+M7</f>
        <v>3632732.1</v>
      </c>
    </row>
    <row r="8" spans="1:14">
      <c r="A8" s="297" t="s">
        <v>768</v>
      </c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</row>
    <row r="9" spans="1:14">
      <c r="A9" s="297" t="s">
        <v>557</v>
      </c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</row>
    <row r="10" spans="1:14">
      <c r="A10" s="298" t="s">
        <v>558</v>
      </c>
      <c r="B10" s="297">
        <f>135822.16-33344.51</f>
        <v>102477.65</v>
      </c>
      <c r="C10" s="297"/>
      <c r="D10" s="297"/>
      <c r="E10" s="297"/>
      <c r="F10" s="297">
        <f>SUM(B10:E10)</f>
        <v>102477.65</v>
      </c>
      <c r="G10" s="297"/>
      <c r="H10" s="297"/>
      <c r="I10" s="297"/>
      <c r="J10" s="297"/>
      <c r="K10" s="297"/>
      <c r="L10" s="297"/>
      <c r="M10" s="297">
        <f t="shared" ref="M10:M18" si="0">SUM(G10:L10)</f>
        <v>0</v>
      </c>
      <c r="N10" s="297">
        <f>+F10+M10</f>
        <v>102477.65</v>
      </c>
    </row>
    <row r="11" spans="1:14">
      <c r="A11" s="298" t="s">
        <v>559</v>
      </c>
      <c r="B11" s="297">
        <f>134435.78-76914.23</f>
        <v>57521.55</v>
      </c>
      <c r="C11" s="297"/>
      <c r="D11" s="297"/>
      <c r="E11" s="297"/>
      <c r="F11" s="297">
        <f>SUM(B11:E11)</f>
        <v>57521.55</v>
      </c>
      <c r="G11" s="297"/>
      <c r="H11" s="297"/>
      <c r="I11" s="297"/>
      <c r="J11" s="297"/>
      <c r="K11" s="297"/>
      <c r="L11" s="297"/>
      <c r="M11" s="297">
        <f t="shared" si="0"/>
        <v>0</v>
      </c>
      <c r="N11" s="297">
        <f>+F11+M11</f>
        <v>57521.55</v>
      </c>
    </row>
    <row r="12" spans="1:14">
      <c r="A12" s="297" t="s">
        <v>560</v>
      </c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</row>
    <row r="13" spans="1:14">
      <c r="A13" s="297" t="s">
        <v>561</v>
      </c>
      <c r="B13" s="297"/>
      <c r="C13" s="297"/>
      <c r="D13" s="297"/>
      <c r="E13" s="297"/>
      <c r="F13" s="297"/>
      <c r="G13" s="297"/>
      <c r="H13" s="297"/>
      <c r="I13" s="297"/>
      <c r="J13" s="297"/>
      <c r="K13" s="297"/>
      <c r="L13" s="297"/>
      <c r="M13" s="297"/>
      <c r="N13" s="297"/>
    </row>
    <row r="14" spans="1:14">
      <c r="A14" s="297" t="s">
        <v>562</v>
      </c>
      <c r="B14" s="297">
        <f>-'Pro Forma'!D43*0.57</f>
        <v>-16657.99179</v>
      </c>
      <c r="C14" s="297">
        <f>-'Pro Forma'!D43*0.43</f>
        <v>-12566.55521</v>
      </c>
      <c r="D14" s="297"/>
      <c r="E14" s="297"/>
      <c r="F14" s="297">
        <f>SUM(B14:E14)</f>
        <v>-29224.546999999999</v>
      </c>
      <c r="G14" s="297"/>
      <c r="H14" s="297"/>
      <c r="I14" s="297"/>
      <c r="J14" s="297"/>
      <c r="K14" s="297"/>
      <c r="L14" s="297"/>
      <c r="M14" s="297">
        <f t="shared" si="0"/>
        <v>0</v>
      </c>
      <c r="N14" s="297">
        <f t="shared" ref="N14:N19" si="1">+F14+M14</f>
        <v>-29224.546999999999</v>
      </c>
    </row>
    <row r="15" spans="1:14">
      <c r="A15" s="297" t="s">
        <v>566</v>
      </c>
      <c r="B15" s="297"/>
      <c r="C15" s="297"/>
      <c r="D15" s="297"/>
      <c r="E15" s="297"/>
      <c r="F15" s="297"/>
      <c r="G15" s="297"/>
      <c r="H15" s="297"/>
      <c r="I15" s="297"/>
      <c r="J15" s="297"/>
      <c r="K15" s="297"/>
      <c r="L15" s="297"/>
      <c r="M15" s="297">
        <f t="shared" si="0"/>
        <v>0</v>
      </c>
      <c r="N15" s="297">
        <f t="shared" si="1"/>
        <v>0</v>
      </c>
    </row>
    <row r="16" spans="1:14">
      <c r="A16" s="297" t="s">
        <v>567</v>
      </c>
      <c r="B16" s="297"/>
      <c r="C16" s="297"/>
      <c r="D16" s="297">
        <v>-98627.09</v>
      </c>
      <c r="E16" s="297"/>
      <c r="F16" s="297">
        <f>SUM(B16:E16)</f>
        <v>-98627.09</v>
      </c>
      <c r="G16" s="297"/>
      <c r="H16" s="297"/>
      <c r="I16" s="297">
        <f>-D16</f>
        <v>98627.09</v>
      </c>
      <c r="J16" s="297"/>
      <c r="K16" s="297"/>
      <c r="L16" s="297"/>
      <c r="M16" s="297">
        <f t="shared" si="0"/>
        <v>98627.09</v>
      </c>
      <c r="N16" s="297">
        <f t="shared" si="1"/>
        <v>0</v>
      </c>
    </row>
    <row r="17" spans="1:14">
      <c r="A17" s="297" t="s">
        <v>568</v>
      </c>
      <c r="B17" s="297"/>
      <c r="C17" s="297"/>
      <c r="D17" s="297">
        <v>-454.95</v>
      </c>
      <c r="E17" s="297"/>
      <c r="F17" s="297">
        <f>SUM(B17:E17)</f>
        <v>-454.95</v>
      </c>
      <c r="G17" s="297"/>
      <c r="H17" s="297"/>
      <c r="I17" s="297"/>
      <c r="J17" s="297"/>
      <c r="K17" s="297"/>
      <c r="L17" s="297">
        <f>-D17</f>
        <v>454.95</v>
      </c>
      <c r="M17" s="297">
        <f t="shared" si="0"/>
        <v>454.95</v>
      </c>
      <c r="N17" s="297">
        <f t="shared" si="1"/>
        <v>0</v>
      </c>
    </row>
    <row r="18" spans="1:14">
      <c r="A18" s="297" t="s">
        <v>569</v>
      </c>
      <c r="B18" s="299">
        <v>3498.84</v>
      </c>
      <c r="C18" s="299"/>
      <c r="D18" s="299"/>
      <c r="E18" s="299"/>
      <c r="F18" s="299">
        <f>SUM(B18:E18)</f>
        <v>3498.84</v>
      </c>
      <c r="G18" s="299"/>
      <c r="H18" s="299"/>
      <c r="I18" s="299"/>
      <c r="J18" s="299"/>
      <c r="K18" s="299">
        <v>-3498.84</v>
      </c>
      <c r="L18" s="299"/>
      <c r="M18" s="299">
        <f t="shared" si="0"/>
        <v>-3498.84</v>
      </c>
      <c r="N18" s="299">
        <f t="shared" si="1"/>
        <v>0</v>
      </c>
    </row>
    <row r="19" spans="1:14">
      <c r="A19" s="297"/>
      <c r="B19" s="297">
        <f t="shared" ref="B19:M19" si="2">SUM(B7:B18)</f>
        <v>1714603.64821</v>
      </c>
      <c r="C19" s="297">
        <f t="shared" si="2"/>
        <v>1150661.6647900001</v>
      </c>
      <c r="D19" s="297">
        <f t="shared" si="2"/>
        <v>299461.53999999998</v>
      </c>
      <c r="E19" s="297">
        <f t="shared" si="2"/>
        <v>370591.87000000005</v>
      </c>
      <c r="F19" s="297">
        <f t="shared" si="2"/>
        <v>3535318.7229999998</v>
      </c>
      <c r="G19" s="297">
        <f t="shared" si="2"/>
        <v>33057.47</v>
      </c>
      <c r="H19" s="297">
        <f t="shared" si="2"/>
        <v>43145.729999999996</v>
      </c>
      <c r="I19" s="297">
        <f t="shared" si="2"/>
        <v>99267.09</v>
      </c>
      <c r="J19" s="297">
        <f t="shared" si="2"/>
        <v>7486.5000000000018</v>
      </c>
      <c r="K19" s="297">
        <f t="shared" si="2"/>
        <v>0</v>
      </c>
      <c r="L19" s="297">
        <f t="shared" si="2"/>
        <v>45231.24</v>
      </c>
      <c r="M19" s="297">
        <f t="shared" si="2"/>
        <v>228188.03</v>
      </c>
      <c r="N19" s="297">
        <f t="shared" si="1"/>
        <v>3763506.7529999996</v>
      </c>
    </row>
    <row r="20" spans="1:14">
      <c r="A20" s="297"/>
      <c r="B20" s="297"/>
      <c r="C20" s="297"/>
      <c r="D20" s="297"/>
      <c r="E20" s="297"/>
      <c r="F20" s="297"/>
      <c r="G20" s="297"/>
      <c r="H20" s="297"/>
      <c r="I20" s="297"/>
      <c r="J20" s="297"/>
      <c r="K20" s="297"/>
      <c r="L20" s="297"/>
      <c r="M20" s="297"/>
      <c r="N20" s="297"/>
    </row>
    <row r="21" spans="1:14">
      <c r="A21" s="297" t="s">
        <v>765</v>
      </c>
      <c r="B21" s="297"/>
      <c r="C21" s="297"/>
      <c r="D21" s="297"/>
      <c r="E21" s="297"/>
      <c r="F21" s="186">
        <f>+F19/N19</f>
        <v>0.93936824218048642</v>
      </c>
      <c r="G21" s="297"/>
      <c r="H21" s="297"/>
      <c r="I21" s="297"/>
      <c r="J21" s="297"/>
      <c r="K21" s="297"/>
      <c r="L21" s="297"/>
      <c r="M21" s="297"/>
      <c r="N21" s="297"/>
    </row>
    <row r="22" spans="1:14">
      <c r="A22" s="297" t="s">
        <v>769</v>
      </c>
      <c r="B22" s="297"/>
      <c r="C22" s="297"/>
      <c r="D22" s="297"/>
      <c r="E22" s="297"/>
      <c r="F22" s="297"/>
      <c r="G22" s="297"/>
      <c r="H22" s="297"/>
      <c r="I22" s="297"/>
      <c r="J22" s="297"/>
      <c r="K22" s="297"/>
      <c r="L22" s="297"/>
      <c r="M22" s="186">
        <f>+M19/N19</f>
        <v>6.0631757819513611E-2</v>
      </c>
      <c r="N22" s="297"/>
    </row>
    <row r="23" spans="1:14">
      <c r="A23" s="297"/>
      <c r="B23" s="297"/>
      <c r="C23" s="297"/>
      <c r="D23" s="297"/>
      <c r="E23" s="297"/>
      <c r="F23" s="297"/>
      <c r="G23" s="297"/>
      <c r="H23" s="297"/>
      <c r="I23" s="297"/>
      <c r="J23" s="297"/>
      <c r="K23" s="297"/>
      <c r="L23" s="297"/>
      <c r="M23" s="186"/>
      <c r="N23" s="297"/>
    </row>
    <row r="24" spans="1:14">
      <c r="A24" s="297" t="s">
        <v>770</v>
      </c>
      <c r="B24" s="297"/>
      <c r="C24" s="297"/>
      <c r="D24" s="297"/>
      <c r="E24" s="297"/>
      <c r="F24" s="297"/>
      <c r="G24" s="297"/>
      <c r="H24" s="297"/>
      <c r="I24" s="297"/>
      <c r="J24" s="297"/>
      <c r="K24" s="297"/>
      <c r="L24" s="297"/>
      <c r="M24" s="186"/>
      <c r="N24" s="297"/>
    </row>
    <row r="25" spans="1:14">
      <c r="A25" s="297"/>
      <c r="B25" s="297"/>
      <c r="C25" s="297"/>
      <c r="D25" s="297"/>
      <c r="E25" s="297"/>
      <c r="F25" s="297"/>
      <c r="G25" s="297"/>
      <c r="H25" s="297"/>
      <c r="I25" s="297"/>
      <c r="J25" s="297"/>
      <c r="K25" s="297"/>
      <c r="L25" s="297"/>
      <c r="M25" s="186"/>
      <c r="N25" s="297"/>
    </row>
    <row r="26" spans="1:14">
      <c r="A26" s="297"/>
      <c r="B26" s="297"/>
      <c r="C26" s="297"/>
      <c r="D26" s="297"/>
      <c r="E26" s="297"/>
      <c r="F26" s="297"/>
      <c r="G26" s="297"/>
      <c r="H26" s="297" t="s">
        <v>575</v>
      </c>
      <c r="I26" s="297"/>
      <c r="J26" s="297"/>
      <c r="K26" s="297"/>
      <c r="L26" s="297"/>
      <c r="M26" s="297"/>
      <c r="N26" s="297"/>
    </row>
    <row r="27" spans="1:14">
      <c r="A27" s="297"/>
      <c r="B27" s="297"/>
      <c r="C27" s="297"/>
      <c r="D27" s="297"/>
      <c r="E27" s="297"/>
      <c r="F27" s="297"/>
      <c r="G27" s="297"/>
      <c r="H27" s="297" t="s">
        <v>782</v>
      </c>
      <c r="I27" s="297"/>
      <c r="J27" s="297"/>
      <c r="K27" s="297"/>
      <c r="L27" s="297"/>
      <c r="M27" s="297"/>
      <c r="N27" s="297"/>
    </row>
    <row r="28" spans="1:14">
      <c r="A28" s="297"/>
      <c r="B28" s="297"/>
      <c r="C28" s="297"/>
      <c r="D28" s="297"/>
      <c r="E28" s="297"/>
      <c r="F28" s="297"/>
      <c r="G28" s="297"/>
      <c r="H28" s="297" t="s">
        <v>576</v>
      </c>
      <c r="I28" s="297"/>
      <c r="J28" s="297"/>
      <c r="K28" s="297"/>
      <c r="L28" s="297"/>
      <c r="M28" s="297"/>
      <c r="N28" s="297"/>
    </row>
    <row r="29" spans="1:14">
      <c r="A29" s="297"/>
      <c r="B29" s="297"/>
      <c r="C29" s="297"/>
      <c r="D29" s="297"/>
      <c r="E29" s="297"/>
      <c r="F29" s="297"/>
      <c r="G29" s="297"/>
      <c r="H29" s="297" t="s">
        <v>577</v>
      </c>
      <c r="I29" s="297"/>
      <c r="J29" s="297"/>
      <c r="K29" s="297"/>
      <c r="L29" s="297"/>
      <c r="M29" s="297"/>
      <c r="N29" s="297"/>
    </row>
    <row r="30" spans="1:14">
      <c r="A30" s="297"/>
      <c r="B30" s="297"/>
      <c r="C30" s="297"/>
      <c r="D30" s="297"/>
      <c r="E30" s="297"/>
      <c r="F30" s="297"/>
      <c r="G30" s="297"/>
      <c r="H30" s="297" t="s">
        <v>783</v>
      </c>
      <c r="I30" s="297"/>
      <c r="J30" s="297"/>
      <c r="K30" s="297"/>
      <c r="L30" s="297"/>
      <c r="M30" s="297"/>
      <c r="N30" s="297"/>
    </row>
    <row r="31" spans="1:14">
      <c r="A31" s="297"/>
      <c r="B31" s="297"/>
      <c r="C31" s="297"/>
      <c r="D31" s="297"/>
      <c r="E31" s="297"/>
      <c r="F31" s="297"/>
      <c r="G31" s="297"/>
      <c r="H31" s="297" t="s">
        <v>766</v>
      </c>
      <c r="I31" s="297"/>
      <c r="J31" s="297"/>
      <c r="K31" s="297"/>
      <c r="L31" s="297"/>
      <c r="M31" s="297"/>
      <c r="N31" s="297"/>
    </row>
    <row r="32" spans="1:14">
      <c r="A32" s="297"/>
      <c r="B32" s="297"/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</row>
    <row r="33" spans="1:14">
      <c r="A33" s="297"/>
      <c r="B33" s="297"/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</row>
    <row r="34" spans="1:14">
      <c r="A34" s="297"/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</row>
    <row r="35" spans="1:14">
      <c r="A35" s="297"/>
      <c r="B35" s="297"/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</row>
    <row r="36" spans="1:14">
      <c r="A36" s="297"/>
      <c r="B36" s="297"/>
      <c r="C36" s="297"/>
      <c r="D36" s="297"/>
      <c r="E36" s="297"/>
      <c r="F36" s="297"/>
      <c r="G36" s="297"/>
      <c r="H36" s="297"/>
      <c r="I36" s="297"/>
      <c r="J36" s="297"/>
      <c r="K36" s="297"/>
      <c r="L36" s="297"/>
      <c r="M36" s="297"/>
      <c r="N36" s="297"/>
    </row>
    <row r="37" spans="1:14">
      <c r="A37" s="297"/>
      <c r="B37" s="297"/>
      <c r="C37" s="297"/>
      <c r="D37" s="297"/>
      <c r="E37" s="297"/>
      <c r="F37" s="297"/>
      <c r="G37" s="297"/>
      <c r="H37" s="297"/>
      <c r="I37" s="297"/>
      <c r="J37" s="297"/>
      <c r="K37" s="297"/>
      <c r="L37" s="297"/>
      <c r="M37" s="297"/>
      <c r="N37" s="297"/>
    </row>
    <row r="38" spans="1:14">
      <c r="A38" s="297"/>
      <c r="B38" s="297"/>
      <c r="C38" s="297"/>
      <c r="D38" s="297"/>
      <c r="E38" s="297"/>
      <c r="F38" s="297"/>
      <c r="G38" s="297"/>
      <c r="H38" s="297"/>
      <c r="I38" s="297"/>
      <c r="J38" s="297"/>
      <c r="K38" s="297"/>
      <c r="L38" s="297"/>
      <c r="M38" s="297"/>
      <c r="N38" s="297"/>
    </row>
    <row r="39" spans="1:14">
      <c r="A39" s="297"/>
      <c r="B39" s="297"/>
      <c r="C39" s="297"/>
      <c r="D39" s="297"/>
      <c r="E39" s="297"/>
      <c r="F39" s="297"/>
      <c r="G39" s="297"/>
      <c r="H39" s="297"/>
      <c r="I39" s="297"/>
      <c r="J39" s="297"/>
      <c r="K39" s="297"/>
      <c r="L39" s="297"/>
      <c r="M39" s="297"/>
      <c r="N39" s="297"/>
    </row>
    <row r="40" spans="1:14">
      <c r="A40" s="297"/>
      <c r="B40" s="297"/>
      <c r="C40" s="297"/>
      <c r="D40" s="297"/>
      <c r="E40" s="297"/>
      <c r="F40" s="297"/>
      <c r="G40" s="297"/>
      <c r="H40" s="297"/>
      <c r="I40" s="297"/>
      <c r="J40" s="297"/>
      <c r="K40" s="297"/>
      <c r="L40" s="297"/>
      <c r="M40" s="297"/>
      <c r="N40" s="297"/>
    </row>
    <row r="41" spans="1:14">
      <c r="A41" s="297"/>
      <c r="B41" s="297"/>
      <c r="C41" s="297"/>
      <c r="D41" s="297"/>
      <c r="E41" s="297"/>
      <c r="F41" s="297"/>
      <c r="G41" s="297"/>
      <c r="H41" s="297"/>
      <c r="I41" s="297"/>
      <c r="J41" s="297"/>
      <c r="K41" s="297"/>
      <c r="L41" s="297"/>
      <c r="M41" s="297"/>
      <c r="N41" s="297"/>
    </row>
    <row r="42" spans="1:14">
      <c r="A42" s="297"/>
      <c r="B42" s="297"/>
      <c r="C42" s="297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</row>
    <row r="43" spans="1:14">
      <c r="A43" s="297"/>
      <c r="B43" s="297"/>
      <c r="C43" s="297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</row>
    <row r="44" spans="1:14">
      <c r="A44" s="297"/>
      <c r="B44" s="297"/>
      <c r="C44" s="297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</row>
    <row r="45" spans="1:14">
      <c r="A45" s="297"/>
      <c r="B45" s="297"/>
      <c r="C45" s="297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</row>
    <row r="46" spans="1:14">
      <c r="A46" s="297"/>
      <c r="B46" s="297"/>
      <c r="C46" s="297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</row>
  </sheetData>
  <printOptions headings="1"/>
  <pageMargins left="0" right="0" top="0.75" bottom="0.75" header="0.3" footer="0.3"/>
  <pageSetup scale="5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5E944-A319-4A01-8CFF-60EAA17FCE67}">
  <sheetPr>
    <pageSetUpPr fitToPage="1"/>
  </sheetPr>
  <dimension ref="A1:S139"/>
  <sheetViews>
    <sheetView topLeftCell="A25" workbookViewId="0">
      <selection activeCell="M41" sqref="M41"/>
    </sheetView>
  </sheetViews>
  <sheetFormatPr defaultRowHeight="15"/>
  <cols>
    <col min="1" max="1" width="6.42578125" customWidth="1"/>
    <col min="2" max="2" width="53.42578125" bestFit="1" customWidth="1"/>
    <col min="3" max="3" width="12" bestFit="1" customWidth="1"/>
    <col min="4" max="4" width="4.7109375" customWidth="1"/>
    <col min="5" max="5" width="11.7109375" customWidth="1"/>
    <col min="6" max="6" width="11.7109375" bestFit="1" customWidth="1"/>
    <col min="7" max="7" width="4.7109375" customWidth="1"/>
    <col min="8" max="8" width="13" customWidth="1"/>
    <col min="9" max="9" width="4.7109375" customWidth="1"/>
    <col min="10" max="10" width="17" bestFit="1" customWidth="1"/>
    <col min="11" max="11" width="3.5703125" customWidth="1"/>
    <col min="12" max="13" width="9.28515625" bestFit="1" customWidth="1"/>
    <col min="14" max="14" width="3.5703125" customWidth="1"/>
    <col min="15" max="15" width="13.140625" bestFit="1" customWidth="1"/>
    <col min="16" max="16" width="4.5703125" customWidth="1"/>
    <col min="17" max="17" width="15.140625" customWidth="1"/>
    <col min="19" max="19" width="11.85546875" bestFit="1" customWidth="1"/>
  </cols>
  <sheetData>
    <row r="1" spans="1:19" ht="18.75">
      <c r="A1" s="15" t="s">
        <v>0</v>
      </c>
      <c r="B1" s="15"/>
      <c r="C1" s="15"/>
      <c r="D1" s="15"/>
      <c r="E1" s="15"/>
      <c r="F1" s="15"/>
      <c r="G1" s="285"/>
      <c r="H1" s="285"/>
      <c r="I1" s="285"/>
      <c r="J1" s="285"/>
      <c r="K1" s="285"/>
      <c r="S1" s="186">
        <v>5.2499999999999998E-2</v>
      </c>
    </row>
    <row r="2" spans="1:19" ht="18.75">
      <c r="A2" s="15" t="s">
        <v>457</v>
      </c>
      <c r="B2" s="15"/>
      <c r="C2" s="15"/>
      <c r="D2" s="15"/>
      <c r="E2" s="15"/>
      <c r="F2" s="15"/>
      <c r="G2" s="285"/>
      <c r="H2" s="285"/>
      <c r="I2" s="285"/>
      <c r="J2" s="285"/>
      <c r="K2" s="285"/>
      <c r="S2" s="366">
        <f>+Q106</f>
        <v>353091.02281169232</v>
      </c>
    </row>
    <row r="3" spans="1:19" ht="15.75">
      <c r="A3" s="3"/>
      <c r="B3" s="3"/>
      <c r="C3" s="3"/>
      <c r="D3" s="3"/>
      <c r="E3" s="286" t="s">
        <v>458</v>
      </c>
      <c r="F3" s="287"/>
      <c r="G3" s="3"/>
      <c r="H3" s="4" t="s">
        <v>459</v>
      </c>
      <c r="I3" s="3"/>
      <c r="J3" s="4" t="s">
        <v>460</v>
      </c>
      <c r="K3" s="3"/>
      <c r="L3" s="373" t="s">
        <v>90</v>
      </c>
      <c r="M3" s="373" t="s">
        <v>762</v>
      </c>
      <c r="N3" s="373"/>
      <c r="O3" s="4" t="s">
        <v>762</v>
      </c>
      <c r="P3" s="373"/>
      <c r="Q3" s="373"/>
      <c r="R3" s="235"/>
      <c r="S3" s="369">
        <f ca="1">+Lurito!M9</f>
        <v>355715.1076362473</v>
      </c>
    </row>
    <row r="4" spans="1:19" ht="15.75">
      <c r="A4" s="3"/>
      <c r="B4" s="3"/>
      <c r="C4" s="4" t="s">
        <v>461</v>
      </c>
      <c r="D4" s="3"/>
      <c r="E4" s="4"/>
      <c r="F4" s="4"/>
      <c r="G4" s="3"/>
      <c r="H4" s="4" t="s">
        <v>462</v>
      </c>
      <c r="I4" s="3"/>
      <c r="J4" s="4" t="s">
        <v>79</v>
      </c>
      <c r="K4" s="3"/>
      <c r="L4" s="373" t="s">
        <v>761</v>
      </c>
      <c r="M4" s="373" t="s">
        <v>169</v>
      </c>
      <c r="N4" s="373"/>
      <c r="O4" s="4" t="s">
        <v>79</v>
      </c>
      <c r="P4" s="373"/>
      <c r="Q4" s="373"/>
      <c r="R4" s="235"/>
      <c r="S4" s="235"/>
    </row>
    <row r="5" spans="1:19" ht="15.75">
      <c r="A5" s="3"/>
      <c r="B5" s="3"/>
      <c r="C5" s="288" t="s">
        <v>169</v>
      </c>
      <c r="D5" s="3"/>
      <c r="E5" s="289" t="s">
        <v>463</v>
      </c>
      <c r="F5" s="4" t="s">
        <v>464</v>
      </c>
      <c r="G5" s="3"/>
      <c r="H5" s="4" t="s">
        <v>465</v>
      </c>
      <c r="I5" s="3"/>
      <c r="J5" s="4" t="s">
        <v>466</v>
      </c>
      <c r="K5" s="3"/>
      <c r="L5" s="373"/>
      <c r="M5" s="373"/>
      <c r="N5" s="373"/>
      <c r="O5" s="4" t="s">
        <v>466</v>
      </c>
      <c r="P5" s="373"/>
      <c r="Q5" s="373" t="s">
        <v>711</v>
      </c>
      <c r="R5" s="235"/>
      <c r="S5" s="235"/>
    </row>
    <row r="6" spans="1:19" ht="15.75">
      <c r="A6" s="14"/>
      <c r="B6" s="3" t="s">
        <v>467</v>
      </c>
      <c r="C6" s="3"/>
      <c r="D6" s="3"/>
      <c r="E6" s="3"/>
      <c r="F6" s="3"/>
      <c r="G6" s="3"/>
      <c r="H6" s="3"/>
      <c r="I6" s="3"/>
      <c r="J6" s="3"/>
      <c r="K6" s="3"/>
      <c r="L6" s="14"/>
      <c r="M6" s="14"/>
      <c r="N6" s="14"/>
      <c r="O6" s="14"/>
      <c r="P6" s="14"/>
      <c r="Q6" s="14"/>
      <c r="R6" s="235"/>
      <c r="S6" s="235"/>
    </row>
    <row r="7" spans="1:19" ht="15.75">
      <c r="A7" s="3">
        <v>100</v>
      </c>
      <c r="B7" s="3" t="s">
        <v>468</v>
      </c>
      <c r="C7" s="229">
        <v>24.88</v>
      </c>
      <c r="D7" s="3"/>
      <c r="E7" s="3">
        <v>9</v>
      </c>
      <c r="F7" s="3">
        <v>49082</v>
      </c>
      <c r="G7" s="290"/>
      <c r="H7" s="291">
        <f>SUM(E7:F7)</f>
        <v>49091</v>
      </c>
      <c r="I7" s="3"/>
      <c r="J7" s="229">
        <f t="shared" ref="J7:J34" si="0">+H7*C7</f>
        <v>1221384.0799999998</v>
      </c>
      <c r="K7" s="3"/>
      <c r="L7" s="371">
        <f t="shared" ref="L7:L35" si="1">+H7*$J$121+H7</f>
        <v>51455.198568438791</v>
      </c>
      <c r="M7" s="231">
        <f t="shared" ref="M7:M35" si="2">+C7*$S$1+C7</f>
        <v>26.186199999999999</v>
      </c>
      <c r="N7" s="231"/>
      <c r="O7" s="231">
        <f>+L7*M7</f>
        <v>1347416.1207528519</v>
      </c>
      <c r="P7" s="231"/>
      <c r="Q7" s="230">
        <f t="shared" ref="Q7:Q35" si="3">+O7-J7</f>
        <v>126032.0407528521</v>
      </c>
      <c r="R7" s="235"/>
      <c r="S7" s="235"/>
    </row>
    <row r="8" spans="1:19" ht="15.75">
      <c r="A8" s="3">
        <v>100</v>
      </c>
      <c r="B8" s="3" t="s">
        <v>469</v>
      </c>
      <c r="C8" s="229">
        <v>14.4</v>
      </c>
      <c r="D8" s="3"/>
      <c r="E8" s="3"/>
      <c r="F8" s="3">
        <v>7923</v>
      </c>
      <c r="G8" s="290"/>
      <c r="H8" s="291">
        <f t="shared" ref="H8:H35" si="4">SUM(E8:F8)</f>
        <v>7923</v>
      </c>
      <c r="I8" s="3"/>
      <c r="J8" s="229">
        <f t="shared" si="0"/>
        <v>114091.2</v>
      </c>
      <c r="K8" s="3"/>
      <c r="L8" s="371">
        <f t="shared" si="1"/>
        <v>8304.5678079024783</v>
      </c>
      <c r="M8" s="231">
        <f t="shared" si="2"/>
        <v>15.156000000000001</v>
      </c>
      <c r="N8" s="231"/>
      <c r="O8" s="231">
        <f t="shared" ref="O8:O35" si="5">+L8*M8</f>
        <v>125864.02969656997</v>
      </c>
      <c r="P8" s="231"/>
      <c r="Q8" s="230">
        <f t="shared" si="3"/>
        <v>11772.82969656997</v>
      </c>
      <c r="R8" s="235"/>
      <c r="S8" s="235"/>
    </row>
    <row r="9" spans="1:19" ht="15.75">
      <c r="A9" s="3">
        <v>100</v>
      </c>
      <c r="B9" s="3" t="s">
        <v>470</v>
      </c>
      <c r="C9" s="229">
        <v>31.3</v>
      </c>
      <c r="D9" s="3"/>
      <c r="E9" s="3"/>
      <c r="F9" s="3">
        <v>6830</v>
      </c>
      <c r="G9" s="290"/>
      <c r="H9" s="291">
        <f t="shared" si="4"/>
        <v>6830</v>
      </c>
      <c r="I9" s="3"/>
      <c r="J9" s="229">
        <f t="shared" si="0"/>
        <v>213779</v>
      </c>
      <c r="K9" s="3"/>
      <c r="L9" s="371">
        <f t="shared" si="1"/>
        <v>7158.9294620691562</v>
      </c>
      <c r="M9" s="231">
        <f t="shared" si="2"/>
        <v>32.943249999999999</v>
      </c>
      <c r="N9" s="231"/>
      <c r="O9" s="231">
        <f t="shared" si="5"/>
        <v>235838.40300130972</v>
      </c>
      <c r="P9" s="231"/>
      <c r="Q9" s="230">
        <f t="shared" si="3"/>
        <v>22059.403001309722</v>
      </c>
      <c r="R9" s="235"/>
      <c r="S9" s="235"/>
    </row>
    <row r="10" spans="1:19" ht="15.75">
      <c r="A10" s="3">
        <v>100</v>
      </c>
      <c r="B10" s="3" t="s">
        <v>471</v>
      </c>
      <c r="C10" s="229">
        <v>7</v>
      </c>
      <c r="D10" s="3"/>
      <c r="E10" s="3"/>
      <c r="F10" s="3"/>
      <c r="G10" s="290"/>
      <c r="H10" s="291">
        <f t="shared" si="4"/>
        <v>0</v>
      </c>
      <c r="I10" s="3"/>
      <c r="J10" s="229">
        <f t="shared" si="0"/>
        <v>0</v>
      </c>
      <c r="K10" s="3"/>
      <c r="L10" s="371">
        <f t="shared" si="1"/>
        <v>0</v>
      </c>
      <c r="M10" s="231">
        <f t="shared" si="2"/>
        <v>7.3674999999999997</v>
      </c>
      <c r="N10" s="231"/>
      <c r="O10" s="231">
        <f t="shared" si="5"/>
        <v>0</v>
      </c>
      <c r="P10" s="231"/>
      <c r="Q10" s="230">
        <f t="shared" si="3"/>
        <v>0</v>
      </c>
      <c r="R10" s="235"/>
      <c r="S10" s="235"/>
    </row>
    <row r="11" spans="1:19" ht="15.75">
      <c r="A11" s="3">
        <v>100</v>
      </c>
      <c r="B11" s="3" t="s">
        <v>472</v>
      </c>
      <c r="C11" s="229">
        <v>7</v>
      </c>
      <c r="D11" s="3"/>
      <c r="E11" s="3"/>
      <c r="F11" s="3"/>
      <c r="G11" s="290"/>
      <c r="H11" s="291">
        <f t="shared" si="4"/>
        <v>0</v>
      </c>
      <c r="I11" s="3"/>
      <c r="J11" s="229">
        <f t="shared" si="0"/>
        <v>0</v>
      </c>
      <c r="K11" s="3"/>
      <c r="L11" s="371">
        <f t="shared" si="1"/>
        <v>0</v>
      </c>
      <c r="M11" s="231">
        <f t="shared" si="2"/>
        <v>7.3674999999999997</v>
      </c>
      <c r="N11" s="231"/>
      <c r="O11" s="231">
        <f t="shared" si="5"/>
        <v>0</v>
      </c>
      <c r="P11" s="231"/>
      <c r="Q11" s="230">
        <f t="shared" si="3"/>
        <v>0</v>
      </c>
      <c r="R11" s="235"/>
      <c r="S11" s="235"/>
    </row>
    <row r="12" spans="1:19" ht="15.75">
      <c r="A12" s="3">
        <v>100</v>
      </c>
      <c r="B12" s="3" t="s">
        <v>473</v>
      </c>
      <c r="C12" s="229">
        <v>24.88</v>
      </c>
      <c r="D12" s="3"/>
      <c r="E12" s="3"/>
      <c r="F12" s="3">
        <v>120</v>
      </c>
      <c r="G12" s="290"/>
      <c r="H12" s="291">
        <f t="shared" si="4"/>
        <v>120</v>
      </c>
      <c r="I12" s="3"/>
      <c r="J12" s="229">
        <f t="shared" si="0"/>
        <v>2985.6</v>
      </c>
      <c r="K12" s="3"/>
      <c r="L12" s="371">
        <f t="shared" si="1"/>
        <v>125.77914135407011</v>
      </c>
      <c r="M12" s="231">
        <f t="shared" si="2"/>
        <v>26.186199999999999</v>
      </c>
      <c r="N12" s="231"/>
      <c r="O12" s="231">
        <f t="shared" si="5"/>
        <v>3293.6777513259503</v>
      </c>
      <c r="P12" s="231"/>
      <c r="Q12" s="230">
        <f t="shared" si="3"/>
        <v>308.07775132595043</v>
      </c>
      <c r="R12" s="235"/>
      <c r="S12" s="235"/>
    </row>
    <row r="13" spans="1:19" ht="15.75">
      <c r="A13" s="3">
        <v>100</v>
      </c>
      <c r="B13" s="3" t="s">
        <v>474</v>
      </c>
      <c r="C13" s="229">
        <v>6.5</v>
      </c>
      <c r="D13" s="3"/>
      <c r="E13" s="3">
        <v>7</v>
      </c>
      <c r="F13" s="3"/>
      <c r="G13" s="290"/>
      <c r="H13" s="291">
        <f t="shared" si="4"/>
        <v>7</v>
      </c>
      <c r="I13" s="3"/>
      <c r="J13" s="229">
        <f t="shared" si="0"/>
        <v>45.5</v>
      </c>
      <c r="K13" s="3"/>
      <c r="L13" s="371">
        <f t="shared" si="1"/>
        <v>7.3371165789874224</v>
      </c>
      <c r="M13" s="231">
        <f t="shared" si="2"/>
        <v>6.8412499999999996</v>
      </c>
      <c r="N13" s="231"/>
      <c r="O13" s="231">
        <f t="shared" si="5"/>
        <v>50.1950487959977</v>
      </c>
      <c r="P13" s="231"/>
      <c r="Q13" s="230">
        <f t="shared" si="3"/>
        <v>4.6950487959976996</v>
      </c>
      <c r="R13" s="235"/>
      <c r="S13" s="235"/>
    </row>
    <row r="14" spans="1:19" ht="15.75">
      <c r="A14" s="3">
        <v>100</v>
      </c>
      <c r="B14" s="3" t="s">
        <v>475</v>
      </c>
      <c r="C14" s="229">
        <v>14.4</v>
      </c>
      <c r="D14" s="3"/>
      <c r="E14" s="3"/>
      <c r="F14" s="3"/>
      <c r="G14" s="290"/>
      <c r="H14" s="291">
        <f t="shared" si="4"/>
        <v>0</v>
      </c>
      <c r="I14" s="3"/>
      <c r="J14" s="229">
        <f t="shared" si="0"/>
        <v>0</v>
      </c>
      <c r="K14" s="3"/>
      <c r="L14" s="371">
        <f t="shared" si="1"/>
        <v>0</v>
      </c>
      <c r="M14" s="231">
        <f t="shared" si="2"/>
        <v>15.156000000000001</v>
      </c>
      <c r="N14" s="231"/>
      <c r="O14" s="231">
        <f t="shared" si="5"/>
        <v>0</v>
      </c>
      <c r="P14" s="231"/>
      <c r="Q14" s="230">
        <f t="shared" si="3"/>
        <v>0</v>
      </c>
      <c r="R14" s="235"/>
      <c r="S14" s="235"/>
    </row>
    <row r="15" spans="1:19" ht="15.75">
      <c r="A15" s="3">
        <v>100</v>
      </c>
      <c r="B15" s="3" t="s">
        <v>476</v>
      </c>
      <c r="C15" s="229">
        <v>6.5</v>
      </c>
      <c r="D15" s="3"/>
      <c r="E15" s="3"/>
      <c r="F15" s="3"/>
      <c r="G15" s="290"/>
      <c r="H15" s="291">
        <f t="shared" si="4"/>
        <v>0</v>
      </c>
      <c r="I15" s="3"/>
      <c r="J15" s="229">
        <f t="shared" si="0"/>
        <v>0</v>
      </c>
      <c r="K15" s="3"/>
      <c r="L15" s="371">
        <f t="shared" si="1"/>
        <v>0</v>
      </c>
      <c r="M15" s="231">
        <f t="shared" si="2"/>
        <v>6.8412499999999996</v>
      </c>
      <c r="N15" s="231"/>
      <c r="O15" s="231">
        <f t="shared" si="5"/>
        <v>0</v>
      </c>
      <c r="P15" s="231"/>
      <c r="Q15" s="230">
        <f t="shared" si="3"/>
        <v>0</v>
      </c>
      <c r="R15" s="235"/>
      <c r="S15" s="235"/>
    </row>
    <row r="16" spans="1:19" ht="15.75">
      <c r="A16" s="3">
        <v>100</v>
      </c>
      <c r="B16" s="3" t="s">
        <v>477</v>
      </c>
      <c r="C16" s="229">
        <v>31.3</v>
      </c>
      <c r="D16" s="3"/>
      <c r="E16" s="3"/>
      <c r="F16" s="3">
        <v>22</v>
      </c>
      <c r="G16" s="290"/>
      <c r="H16" s="291">
        <f t="shared" si="4"/>
        <v>22</v>
      </c>
      <c r="I16" s="3"/>
      <c r="J16" s="229">
        <f t="shared" si="0"/>
        <v>688.6</v>
      </c>
      <c r="K16" s="3"/>
      <c r="L16" s="371">
        <f t="shared" si="1"/>
        <v>23.059509248246187</v>
      </c>
      <c r="M16" s="231">
        <f t="shared" si="2"/>
        <v>32.943249999999999</v>
      </c>
      <c r="N16" s="231"/>
      <c r="O16" s="231">
        <f t="shared" si="5"/>
        <v>759.65517804228614</v>
      </c>
      <c r="P16" s="231"/>
      <c r="Q16" s="230">
        <f t="shared" si="3"/>
        <v>71.055178042286116</v>
      </c>
      <c r="R16" s="235"/>
      <c r="S16" s="235"/>
    </row>
    <row r="17" spans="1:19" ht="15.75">
      <c r="A17" s="3">
        <v>100</v>
      </c>
      <c r="B17" s="3" t="s">
        <v>478</v>
      </c>
      <c r="C17" s="229">
        <v>6.75</v>
      </c>
      <c r="D17" s="3"/>
      <c r="E17" s="3"/>
      <c r="F17" s="3"/>
      <c r="G17" s="290"/>
      <c r="H17" s="291">
        <f t="shared" si="4"/>
        <v>0</v>
      </c>
      <c r="I17" s="3"/>
      <c r="J17" s="229">
        <f t="shared" si="0"/>
        <v>0</v>
      </c>
      <c r="K17" s="3"/>
      <c r="L17" s="371">
        <f t="shared" si="1"/>
        <v>0</v>
      </c>
      <c r="M17" s="231">
        <f t="shared" si="2"/>
        <v>7.1043750000000001</v>
      </c>
      <c r="N17" s="231"/>
      <c r="O17" s="231">
        <f t="shared" si="5"/>
        <v>0</v>
      </c>
      <c r="P17" s="231"/>
      <c r="Q17" s="230">
        <f t="shared" si="3"/>
        <v>0</v>
      </c>
      <c r="R17" s="235"/>
      <c r="S17" s="235"/>
    </row>
    <row r="18" spans="1:19" ht="15.75">
      <c r="A18" s="3">
        <v>100</v>
      </c>
      <c r="B18" s="3" t="s">
        <v>479</v>
      </c>
      <c r="C18" s="229">
        <v>3.25</v>
      </c>
      <c r="D18" s="3"/>
      <c r="E18" s="3"/>
      <c r="F18" s="3">
        <v>10</v>
      </c>
      <c r="G18" s="290"/>
      <c r="H18" s="291">
        <f t="shared" si="4"/>
        <v>10</v>
      </c>
      <c r="I18" s="3"/>
      <c r="J18" s="229">
        <f t="shared" si="0"/>
        <v>32.5</v>
      </c>
      <c r="K18" s="3"/>
      <c r="L18" s="371">
        <f t="shared" si="1"/>
        <v>10.481595112839175</v>
      </c>
      <c r="M18" s="231">
        <f t="shared" si="2"/>
        <v>3.4206249999999998</v>
      </c>
      <c r="N18" s="231"/>
      <c r="O18" s="231">
        <f t="shared" si="5"/>
        <v>35.853606282855502</v>
      </c>
      <c r="P18" s="231"/>
      <c r="Q18" s="230">
        <f t="shared" si="3"/>
        <v>3.3536062828555018</v>
      </c>
      <c r="R18" s="235"/>
      <c r="S18" s="235"/>
    </row>
    <row r="19" spans="1:19" ht="15.75">
      <c r="A19" s="3">
        <v>100</v>
      </c>
      <c r="B19" s="3" t="s">
        <v>480</v>
      </c>
      <c r="C19" s="229">
        <v>3.25</v>
      </c>
      <c r="D19" s="3"/>
      <c r="E19" s="3"/>
      <c r="F19" s="3"/>
      <c r="G19" s="290"/>
      <c r="H19" s="291">
        <f t="shared" si="4"/>
        <v>0</v>
      </c>
      <c r="I19" s="3"/>
      <c r="J19" s="229">
        <f t="shared" si="0"/>
        <v>0</v>
      </c>
      <c r="K19" s="3"/>
      <c r="L19" s="371">
        <f t="shared" si="1"/>
        <v>0</v>
      </c>
      <c r="M19" s="231">
        <f t="shared" si="2"/>
        <v>3.4206249999999998</v>
      </c>
      <c r="N19" s="231"/>
      <c r="O19" s="231">
        <f t="shared" si="5"/>
        <v>0</v>
      </c>
      <c r="P19" s="231"/>
      <c r="Q19" s="230">
        <f t="shared" si="3"/>
        <v>0</v>
      </c>
      <c r="R19" s="235"/>
      <c r="S19" s="235"/>
    </row>
    <row r="20" spans="1:19" ht="15.75">
      <c r="A20" s="3">
        <v>100</v>
      </c>
      <c r="B20" s="3" t="s">
        <v>481</v>
      </c>
      <c r="C20" s="229">
        <v>16.5</v>
      </c>
      <c r="D20" s="3"/>
      <c r="E20" s="3"/>
      <c r="F20" s="3"/>
      <c r="G20" s="290"/>
      <c r="H20" s="291">
        <f t="shared" si="4"/>
        <v>0</v>
      </c>
      <c r="I20" s="3"/>
      <c r="J20" s="229">
        <f t="shared" si="0"/>
        <v>0</v>
      </c>
      <c r="K20" s="3"/>
      <c r="L20" s="371">
        <f t="shared" si="1"/>
        <v>0</v>
      </c>
      <c r="M20" s="231">
        <f t="shared" si="2"/>
        <v>17.366250000000001</v>
      </c>
      <c r="N20" s="231"/>
      <c r="O20" s="231">
        <f t="shared" si="5"/>
        <v>0</v>
      </c>
      <c r="P20" s="231"/>
      <c r="Q20" s="230">
        <f t="shared" si="3"/>
        <v>0</v>
      </c>
      <c r="R20" s="235"/>
      <c r="S20" s="235"/>
    </row>
    <row r="21" spans="1:19" ht="15.75">
      <c r="A21" s="3">
        <v>100</v>
      </c>
      <c r="B21" s="3" t="s">
        <v>482</v>
      </c>
      <c r="C21" s="229">
        <v>6.75</v>
      </c>
      <c r="D21" s="3"/>
      <c r="E21" s="3"/>
      <c r="F21" s="3">
        <v>382</v>
      </c>
      <c r="G21" s="290"/>
      <c r="H21" s="291">
        <f t="shared" si="4"/>
        <v>382</v>
      </c>
      <c r="I21" s="3"/>
      <c r="J21" s="229">
        <f t="shared" si="0"/>
        <v>2578.5</v>
      </c>
      <c r="K21" s="3"/>
      <c r="L21" s="371">
        <f t="shared" si="1"/>
        <v>400.39693331045646</v>
      </c>
      <c r="M21" s="231">
        <f t="shared" si="2"/>
        <v>7.1043750000000001</v>
      </c>
      <c r="N21" s="231"/>
      <c r="O21" s="231">
        <f t="shared" si="5"/>
        <v>2844.5699630874742</v>
      </c>
      <c r="P21" s="231"/>
      <c r="Q21" s="230">
        <f t="shared" si="3"/>
        <v>266.06996308747421</v>
      </c>
      <c r="R21" s="235"/>
      <c r="S21" s="235"/>
    </row>
    <row r="22" spans="1:19" ht="15.75">
      <c r="A22" s="3">
        <v>100</v>
      </c>
      <c r="B22" s="3" t="s">
        <v>483</v>
      </c>
      <c r="C22" s="229">
        <v>6.95</v>
      </c>
      <c r="D22" s="3"/>
      <c r="E22" s="3"/>
      <c r="F22" s="3">
        <v>66</v>
      </c>
      <c r="G22" s="290"/>
      <c r="H22" s="291">
        <f t="shared" si="4"/>
        <v>66</v>
      </c>
      <c r="I22" s="3"/>
      <c r="J22" s="229">
        <f t="shared" si="0"/>
        <v>458.7</v>
      </c>
      <c r="K22" s="3"/>
      <c r="L22" s="371">
        <f t="shared" si="1"/>
        <v>69.17852774473856</v>
      </c>
      <c r="M22" s="231">
        <f t="shared" si="2"/>
        <v>7.3148749999999998</v>
      </c>
      <c r="N22" s="231"/>
      <c r="O22" s="231">
        <f t="shared" si="5"/>
        <v>506.03228313679443</v>
      </c>
      <c r="P22" s="231"/>
      <c r="Q22" s="230">
        <f t="shared" si="3"/>
        <v>47.332283136794445</v>
      </c>
      <c r="R22" s="235"/>
      <c r="S22" s="235"/>
    </row>
    <row r="23" spans="1:19" ht="15.75">
      <c r="A23" s="3">
        <v>80</v>
      </c>
      <c r="B23" s="3" t="s">
        <v>484</v>
      </c>
      <c r="C23" s="229">
        <v>1.9</v>
      </c>
      <c r="D23" s="3"/>
      <c r="E23" s="3"/>
      <c r="F23" s="3"/>
      <c r="G23" s="290"/>
      <c r="H23" s="291">
        <f t="shared" si="4"/>
        <v>0</v>
      </c>
      <c r="I23" s="3"/>
      <c r="J23" s="229">
        <f t="shared" si="0"/>
        <v>0</v>
      </c>
      <c r="K23" s="3"/>
      <c r="L23" s="371">
        <f t="shared" si="1"/>
        <v>0</v>
      </c>
      <c r="M23" s="231">
        <f t="shared" si="2"/>
        <v>1.9997499999999999</v>
      </c>
      <c r="N23" s="231"/>
      <c r="O23" s="231">
        <f t="shared" si="5"/>
        <v>0</v>
      </c>
      <c r="P23" s="231"/>
      <c r="Q23" s="230">
        <f t="shared" si="3"/>
        <v>0</v>
      </c>
      <c r="R23" s="235"/>
      <c r="S23" s="235"/>
    </row>
    <row r="24" spans="1:19" ht="15.75">
      <c r="A24" s="3">
        <v>80</v>
      </c>
      <c r="B24" s="3" t="s">
        <v>485</v>
      </c>
      <c r="C24" s="229">
        <v>1.9</v>
      </c>
      <c r="D24" s="3"/>
      <c r="E24" s="3">
        <v>195</v>
      </c>
      <c r="F24" s="3">
        <v>1279</v>
      </c>
      <c r="G24" s="290"/>
      <c r="H24" s="291">
        <f t="shared" si="4"/>
        <v>1474</v>
      </c>
      <c r="I24" s="3"/>
      <c r="J24" s="229">
        <f t="shared" si="0"/>
        <v>2800.6</v>
      </c>
      <c r="K24" s="3"/>
      <c r="L24" s="371">
        <f t="shared" si="1"/>
        <v>1544.9871196324943</v>
      </c>
      <c r="M24" s="231">
        <f t="shared" si="2"/>
        <v>1.9997499999999999</v>
      </c>
      <c r="N24" s="231"/>
      <c r="O24" s="231">
        <f t="shared" si="5"/>
        <v>3089.5879924850806</v>
      </c>
      <c r="P24" s="231"/>
      <c r="Q24" s="230">
        <f t="shared" si="3"/>
        <v>288.98799248508067</v>
      </c>
      <c r="R24" s="235"/>
      <c r="S24" s="235"/>
    </row>
    <row r="25" spans="1:19" ht="15.75">
      <c r="A25" s="3">
        <v>80</v>
      </c>
      <c r="B25" s="3" t="s">
        <v>486</v>
      </c>
      <c r="C25" s="229">
        <v>1.7</v>
      </c>
      <c r="D25" s="3"/>
      <c r="E25" s="3"/>
      <c r="F25" s="3">
        <v>7088</v>
      </c>
      <c r="G25" s="290"/>
      <c r="H25" s="291">
        <f t="shared" si="4"/>
        <v>7088</v>
      </c>
      <c r="I25" s="3"/>
      <c r="J25" s="229">
        <f t="shared" si="0"/>
        <v>12049.6</v>
      </c>
      <c r="K25" s="3"/>
      <c r="L25" s="371">
        <f t="shared" si="1"/>
        <v>7429.3546159804073</v>
      </c>
      <c r="M25" s="231">
        <f t="shared" si="2"/>
        <v>1.78925</v>
      </c>
      <c r="N25" s="231"/>
      <c r="O25" s="231">
        <f t="shared" si="5"/>
        <v>13292.972746642943</v>
      </c>
      <c r="P25" s="231"/>
      <c r="Q25" s="230">
        <f t="shared" si="3"/>
        <v>1243.3727466429427</v>
      </c>
      <c r="R25" s="235"/>
      <c r="S25" s="235"/>
    </row>
    <row r="26" spans="1:19" ht="15.75">
      <c r="A26" s="132">
        <v>207</v>
      </c>
      <c r="B26" s="3" t="s">
        <v>487</v>
      </c>
      <c r="C26" s="229">
        <v>5.75</v>
      </c>
      <c r="D26" s="3"/>
      <c r="E26" s="3"/>
      <c r="F26" s="3"/>
      <c r="G26" s="290"/>
      <c r="H26" s="291">
        <f t="shared" si="4"/>
        <v>0</v>
      </c>
      <c r="I26" s="3"/>
      <c r="J26" s="229">
        <f t="shared" si="0"/>
        <v>0</v>
      </c>
      <c r="K26" s="3"/>
      <c r="L26" s="371">
        <f t="shared" si="1"/>
        <v>0</v>
      </c>
      <c r="M26" s="231">
        <f t="shared" si="2"/>
        <v>6.0518749999999999</v>
      </c>
      <c r="N26" s="231"/>
      <c r="O26" s="231">
        <f t="shared" si="5"/>
        <v>0</v>
      </c>
      <c r="P26" s="231"/>
      <c r="Q26" s="230">
        <f t="shared" si="3"/>
        <v>0</v>
      </c>
      <c r="R26" s="235"/>
      <c r="S26" s="235"/>
    </row>
    <row r="27" spans="1:19" ht="15.75">
      <c r="A27" s="3">
        <v>70</v>
      </c>
      <c r="B27" s="3" t="s">
        <v>488</v>
      </c>
      <c r="C27" s="229">
        <v>7.6</v>
      </c>
      <c r="D27" s="3"/>
      <c r="E27" s="3"/>
      <c r="F27" s="3"/>
      <c r="G27" s="290"/>
      <c r="H27" s="291">
        <f t="shared" si="4"/>
        <v>0</v>
      </c>
      <c r="I27" s="3"/>
      <c r="J27" s="229">
        <f t="shared" si="0"/>
        <v>0</v>
      </c>
      <c r="K27" s="3"/>
      <c r="L27" s="371">
        <f t="shared" si="1"/>
        <v>0</v>
      </c>
      <c r="M27" s="231">
        <f t="shared" si="2"/>
        <v>7.9989999999999997</v>
      </c>
      <c r="N27" s="231"/>
      <c r="O27" s="231">
        <f t="shared" si="5"/>
        <v>0</v>
      </c>
      <c r="P27" s="231"/>
      <c r="Q27" s="230">
        <f t="shared" si="3"/>
        <v>0</v>
      </c>
      <c r="R27" s="235"/>
      <c r="S27" s="235"/>
    </row>
    <row r="28" spans="1:19" ht="15.75">
      <c r="A28" s="3">
        <v>51</v>
      </c>
      <c r="B28" s="3" t="s">
        <v>489</v>
      </c>
      <c r="C28" s="229">
        <v>15</v>
      </c>
      <c r="D28" s="3"/>
      <c r="E28" s="3"/>
      <c r="F28" s="3">
        <v>393</v>
      </c>
      <c r="G28" s="290"/>
      <c r="H28" s="291">
        <f t="shared" si="4"/>
        <v>393</v>
      </c>
      <c r="I28" s="3"/>
      <c r="J28" s="229">
        <f t="shared" si="0"/>
        <v>5895</v>
      </c>
      <c r="K28" s="3"/>
      <c r="L28" s="371">
        <f t="shared" si="1"/>
        <v>411.92668793457955</v>
      </c>
      <c r="M28" s="231">
        <f t="shared" si="2"/>
        <v>15.7875</v>
      </c>
      <c r="N28" s="231"/>
      <c r="O28" s="231">
        <f t="shared" si="5"/>
        <v>6503.2925857671744</v>
      </c>
      <c r="P28" s="231"/>
      <c r="Q28" s="230">
        <f t="shared" si="3"/>
        <v>608.29258576717439</v>
      </c>
      <c r="R28" s="235"/>
      <c r="S28" s="235"/>
    </row>
    <row r="29" spans="1:19" ht="15.75">
      <c r="A29" s="3">
        <v>52</v>
      </c>
      <c r="B29" s="3" t="s">
        <v>490</v>
      </c>
      <c r="C29" s="229">
        <v>16.5</v>
      </c>
      <c r="D29" s="3"/>
      <c r="E29" s="3"/>
      <c r="F29" s="3">
        <v>344</v>
      </c>
      <c r="G29" s="290"/>
      <c r="H29" s="291">
        <f t="shared" si="4"/>
        <v>344</v>
      </c>
      <c r="I29" s="3"/>
      <c r="J29" s="229">
        <f t="shared" si="0"/>
        <v>5676</v>
      </c>
      <c r="K29" s="3"/>
      <c r="L29" s="371">
        <f t="shared" si="1"/>
        <v>360.56687188166762</v>
      </c>
      <c r="M29" s="231">
        <f t="shared" si="2"/>
        <v>17.366250000000001</v>
      </c>
      <c r="N29" s="231"/>
      <c r="O29" s="231">
        <f t="shared" si="5"/>
        <v>6261.6944388150105</v>
      </c>
      <c r="P29" s="231"/>
      <c r="Q29" s="230">
        <f t="shared" si="3"/>
        <v>585.69443881501047</v>
      </c>
      <c r="R29" s="235"/>
      <c r="S29" s="235"/>
    </row>
    <row r="30" spans="1:19" ht="15.75">
      <c r="A30" s="3">
        <v>18</v>
      </c>
      <c r="B30" s="3" t="s">
        <v>491</v>
      </c>
      <c r="C30" s="229">
        <v>1.25</v>
      </c>
      <c r="D30" s="3"/>
      <c r="E30" s="3">
        <v>1344</v>
      </c>
      <c r="F30" s="3">
        <v>1135</v>
      </c>
      <c r="G30" s="290"/>
      <c r="H30" s="291">
        <f t="shared" si="4"/>
        <v>2479</v>
      </c>
      <c r="I30" s="3"/>
      <c r="J30" s="229">
        <f t="shared" si="0"/>
        <v>3098.75</v>
      </c>
      <c r="K30" s="3"/>
      <c r="L30" s="371">
        <f t="shared" si="1"/>
        <v>2598.3874284728313</v>
      </c>
      <c r="M30" s="231">
        <v>1</v>
      </c>
      <c r="N30" s="231"/>
      <c r="O30" s="231">
        <f t="shared" si="5"/>
        <v>2598.3874284728313</v>
      </c>
      <c r="P30" s="231"/>
      <c r="Q30" s="230">
        <f t="shared" si="3"/>
        <v>-500.36257152716871</v>
      </c>
      <c r="R30" s="235"/>
      <c r="S30" s="235"/>
    </row>
    <row r="31" spans="1:19" ht="15.75">
      <c r="A31" s="3">
        <v>50</v>
      </c>
      <c r="B31" s="3" t="s">
        <v>492</v>
      </c>
      <c r="C31" s="229">
        <v>30</v>
      </c>
      <c r="D31" s="3"/>
      <c r="E31" s="3">
        <v>2</v>
      </c>
      <c r="F31" s="3">
        <v>4</v>
      </c>
      <c r="G31" s="290"/>
      <c r="H31" s="291">
        <f t="shared" si="4"/>
        <v>6</v>
      </c>
      <c r="I31" s="3"/>
      <c r="J31" s="229">
        <f t="shared" si="0"/>
        <v>180</v>
      </c>
      <c r="K31" s="3"/>
      <c r="L31" s="371">
        <f t="shared" si="1"/>
        <v>6.2889570677035049</v>
      </c>
      <c r="M31" s="231">
        <f t="shared" si="2"/>
        <v>31.574999999999999</v>
      </c>
      <c r="N31" s="231"/>
      <c r="O31" s="231">
        <f t="shared" si="5"/>
        <v>198.57381941273817</v>
      </c>
      <c r="P31" s="231"/>
      <c r="Q31" s="230">
        <f t="shared" si="3"/>
        <v>18.573819412738175</v>
      </c>
      <c r="R31" s="235"/>
      <c r="S31" s="235"/>
    </row>
    <row r="32" spans="1:19" ht="15.75">
      <c r="A32" s="3">
        <v>50</v>
      </c>
      <c r="B32" s="3" t="s">
        <v>493</v>
      </c>
      <c r="C32" s="229">
        <v>10</v>
      </c>
      <c r="D32" s="3"/>
      <c r="E32" s="3">
        <v>1</v>
      </c>
      <c r="F32" s="3"/>
      <c r="G32" s="290"/>
      <c r="H32" s="291">
        <f t="shared" si="4"/>
        <v>1</v>
      </c>
      <c r="I32" s="3"/>
      <c r="J32" s="229">
        <f t="shared" si="0"/>
        <v>10</v>
      </c>
      <c r="K32" s="3"/>
      <c r="L32" s="371">
        <f t="shared" si="1"/>
        <v>1.0481595112839175</v>
      </c>
      <c r="M32" s="231">
        <f t="shared" si="2"/>
        <v>10.525</v>
      </c>
      <c r="N32" s="231"/>
      <c r="O32" s="231">
        <f t="shared" si="5"/>
        <v>11.031878856263232</v>
      </c>
      <c r="P32" s="231"/>
      <c r="Q32" s="230">
        <f t="shared" si="3"/>
        <v>1.0318788562632317</v>
      </c>
      <c r="R32" s="235"/>
      <c r="S32" s="235"/>
    </row>
    <row r="33" spans="1:19" ht="15.75">
      <c r="A33" s="3">
        <v>100</v>
      </c>
      <c r="B33" s="3" t="s">
        <v>494</v>
      </c>
      <c r="C33" s="229">
        <v>13.2</v>
      </c>
      <c r="D33" s="3"/>
      <c r="E33" s="3"/>
      <c r="F33" s="3"/>
      <c r="G33" s="290"/>
      <c r="H33" s="291">
        <f t="shared" si="4"/>
        <v>0</v>
      </c>
      <c r="I33" s="3"/>
      <c r="J33" s="229">
        <f t="shared" si="0"/>
        <v>0</v>
      </c>
      <c r="K33" s="3"/>
      <c r="L33" s="371">
        <f t="shared" si="1"/>
        <v>0</v>
      </c>
      <c r="M33" s="231">
        <f t="shared" si="2"/>
        <v>13.892999999999999</v>
      </c>
      <c r="N33" s="231"/>
      <c r="O33" s="231">
        <f t="shared" si="5"/>
        <v>0</v>
      </c>
      <c r="P33" s="231"/>
      <c r="Q33" s="230">
        <f t="shared" si="3"/>
        <v>0</v>
      </c>
      <c r="R33" s="235"/>
      <c r="S33" s="235"/>
    </row>
    <row r="34" spans="1:19" ht="15.75">
      <c r="A34" s="3">
        <v>100</v>
      </c>
      <c r="B34" s="3" t="s">
        <v>495</v>
      </c>
      <c r="C34" s="229">
        <v>15.75</v>
      </c>
      <c r="D34" s="3"/>
      <c r="E34" s="3"/>
      <c r="F34" s="3"/>
      <c r="G34" s="290"/>
      <c r="H34" s="291">
        <f t="shared" si="4"/>
        <v>0</v>
      </c>
      <c r="I34" s="3"/>
      <c r="J34" s="229">
        <f t="shared" si="0"/>
        <v>0</v>
      </c>
      <c r="K34" s="3"/>
      <c r="L34" s="371">
        <f t="shared" si="1"/>
        <v>0</v>
      </c>
      <c r="M34" s="231">
        <f t="shared" si="2"/>
        <v>16.576875000000001</v>
      </c>
      <c r="N34" s="231"/>
      <c r="O34" s="231">
        <f t="shared" si="5"/>
        <v>0</v>
      </c>
      <c r="P34" s="231"/>
      <c r="Q34" s="230">
        <f t="shared" si="3"/>
        <v>0</v>
      </c>
      <c r="R34" s="235"/>
      <c r="S34" s="235"/>
    </row>
    <row r="35" spans="1:19" ht="15.75">
      <c r="A35" s="3">
        <v>100</v>
      </c>
      <c r="B35" s="3" t="s">
        <v>496</v>
      </c>
      <c r="C35" s="229">
        <v>1.64</v>
      </c>
      <c r="D35" s="3"/>
      <c r="E35" s="3"/>
      <c r="F35" s="3"/>
      <c r="G35" s="290"/>
      <c r="H35" s="291">
        <f t="shared" si="4"/>
        <v>0</v>
      </c>
      <c r="I35" s="3"/>
      <c r="J35" s="292">
        <f>+H35*C35*12</f>
        <v>0</v>
      </c>
      <c r="K35" s="3"/>
      <c r="L35" s="371">
        <f t="shared" si="1"/>
        <v>0</v>
      </c>
      <c r="M35" s="231">
        <f t="shared" si="2"/>
        <v>1.7261</v>
      </c>
      <c r="N35" s="231"/>
      <c r="O35" s="232">
        <f t="shared" si="5"/>
        <v>0</v>
      </c>
      <c r="P35" s="231"/>
      <c r="Q35" s="233">
        <f t="shared" si="3"/>
        <v>0</v>
      </c>
      <c r="R35" s="235"/>
      <c r="S35" s="235"/>
    </row>
    <row r="36" spans="1:19" ht="15.75">
      <c r="A36" s="3" t="s">
        <v>497</v>
      </c>
      <c r="B36" s="3"/>
      <c r="C36" s="229"/>
      <c r="D36" s="3"/>
      <c r="E36" s="3"/>
      <c r="F36" s="3"/>
      <c r="G36" s="290"/>
      <c r="H36" s="291"/>
      <c r="I36" s="3"/>
      <c r="J36" s="229">
        <f>SUM(J7:J35)</f>
        <v>1585753.6300000001</v>
      </c>
      <c r="K36" s="372"/>
      <c r="L36" s="14"/>
      <c r="M36" s="231"/>
      <c r="N36" s="231"/>
      <c r="O36" s="231">
        <f>SUM(O7:O35)</f>
        <v>1748564.0781718555</v>
      </c>
      <c r="P36" s="231"/>
      <c r="Q36" s="231">
        <f>SUM(Q7:Q35)</f>
        <v>162810.44817185515</v>
      </c>
      <c r="R36" s="235"/>
      <c r="S36" s="235"/>
    </row>
    <row r="37" spans="1:19" ht="15.75">
      <c r="A37" s="293"/>
      <c r="B37" s="293"/>
      <c r="C37" s="294"/>
      <c r="D37" s="3"/>
      <c r="E37" s="3"/>
      <c r="F37" s="3"/>
      <c r="G37" s="290"/>
      <c r="H37" s="291"/>
      <c r="I37" s="3"/>
      <c r="J37" s="229"/>
      <c r="K37" s="3"/>
      <c r="L37" s="14"/>
      <c r="M37" s="231"/>
      <c r="N37" s="231"/>
      <c r="O37" s="231"/>
      <c r="P37" s="231"/>
      <c r="Q37" s="14"/>
      <c r="R37" s="235"/>
      <c r="S37" s="235"/>
    </row>
    <row r="38" spans="1:19" ht="15.75">
      <c r="A38" s="3"/>
      <c r="B38" s="3"/>
      <c r="C38" s="229"/>
      <c r="D38" s="3"/>
      <c r="E38" s="3"/>
      <c r="F38" s="3"/>
      <c r="G38" s="290"/>
      <c r="H38" s="291"/>
      <c r="I38" s="3"/>
      <c r="J38" s="229"/>
      <c r="K38" s="3"/>
      <c r="L38" s="14"/>
      <c r="M38" s="231"/>
      <c r="N38" s="231"/>
      <c r="O38" s="231"/>
      <c r="P38" s="231"/>
      <c r="Q38" s="14"/>
      <c r="R38" s="235"/>
      <c r="S38" s="235"/>
    </row>
    <row r="39" spans="1:19" ht="15.75">
      <c r="A39" s="3" t="s">
        <v>498</v>
      </c>
      <c r="B39" s="3"/>
      <c r="C39" s="229"/>
      <c r="D39" s="3"/>
      <c r="E39" s="3"/>
      <c r="F39" s="3"/>
      <c r="G39" s="290"/>
      <c r="H39" s="291"/>
      <c r="I39" s="3"/>
      <c r="J39" s="229"/>
      <c r="K39" s="3"/>
      <c r="L39" s="14"/>
      <c r="M39" s="231"/>
      <c r="N39" s="231"/>
      <c r="O39" s="231"/>
      <c r="P39" s="231"/>
      <c r="Q39" s="14"/>
      <c r="R39" s="235"/>
      <c r="S39" s="235"/>
    </row>
    <row r="40" spans="1:19" ht="15.75">
      <c r="A40" s="3">
        <v>240</v>
      </c>
      <c r="B40" s="3" t="s">
        <v>499</v>
      </c>
      <c r="C40" s="229">
        <v>130.12</v>
      </c>
      <c r="D40" s="3"/>
      <c r="E40" s="3">
        <f>5197+58</f>
        <v>5255</v>
      </c>
      <c r="F40" s="3">
        <v>173</v>
      </c>
      <c r="G40" s="3"/>
      <c r="H40" s="291">
        <f t="shared" ref="H40:H70" si="6">SUM(E40:F40)</f>
        <v>5428</v>
      </c>
      <c r="I40" s="3"/>
      <c r="J40" s="229">
        <f>+H40*C40</f>
        <v>706291.36</v>
      </c>
      <c r="K40" s="3"/>
      <c r="L40" s="371">
        <f t="shared" ref="L40:L70" si="7">+H40*$J$121+H40</f>
        <v>5689.4098272491037</v>
      </c>
      <c r="M40" s="231">
        <f t="shared" ref="M40:M70" si="8">+C40*$S$1+C40</f>
        <v>136.9513</v>
      </c>
      <c r="N40" s="231"/>
      <c r="O40" s="231">
        <f t="shared" ref="O40:O70" si="9">+L40*M40</f>
        <v>779172.07207454019</v>
      </c>
      <c r="P40" s="231"/>
      <c r="Q40" s="230">
        <f t="shared" ref="Q40:Q70" si="10">+O40-J40</f>
        <v>72880.712074540206</v>
      </c>
      <c r="R40" s="235"/>
      <c r="S40" s="235"/>
    </row>
    <row r="41" spans="1:19" ht="15.75">
      <c r="A41" s="3">
        <v>240</v>
      </c>
      <c r="B41" s="3" t="s">
        <v>500</v>
      </c>
      <c r="C41" s="229">
        <v>65.209999999999994</v>
      </c>
      <c r="D41" s="3"/>
      <c r="E41" s="3">
        <v>525</v>
      </c>
      <c r="F41" s="3"/>
      <c r="G41" s="3"/>
      <c r="H41" s="291">
        <f t="shared" si="6"/>
        <v>525</v>
      </c>
      <c r="I41" s="3"/>
      <c r="J41" s="229">
        <f t="shared" ref="J41:J94" si="11">+H41*C41</f>
        <v>34235.25</v>
      </c>
      <c r="K41" s="3"/>
      <c r="L41" s="371">
        <f t="shared" si="7"/>
        <v>550.28374342405664</v>
      </c>
      <c r="M41" s="231">
        <f t="shared" si="8"/>
        <v>68.633524999999992</v>
      </c>
      <c r="N41" s="231"/>
      <c r="O41" s="231">
        <f t="shared" si="9"/>
        <v>37767.913061388572</v>
      </c>
      <c r="P41" s="231"/>
      <c r="Q41" s="230">
        <f t="shared" si="10"/>
        <v>3532.6630613885718</v>
      </c>
      <c r="R41" s="235"/>
      <c r="S41" s="235"/>
    </row>
    <row r="42" spans="1:19" ht="15.75">
      <c r="A42" s="3">
        <v>240</v>
      </c>
      <c r="B42" s="3" t="s">
        <v>501</v>
      </c>
      <c r="C42" s="229">
        <v>16.350000000000001</v>
      </c>
      <c r="D42" s="3"/>
      <c r="E42" s="3"/>
      <c r="F42" s="3"/>
      <c r="G42" s="3"/>
      <c r="H42" s="291">
        <f t="shared" si="6"/>
        <v>0</v>
      </c>
      <c r="I42" s="3"/>
      <c r="J42" s="229">
        <f t="shared" si="11"/>
        <v>0</v>
      </c>
      <c r="K42" s="3"/>
      <c r="L42" s="371">
        <f t="shared" si="7"/>
        <v>0</v>
      </c>
      <c r="M42" s="231">
        <f t="shared" si="8"/>
        <v>17.208375</v>
      </c>
      <c r="N42" s="231"/>
      <c r="O42" s="231">
        <f t="shared" si="9"/>
        <v>0</v>
      </c>
      <c r="P42" s="231"/>
      <c r="Q42" s="230">
        <f t="shared" si="10"/>
        <v>0</v>
      </c>
      <c r="R42" s="235"/>
      <c r="S42" s="235"/>
    </row>
    <row r="43" spans="1:19" ht="15.75">
      <c r="A43" s="3">
        <v>240</v>
      </c>
      <c r="B43" s="3" t="s">
        <v>502</v>
      </c>
      <c r="C43" s="229">
        <v>36.81</v>
      </c>
      <c r="D43" s="3"/>
      <c r="E43" s="3">
        <v>1857</v>
      </c>
      <c r="F43" s="3"/>
      <c r="G43" s="3"/>
      <c r="H43" s="291">
        <f t="shared" si="6"/>
        <v>1857</v>
      </c>
      <c r="I43" s="3"/>
      <c r="J43" s="229">
        <f t="shared" si="11"/>
        <v>68356.17</v>
      </c>
      <c r="K43" s="3"/>
      <c r="L43" s="371">
        <f t="shared" si="7"/>
        <v>1946.4322124542348</v>
      </c>
      <c r="M43" s="231">
        <f t="shared" si="8"/>
        <v>38.742525000000001</v>
      </c>
      <c r="N43" s="231"/>
      <c r="O43" s="231">
        <f t="shared" si="9"/>
        <v>75409.698651813509</v>
      </c>
      <c r="P43" s="231"/>
      <c r="Q43" s="230">
        <f t="shared" si="10"/>
        <v>7053.5286518135108</v>
      </c>
      <c r="R43" s="235"/>
      <c r="S43" s="235"/>
    </row>
    <row r="44" spans="1:19" ht="15.75">
      <c r="A44" s="3">
        <v>240</v>
      </c>
      <c r="B44" s="3" t="s">
        <v>503</v>
      </c>
      <c r="C44" s="229">
        <v>10</v>
      </c>
      <c r="D44" s="3"/>
      <c r="E44" s="3"/>
      <c r="F44" s="3"/>
      <c r="G44" s="3"/>
      <c r="H44" s="291">
        <f t="shared" si="6"/>
        <v>0</v>
      </c>
      <c r="I44" s="3"/>
      <c r="J44" s="229">
        <f t="shared" si="11"/>
        <v>0</v>
      </c>
      <c r="K44" s="3"/>
      <c r="L44" s="371">
        <f t="shared" si="7"/>
        <v>0</v>
      </c>
      <c r="M44" s="231">
        <f t="shared" si="8"/>
        <v>10.525</v>
      </c>
      <c r="N44" s="231"/>
      <c r="O44" s="231">
        <f t="shared" si="9"/>
        <v>0</v>
      </c>
      <c r="P44" s="231"/>
      <c r="Q44" s="230">
        <f t="shared" si="10"/>
        <v>0</v>
      </c>
      <c r="R44" s="235"/>
      <c r="S44" s="235"/>
    </row>
    <row r="45" spans="1:19" ht="15.75">
      <c r="A45" s="3">
        <v>240</v>
      </c>
      <c r="B45" s="3" t="s">
        <v>504</v>
      </c>
      <c r="C45" s="229">
        <v>18.5</v>
      </c>
      <c r="D45" s="3"/>
      <c r="E45" s="3">
        <v>244</v>
      </c>
      <c r="F45" s="3"/>
      <c r="G45" s="3"/>
      <c r="H45" s="291">
        <f t="shared" si="6"/>
        <v>244</v>
      </c>
      <c r="I45" s="3"/>
      <c r="J45" s="229">
        <f t="shared" si="11"/>
        <v>4514</v>
      </c>
      <c r="K45" s="3"/>
      <c r="L45" s="371">
        <f t="shared" si="7"/>
        <v>255.75092075327586</v>
      </c>
      <c r="M45" s="231">
        <f t="shared" si="8"/>
        <v>19.471250000000001</v>
      </c>
      <c r="N45" s="231"/>
      <c r="O45" s="231">
        <f t="shared" si="9"/>
        <v>4979.7901157172228</v>
      </c>
      <c r="P45" s="231"/>
      <c r="Q45" s="230">
        <f t="shared" si="10"/>
        <v>465.79011571722276</v>
      </c>
      <c r="R45" s="235"/>
      <c r="S45" s="235"/>
    </row>
    <row r="46" spans="1:19" ht="15.75">
      <c r="A46" s="3">
        <v>240</v>
      </c>
      <c r="B46" s="3" t="s">
        <v>505</v>
      </c>
      <c r="C46" s="229">
        <v>8.5</v>
      </c>
      <c r="D46" s="3"/>
      <c r="E46" s="3">
        <v>36</v>
      </c>
      <c r="F46" s="3"/>
      <c r="G46" s="3"/>
      <c r="H46" s="291">
        <f t="shared" si="6"/>
        <v>36</v>
      </c>
      <c r="I46" s="3"/>
      <c r="J46" s="229">
        <f t="shared" si="11"/>
        <v>306</v>
      </c>
      <c r="K46" s="3"/>
      <c r="L46" s="371">
        <f t="shared" si="7"/>
        <v>37.733742406221026</v>
      </c>
      <c r="M46" s="231">
        <f t="shared" si="8"/>
        <v>8.9462499999999991</v>
      </c>
      <c r="N46" s="231"/>
      <c r="O46" s="231">
        <f t="shared" si="9"/>
        <v>337.57549300165482</v>
      </c>
      <c r="P46" s="231"/>
      <c r="Q46" s="230">
        <f t="shared" si="10"/>
        <v>31.57549300165482</v>
      </c>
      <c r="R46" s="235"/>
      <c r="S46" s="235"/>
    </row>
    <row r="47" spans="1:19" ht="15.75">
      <c r="A47" s="3">
        <v>240</v>
      </c>
      <c r="B47" s="3" t="s">
        <v>506</v>
      </c>
      <c r="C47" s="229">
        <v>42.43</v>
      </c>
      <c r="D47" s="3"/>
      <c r="E47" s="3">
        <v>3039</v>
      </c>
      <c r="F47" s="3"/>
      <c r="G47" s="3"/>
      <c r="H47" s="291">
        <f t="shared" si="6"/>
        <v>3039</v>
      </c>
      <c r="I47" s="3"/>
      <c r="J47" s="229">
        <f t="shared" si="11"/>
        <v>128944.77</v>
      </c>
      <c r="K47" s="3"/>
      <c r="L47" s="371">
        <f t="shared" si="7"/>
        <v>3185.3567547918251</v>
      </c>
      <c r="M47" s="231">
        <f t="shared" si="8"/>
        <v>44.657575000000001</v>
      </c>
      <c r="N47" s="231"/>
      <c r="O47" s="231">
        <f t="shared" si="9"/>
        <v>142250.30817887254</v>
      </c>
      <c r="P47" s="231"/>
      <c r="Q47" s="230">
        <f t="shared" si="10"/>
        <v>13305.538178872535</v>
      </c>
      <c r="R47" s="235"/>
      <c r="S47" s="235"/>
    </row>
    <row r="48" spans="1:19" ht="15.75">
      <c r="A48" s="3">
        <v>240</v>
      </c>
      <c r="B48" s="3" t="s">
        <v>507</v>
      </c>
      <c r="C48" s="229">
        <v>11</v>
      </c>
      <c r="D48" s="3"/>
      <c r="E48" s="3"/>
      <c r="F48" s="3"/>
      <c r="G48" s="3"/>
      <c r="H48" s="291">
        <f t="shared" si="6"/>
        <v>0</v>
      </c>
      <c r="I48" s="3"/>
      <c r="J48" s="229">
        <f t="shared" si="11"/>
        <v>0</v>
      </c>
      <c r="K48" s="3"/>
      <c r="L48" s="371">
        <f t="shared" si="7"/>
        <v>0</v>
      </c>
      <c r="M48" s="231">
        <f t="shared" si="8"/>
        <v>11.577500000000001</v>
      </c>
      <c r="N48" s="231"/>
      <c r="O48" s="231">
        <f t="shared" si="9"/>
        <v>0</v>
      </c>
      <c r="P48" s="231"/>
      <c r="Q48" s="230">
        <f t="shared" si="10"/>
        <v>0</v>
      </c>
      <c r="R48" s="235"/>
      <c r="S48" s="235"/>
    </row>
    <row r="49" spans="1:19" ht="15.75">
      <c r="A49" s="3">
        <v>240</v>
      </c>
      <c r="B49" s="3" t="s">
        <v>483</v>
      </c>
      <c r="C49" s="229">
        <v>9.8000000000000007</v>
      </c>
      <c r="D49" s="3"/>
      <c r="E49" s="3">
        <v>21</v>
      </c>
      <c r="F49" s="3"/>
      <c r="G49" s="3"/>
      <c r="H49" s="291">
        <f t="shared" si="6"/>
        <v>21</v>
      </c>
      <c r="I49" s="3"/>
      <c r="J49" s="229">
        <f t="shared" si="11"/>
        <v>205.8</v>
      </c>
      <c r="K49" s="3"/>
      <c r="L49" s="371">
        <f t="shared" si="7"/>
        <v>22.011349736962266</v>
      </c>
      <c r="M49" s="231">
        <f t="shared" si="8"/>
        <v>10.314500000000001</v>
      </c>
      <c r="N49" s="231"/>
      <c r="O49" s="231">
        <f t="shared" si="9"/>
        <v>227.03606686189732</v>
      </c>
      <c r="P49" s="231"/>
      <c r="Q49" s="230">
        <f t="shared" si="10"/>
        <v>21.236066861897314</v>
      </c>
      <c r="R49" s="235"/>
      <c r="S49" s="235"/>
    </row>
    <row r="50" spans="1:19" ht="15.75">
      <c r="A50" s="3">
        <v>100</v>
      </c>
      <c r="B50" s="3" t="s">
        <v>472</v>
      </c>
      <c r="C50" s="229">
        <v>6</v>
      </c>
      <c r="D50" s="3"/>
      <c r="E50" s="3">
        <v>2014</v>
      </c>
      <c r="F50" s="3"/>
      <c r="G50" s="3"/>
      <c r="H50" s="291">
        <f t="shared" si="6"/>
        <v>2014</v>
      </c>
      <c r="I50" s="3"/>
      <c r="J50" s="229">
        <f t="shared" si="11"/>
        <v>12084</v>
      </c>
      <c r="K50" s="3"/>
      <c r="L50" s="371">
        <f t="shared" si="7"/>
        <v>2110.9932557258098</v>
      </c>
      <c r="M50" s="231">
        <f t="shared" si="8"/>
        <v>6.3150000000000004</v>
      </c>
      <c r="N50" s="231"/>
      <c r="O50" s="231">
        <f t="shared" si="9"/>
        <v>13330.922409908489</v>
      </c>
      <c r="P50" s="231"/>
      <c r="Q50" s="230">
        <f t="shared" si="10"/>
        <v>1246.9224099084895</v>
      </c>
      <c r="R50" s="235"/>
      <c r="S50" s="235"/>
    </row>
    <row r="51" spans="1:19" ht="15.75">
      <c r="A51" s="3">
        <v>240</v>
      </c>
      <c r="B51" s="3" t="s">
        <v>508</v>
      </c>
      <c r="C51" s="229">
        <v>37.700000000000003</v>
      </c>
      <c r="D51" s="3"/>
      <c r="E51" s="3"/>
      <c r="F51" s="3"/>
      <c r="G51" s="3"/>
      <c r="H51" s="291">
        <f t="shared" si="6"/>
        <v>0</v>
      </c>
      <c r="I51" s="3"/>
      <c r="J51" s="229">
        <f t="shared" si="11"/>
        <v>0</v>
      </c>
      <c r="K51" s="3"/>
      <c r="L51" s="371">
        <f t="shared" si="7"/>
        <v>0</v>
      </c>
      <c r="M51" s="231">
        <f t="shared" si="8"/>
        <v>39.679250000000003</v>
      </c>
      <c r="N51" s="231"/>
      <c r="O51" s="231">
        <f t="shared" si="9"/>
        <v>0</v>
      </c>
      <c r="P51" s="231"/>
      <c r="Q51" s="230">
        <f t="shared" si="10"/>
        <v>0</v>
      </c>
      <c r="R51" s="235"/>
      <c r="S51" s="235"/>
    </row>
    <row r="52" spans="1:19" ht="15.75">
      <c r="A52" s="3">
        <v>240</v>
      </c>
      <c r="B52" s="3" t="s">
        <v>509</v>
      </c>
      <c r="C52" s="229">
        <v>30.05</v>
      </c>
      <c r="D52" s="3"/>
      <c r="E52" s="3"/>
      <c r="F52" s="3"/>
      <c r="G52" s="3"/>
      <c r="H52" s="291">
        <f t="shared" si="6"/>
        <v>0</v>
      </c>
      <c r="I52" s="3"/>
      <c r="J52" s="229">
        <f t="shared" si="11"/>
        <v>0</v>
      </c>
      <c r="K52" s="3"/>
      <c r="L52" s="371">
        <f t="shared" si="7"/>
        <v>0</v>
      </c>
      <c r="M52" s="231">
        <f t="shared" si="8"/>
        <v>31.627625000000002</v>
      </c>
      <c r="N52" s="231"/>
      <c r="O52" s="231">
        <f t="shared" si="9"/>
        <v>0</v>
      </c>
      <c r="P52" s="231"/>
      <c r="Q52" s="230">
        <f t="shared" si="10"/>
        <v>0</v>
      </c>
      <c r="R52" s="235"/>
      <c r="S52" s="235"/>
    </row>
    <row r="53" spans="1:19" ht="15.75">
      <c r="A53" s="3">
        <v>240</v>
      </c>
      <c r="B53" s="3" t="s">
        <v>510</v>
      </c>
      <c r="C53" s="229">
        <v>1.25</v>
      </c>
      <c r="D53" s="3"/>
      <c r="E53" s="3"/>
      <c r="F53" s="3"/>
      <c r="G53" s="3"/>
      <c r="H53" s="291">
        <f t="shared" si="6"/>
        <v>0</v>
      </c>
      <c r="I53" s="3"/>
      <c r="J53" s="229">
        <f t="shared" si="11"/>
        <v>0</v>
      </c>
      <c r="K53" s="3"/>
      <c r="L53" s="371">
        <f t="shared" si="7"/>
        <v>0</v>
      </c>
      <c r="M53" s="231">
        <f t="shared" si="8"/>
        <v>1.315625</v>
      </c>
      <c r="N53" s="231"/>
      <c r="O53" s="231">
        <f t="shared" si="9"/>
        <v>0</v>
      </c>
      <c r="P53" s="231"/>
      <c r="Q53" s="230">
        <f t="shared" si="10"/>
        <v>0</v>
      </c>
      <c r="R53" s="235"/>
      <c r="S53" s="235"/>
    </row>
    <row r="54" spans="1:19" ht="15.75">
      <c r="A54" s="3">
        <v>240</v>
      </c>
      <c r="B54" s="3" t="s">
        <v>511</v>
      </c>
      <c r="C54" s="229">
        <v>37.700000000000003</v>
      </c>
      <c r="D54" s="3"/>
      <c r="E54" s="3"/>
      <c r="F54" s="3"/>
      <c r="G54" s="3"/>
      <c r="H54" s="291">
        <f t="shared" si="6"/>
        <v>0</v>
      </c>
      <c r="I54" s="3"/>
      <c r="J54" s="229">
        <f t="shared" si="11"/>
        <v>0</v>
      </c>
      <c r="K54" s="3"/>
      <c r="L54" s="371">
        <f t="shared" si="7"/>
        <v>0</v>
      </c>
      <c r="M54" s="231">
        <f t="shared" si="8"/>
        <v>39.679250000000003</v>
      </c>
      <c r="N54" s="231"/>
      <c r="O54" s="231">
        <f t="shared" si="9"/>
        <v>0</v>
      </c>
      <c r="P54" s="231"/>
      <c r="Q54" s="230">
        <f t="shared" si="10"/>
        <v>0</v>
      </c>
      <c r="R54" s="235"/>
      <c r="S54" s="235"/>
    </row>
    <row r="55" spans="1:19" ht="15.75">
      <c r="A55" s="3">
        <v>207</v>
      </c>
      <c r="B55" s="3" t="s">
        <v>512</v>
      </c>
      <c r="C55" s="229">
        <v>7.45</v>
      </c>
      <c r="D55" s="3"/>
      <c r="E55" s="3"/>
      <c r="F55" s="3"/>
      <c r="G55" s="3"/>
      <c r="H55" s="291">
        <f t="shared" si="6"/>
        <v>0</v>
      </c>
      <c r="I55" s="3"/>
      <c r="J55" s="229">
        <f t="shared" si="11"/>
        <v>0</v>
      </c>
      <c r="K55" s="3"/>
      <c r="L55" s="371">
        <f t="shared" si="7"/>
        <v>0</v>
      </c>
      <c r="M55" s="231">
        <f t="shared" si="8"/>
        <v>7.8411249999999999</v>
      </c>
      <c r="N55" s="231"/>
      <c r="O55" s="231">
        <f t="shared" si="9"/>
        <v>0</v>
      </c>
      <c r="P55" s="231"/>
      <c r="Q55" s="230">
        <f t="shared" si="10"/>
        <v>0</v>
      </c>
      <c r="R55" s="235"/>
      <c r="S55" s="235"/>
    </row>
    <row r="56" spans="1:19" ht="15.75">
      <c r="A56" s="3">
        <v>207</v>
      </c>
      <c r="B56" s="3" t="s">
        <v>513</v>
      </c>
      <c r="C56" s="229">
        <v>31.75</v>
      </c>
      <c r="D56" s="3"/>
      <c r="E56" s="3">
        <v>4</v>
      </c>
      <c r="F56" s="3"/>
      <c r="G56" s="3"/>
      <c r="H56" s="291">
        <f t="shared" si="6"/>
        <v>4</v>
      </c>
      <c r="I56" s="3"/>
      <c r="J56" s="229">
        <f t="shared" si="11"/>
        <v>127</v>
      </c>
      <c r="K56" s="3"/>
      <c r="L56" s="371">
        <f t="shared" si="7"/>
        <v>4.19263804513567</v>
      </c>
      <c r="M56" s="231">
        <f t="shared" si="8"/>
        <v>33.416874999999997</v>
      </c>
      <c r="N56" s="231"/>
      <c r="O56" s="231">
        <f t="shared" si="9"/>
        <v>140.10486147454304</v>
      </c>
      <c r="P56" s="231"/>
      <c r="Q56" s="230">
        <f t="shared" si="10"/>
        <v>13.104861474543043</v>
      </c>
      <c r="R56" s="235"/>
      <c r="S56" s="235"/>
    </row>
    <row r="57" spans="1:19" ht="15.75">
      <c r="A57" s="3">
        <v>150</v>
      </c>
      <c r="B57" s="3" t="s">
        <v>514</v>
      </c>
      <c r="C57" s="229">
        <v>7.45</v>
      </c>
      <c r="D57" s="3"/>
      <c r="E57" s="3">
        <v>5</v>
      </c>
      <c r="F57" s="3">
        <v>736</v>
      </c>
      <c r="G57" s="3"/>
      <c r="H57" s="291">
        <f t="shared" si="6"/>
        <v>741</v>
      </c>
      <c r="I57" s="3"/>
      <c r="J57" s="229">
        <f t="shared" si="11"/>
        <v>5520.45</v>
      </c>
      <c r="K57" s="3"/>
      <c r="L57" s="371">
        <f t="shared" si="7"/>
        <v>776.68619786138288</v>
      </c>
      <c r="M57" s="231">
        <f t="shared" si="8"/>
        <v>7.8411249999999999</v>
      </c>
      <c r="N57" s="231"/>
      <c r="O57" s="231">
        <f t="shared" si="9"/>
        <v>6090.0935632058354</v>
      </c>
      <c r="P57" s="231"/>
      <c r="Q57" s="230">
        <f t="shared" si="10"/>
        <v>569.64356320583556</v>
      </c>
      <c r="R57" s="235"/>
      <c r="S57" s="235"/>
    </row>
    <row r="58" spans="1:19" ht="15.75">
      <c r="A58" s="3">
        <v>205</v>
      </c>
      <c r="B58" s="3" t="s">
        <v>515</v>
      </c>
      <c r="C58" s="229">
        <v>1.65</v>
      </c>
      <c r="D58" s="3"/>
      <c r="E58" s="3"/>
      <c r="F58" s="3"/>
      <c r="G58" s="3"/>
      <c r="H58" s="291">
        <f t="shared" si="6"/>
        <v>0</v>
      </c>
      <c r="I58" s="3"/>
      <c r="J58" s="229">
        <f t="shared" si="11"/>
        <v>0</v>
      </c>
      <c r="K58" s="3"/>
      <c r="L58" s="371">
        <f t="shared" si="7"/>
        <v>0</v>
      </c>
      <c r="M58" s="231">
        <f t="shared" si="8"/>
        <v>1.7366249999999999</v>
      </c>
      <c r="N58" s="231"/>
      <c r="O58" s="231">
        <f t="shared" si="9"/>
        <v>0</v>
      </c>
      <c r="P58" s="231"/>
      <c r="Q58" s="230">
        <f t="shared" si="10"/>
        <v>0</v>
      </c>
      <c r="R58" s="235"/>
      <c r="S58" s="235"/>
    </row>
    <row r="59" spans="1:19" ht="15.75">
      <c r="A59" s="3">
        <v>51</v>
      </c>
      <c r="B59" s="3" t="s">
        <v>489</v>
      </c>
      <c r="C59" s="229">
        <v>15</v>
      </c>
      <c r="D59" s="3"/>
      <c r="E59" s="3">
        <v>32</v>
      </c>
      <c r="F59" s="3"/>
      <c r="G59" s="3"/>
      <c r="H59" s="291">
        <f t="shared" si="6"/>
        <v>32</v>
      </c>
      <c r="I59" s="3"/>
      <c r="J59" s="229">
        <f t="shared" si="11"/>
        <v>480</v>
      </c>
      <c r="K59" s="3"/>
      <c r="L59" s="371">
        <f t="shared" si="7"/>
        <v>33.54110436108536</v>
      </c>
      <c r="M59" s="231">
        <f t="shared" si="8"/>
        <v>15.7875</v>
      </c>
      <c r="N59" s="231"/>
      <c r="O59" s="231">
        <f t="shared" si="9"/>
        <v>529.53018510063509</v>
      </c>
      <c r="P59" s="231"/>
      <c r="Q59" s="230">
        <f t="shared" si="10"/>
        <v>49.530185100635094</v>
      </c>
      <c r="R59" s="235"/>
      <c r="S59" s="235"/>
    </row>
    <row r="60" spans="1:19" ht="15.75">
      <c r="A60" s="3">
        <v>100</v>
      </c>
      <c r="B60" s="3" t="s">
        <v>490</v>
      </c>
      <c r="C60" s="229">
        <v>16.5</v>
      </c>
      <c r="D60" s="3"/>
      <c r="E60" s="3">
        <v>161</v>
      </c>
      <c r="F60" s="3"/>
      <c r="G60" s="3"/>
      <c r="H60" s="291">
        <f t="shared" si="6"/>
        <v>161</v>
      </c>
      <c r="I60" s="3"/>
      <c r="J60" s="229">
        <f t="shared" si="11"/>
        <v>2656.5</v>
      </c>
      <c r="K60" s="3"/>
      <c r="L60" s="371">
        <f t="shared" si="7"/>
        <v>168.75368131671073</v>
      </c>
      <c r="M60" s="231">
        <f t="shared" si="8"/>
        <v>17.366250000000001</v>
      </c>
      <c r="N60" s="231"/>
      <c r="O60" s="231">
        <f t="shared" si="9"/>
        <v>2930.6186181663279</v>
      </c>
      <c r="P60" s="231"/>
      <c r="Q60" s="230">
        <f t="shared" si="10"/>
        <v>274.11861816632791</v>
      </c>
      <c r="R60" s="235"/>
      <c r="S60" s="235"/>
    </row>
    <row r="61" spans="1:19" ht="15.75">
      <c r="A61" s="3">
        <v>18</v>
      </c>
      <c r="B61" s="3" t="s">
        <v>491</v>
      </c>
      <c r="C61" s="229">
        <v>1</v>
      </c>
      <c r="D61" s="3"/>
      <c r="E61" s="3"/>
      <c r="F61" s="3"/>
      <c r="G61" s="3"/>
      <c r="H61" s="291">
        <f t="shared" si="6"/>
        <v>0</v>
      </c>
      <c r="I61" s="3"/>
      <c r="J61" s="229">
        <f t="shared" si="11"/>
        <v>0</v>
      </c>
      <c r="K61" s="3"/>
      <c r="L61" s="371">
        <f t="shared" si="7"/>
        <v>0</v>
      </c>
      <c r="M61" s="231">
        <f t="shared" si="8"/>
        <v>1.0525</v>
      </c>
      <c r="N61" s="231"/>
      <c r="O61" s="231">
        <f t="shared" si="9"/>
        <v>0</v>
      </c>
      <c r="P61" s="231"/>
      <c r="Q61" s="230">
        <f t="shared" si="10"/>
        <v>0</v>
      </c>
      <c r="R61" s="235"/>
      <c r="S61" s="235"/>
    </row>
    <row r="62" spans="1:19" ht="15.75">
      <c r="A62" s="3">
        <v>50</v>
      </c>
      <c r="B62" s="3" t="s">
        <v>492</v>
      </c>
      <c r="C62" s="229">
        <v>30</v>
      </c>
      <c r="D62" s="3"/>
      <c r="E62" s="3"/>
      <c r="F62" s="3">
        <v>16</v>
      </c>
      <c r="G62" s="3"/>
      <c r="H62" s="291">
        <f t="shared" si="6"/>
        <v>16</v>
      </c>
      <c r="I62" s="3"/>
      <c r="J62" s="229">
        <f t="shared" si="11"/>
        <v>480</v>
      </c>
      <c r="K62" s="3"/>
      <c r="L62" s="371">
        <f t="shared" si="7"/>
        <v>16.77055218054268</v>
      </c>
      <c r="M62" s="231">
        <f t="shared" si="8"/>
        <v>31.574999999999999</v>
      </c>
      <c r="N62" s="231"/>
      <c r="O62" s="231">
        <f t="shared" si="9"/>
        <v>529.53018510063509</v>
      </c>
      <c r="P62" s="231"/>
      <c r="Q62" s="230">
        <f t="shared" si="10"/>
        <v>49.530185100635094</v>
      </c>
      <c r="R62" s="235"/>
      <c r="S62" s="235"/>
    </row>
    <row r="63" spans="1:19" ht="15.75">
      <c r="A63" s="3">
        <v>70</v>
      </c>
      <c r="B63" s="3" t="s">
        <v>488</v>
      </c>
      <c r="C63" s="229">
        <v>7.6</v>
      </c>
      <c r="D63" s="3"/>
      <c r="E63" s="3">
        <v>50</v>
      </c>
      <c r="F63" s="3">
        <v>64</v>
      </c>
      <c r="G63" s="3"/>
      <c r="H63" s="291">
        <f t="shared" si="6"/>
        <v>114</v>
      </c>
      <c r="I63" s="3"/>
      <c r="J63" s="229">
        <f t="shared" si="11"/>
        <v>866.4</v>
      </c>
      <c r="K63" s="3"/>
      <c r="L63" s="371">
        <f t="shared" si="7"/>
        <v>119.4901842863666</v>
      </c>
      <c r="M63" s="231">
        <f t="shared" si="8"/>
        <v>7.9989999999999997</v>
      </c>
      <c r="N63" s="231"/>
      <c r="O63" s="231">
        <f t="shared" si="9"/>
        <v>955.80198410664639</v>
      </c>
      <c r="P63" s="231"/>
      <c r="Q63" s="230">
        <f t="shared" si="10"/>
        <v>89.40198410664641</v>
      </c>
      <c r="R63" s="235"/>
      <c r="S63" s="235"/>
    </row>
    <row r="64" spans="1:19" ht="15.75">
      <c r="A64" s="3">
        <v>205</v>
      </c>
      <c r="B64" s="3" t="s">
        <v>516</v>
      </c>
      <c r="C64" s="229">
        <v>1.65</v>
      </c>
      <c r="D64" s="3"/>
      <c r="E64" s="3">
        <v>4753</v>
      </c>
      <c r="F64" s="3"/>
      <c r="G64" s="3"/>
      <c r="H64" s="291">
        <f t="shared" si="6"/>
        <v>4753</v>
      </c>
      <c r="I64" s="3"/>
      <c r="J64" s="229">
        <f t="shared" si="11"/>
        <v>7842.45</v>
      </c>
      <c r="K64" s="3"/>
      <c r="L64" s="371">
        <f t="shared" si="7"/>
        <v>4981.9021571324602</v>
      </c>
      <c r="M64" s="231">
        <f t="shared" si="8"/>
        <v>1.7366249999999999</v>
      </c>
      <c r="N64" s="231"/>
      <c r="O64" s="231">
        <f t="shared" si="9"/>
        <v>8651.6958336301577</v>
      </c>
      <c r="P64" s="231"/>
      <c r="Q64" s="230">
        <f t="shared" si="10"/>
        <v>809.2458336301579</v>
      </c>
      <c r="R64" s="235"/>
      <c r="S64" s="235"/>
    </row>
    <row r="65" spans="1:19" ht="15.75">
      <c r="A65" s="3">
        <v>240</v>
      </c>
      <c r="B65" s="3" t="s">
        <v>517</v>
      </c>
      <c r="C65" s="229">
        <v>5.4</v>
      </c>
      <c r="D65" s="3"/>
      <c r="E65" s="3">
        <v>892</v>
      </c>
      <c r="F65" s="3"/>
      <c r="G65" s="3"/>
      <c r="H65" s="291">
        <f t="shared" si="6"/>
        <v>892</v>
      </c>
      <c r="I65" s="3"/>
      <c r="J65" s="229">
        <f t="shared" si="11"/>
        <v>4816.8</v>
      </c>
      <c r="K65" s="3"/>
      <c r="L65" s="371">
        <f t="shared" si="7"/>
        <v>934.95828406525436</v>
      </c>
      <c r="M65" s="231">
        <f t="shared" si="8"/>
        <v>5.6835000000000004</v>
      </c>
      <c r="N65" s="231"/>
      <c r="O65" s="231">
        <f t="shared" si="9"/>
        <v>5313.8354074848739</v>
      </c>
      <c r="P65" s="231"/>
      <c r="Q65" s="230">
        <f t="shared" si="10"/>
        <v>497.03540748487376</v>
      </c>
      <c r="R65" s="235"/>
      <c r="S65" s="235"/>
    </row>
    <row r="66" spans="1:19" ht="15.75">
      <c r="A66" s="3"/>
      <c r="B66" s="3" t="s">
        <v>518</v>
      </c>
      <c r="C66" s="229">
        <v>5</v>
      </c>
      <c r="D66" s="3"/>
      <c r="E66" s="3"/>
      <c r="F66" s="3"/>
      <c r="G66" s="3"/>
      <c r="H66" s="291">
        <f t="shared" si="6"/>
        <v>0</v>
      </c>
      <c r="I66" s="3"/>
      <c r="J66" s="229">
        <f t="shared" si="11"/>
        <v>0</v>
      </c>
      <c r="K66" s="3"/>
      <c r="L66" s="371">
        <f t="shared" si="7"/>
        <v>0</v>
      </c>
      <c r="M66" s="231">
        <f t="shared" si="8"/>
        <v>5.2625000000000002</v>
      </c>
      <c r="N66" s="231"/>
      <c r="O66" s="231">
        <f t="shared" si="9"/>
        <v>0</v>
      </c>
      <c r="P66" s="231"/>
      <c r="Q66" s="230">
        <f t="shared" si="10"/>
        <v>0</v>
      </c>
      <c r="R66" s="235"/>
      <c r="S66" s="235"/>
    </row>
    <row r="67" spans="1:19" ht="15.75">
      <c r="A67" s="3">
        <v>200</v>
      </c>
      <c r="B67" s="3" t="s">
        <v>519</v>
      </c>
      <c r="C67" s="229">
        <v>4.4000000000000004</v>
      </c>
      <c r="D67" s="3"/>
      <c r="E67" s="3">
        <v>1733</v>
      </c>
      <c r="F67" s="3"/>
      <c r="G67" s="3"/>
      <c r="H67" s="291">
        <f t="shared" si="6"/>
        <v>1733</v>
      </c>
      <c r="I67" s="3"/>
      <c r="J67" s="229">
        <f t="shared" si="11"/>
        <v>7625.2000000000007</v>
      </c>
      <c r="K67" s="3"/>
      <c r="L67" s="371">
        <f t="shared" si="7"/>
        <v>1816.4604330550289</v>
      </c>
      <c r="M67" s="231">
        <f t="shared" si="8"/>
        <v>4.6310000000000002</v>
      </c>
      <c r="N67" s="231"/>
      <c r="O67" s="231">
        <f t="shared" si="9"/>
        <v>8412.0282654778403</v>
      </c>
      <c r="P67" s="231"/>
      <c r="Q67" s="230">
        <f t="shared" si="10"/>
        <v>786.82826547783952</v>
      </c>
      <c r="R67" s="235"/>
      <c r="S67" s="235"/>
    </row>
    <row r="68" spans="1:19" ht="15.75">
      <c r="A68" s="3">
        <v>240</v>
      </c>
      <c r="B68" s="3" t="s">
        <v>520</v>
      </c>
      <c r="C68" s="229">
        <v>38</v>
      </c>
      <c r="D68" s="3"/>
      <c r="E68" s="3">
        <v>223</v>
      </c>
      <c r="F68" s="3"/>
      <c r="G68" s="3"/>
      <c r="H68" s="291">
        <f t="shared" si="6"/>
        <v>223</v>
      </c>
      <c r="I68" s="3"/>
      <c r="J68" s="229">
        <f t="shared" si="11"/>
        <v>8474</v>
      </c>
      <c r="K68" s="3"/>
      <c r="L68" s="371">
        <f t="shared" si="7"/>
        <v>233.73957101631359</v>
      </c>
      <c r="M68" s="231">
        <f t="shared" si="8"/>
        <v>39.994999999999997</v>
      </c>
      <c r="N68" s="231"/>
      <c r="O68" s="231">
        <f t="shared" si="9"/>
        <v>9348.414142797461</v>
      </c>
      <c r="P68" s="231"/>
      <c r="Q68" s="230">
        <f t="shared" si="10"/>
        <v>874.41414279746095</v>
      </c>
      <c r="R68" s="235"/>
      <c r="S68" s="235"/>
    </row>
    <row r="69" spans="1:19" ht="15.75">
      <c r="A69" s="3">
        <v>240</v>
      </c>
      <c r="B69" s="3" t="s">
        <v>521</v>
      </c>
      <c r="C69" s="229">
        <v>13.6</v>
      </c>
      <c r="D69" s="3"/>
      <c r="E69" s="3">
        <v>40</v>
      </c>
      <c r="F69" s="3">
        <v>822</v>
      </c>
      <c r="G69" s="3"/>
      <c r="H69" s="291">
        <f t="shared" si="6"/>
        <v>862</v>
      </c>
      <c r="I69" s="3"/>
      <c r="J69" s="229">
        <f t="shared" si="11"/>
        <v>11723.199999999999</v>
      </c>
      <c r="K69" s="3"/>
      <c r="L69" s="371">
        <f t="shared" si="7"/>
        <v>903.51349872673688</v>
      </c>
      <c r="M69" s="231">
        <f t="shared" si="8"/>
        <v>14.314</v>
      </c>
      <c r="N69" s="231"/>
      <c r="O69" s="231">
        <f t="shared" si="9"/>
        <v>12932.892220774513</v>
      </c>
      <c r="P69" s="231"/>
      <c r="Q69" s="230">
        <f t="shared" si="10"/>
        <v>1209.6922207745138</v>
      </c>
      <c r="R69" s="235"/>
      <c r="S69" s="235"/>
    </row>
    <row r="70" spans="1:19" ht="15.75">
      <c r="A70" s="3">
        <v>240</v>
      </c>
      <c r="B70" s="3" t="s">
        <v>522</v>
      </c>
      <c r="C70" s="229">
        <v>15.75</v>
      </c>
      <c r="D70" s="3"/>
      <c r="E70" s="3">
        <v>53</v>
      </c>
      <c r="F70" s="3">
        <v>34</v>
      </c>
      <c r="G70" s="290"/>
      <c r="H70" s="291">
        <f t="shared" si="6"/>
        <v>87</v>
      </c>
      <c r="I70" s="3"/>
      <c r="J70" s="292">
        <f t="shared" si="11"/>
        <v>1370.25</v>
      </c>
      <c r="K70" s="372"/>
      <c r="L70" s="371">
        <f t="shared" si="7"/>
        <v>91.189877481700819</v>
      </c>
      <c r="M70" s="231">
        <f t="shared" si="8"/>
        <v>16.576875000000001</v>
      </c>
      <c r="N70" s="231"/>
      <c r="O70" s="231">
        <f t="shared" si="9"/>
        <v>1511.6432002794693</v>
      </c>
      <c r="P70" s="231"/>
      <c r="Q70" s="233">
        <f t="shared" si="10"/>
        <v>141.39320027946928</v>
      </c>
      <c r="R70" s="235"/>
      <c r="S70" s="235"/>
    </row>
    <row r="71" spans="1:19" ht="15.75">
      <c r="A71" s="3" t="s">
        <v>523</v>
      </c>
      <c r="B71" s="3"/>
      <c r="C71" s="229"/>
      <c r="D71" s="3"/>
      <c r="E71" s="3"/>
      <c r="F71" s="3"/>
      <c r="G71" s="290"/>
      <c r="H71" s="3"/>
      <c r="I71" s="3"/>
      <c r="J71" s="229">
        <f>SUM(J40:J70)</f>
        <v>1006919.6</v>
      </c>
      <c r="K71" s="3"/>
      <c r="L71" s="14"/>
      <c r="M71" s="231"/>
      <c r="N71" s="231"/>
      <c r="O71" s="231">
        <f>SUM(O40:O70)</f>
        <v>1110821.5045197029</v>
      </c>
      <c r="P71" s="231"/>
      <c r="Q71" s="231">
        <f>SUM(Q40:Q70)</f>
        <v>103901.90451970304</v>
      </c>
      <c r="R71" s="235"/>
      <c r="S71" s="235"/>
    </row>
    <row r="72" spans="1:19" ht="15.75">
      <c r="A72" s="293"/>
      <c r="B72" s="293"/>
      <c r="C72" s="294"/>
      <c r="D72" s="3"/>
      <c r="E72" s="3"/>
      <c r="F72" s="3"/>
      <c r="G72" s="290"/>
      <c r="H72" s="3"/>
      <c r="I72" s="3"/>
      <c r="J72" s="229"/>
      <c r="K72" s="229"/>
      <c r="L72" s="14"/>
      <c r="M72" s="231"/>
      <c r="N72" s="231"/>
      <c r="O72" s="231"/>
      <c r="P72" s="231"/>
      <c r="Q72" s="14"/>
      <c r="R72" s="235"/>
      <c r="S72" s="235"/>
    </row>
    <row r="73" spans="1:19" ht="15.75">
      <c r="A73" s="3"/>
      <c r="B73" s="3"/>
      <c r="C73" s="229"/>
      <c r="D73" s="3"/>
      <c r="E73" s="3"/>
      <c r="F73" s="3"/>
      <c r="G73" s="290"/>
      <c r="H73" s="3"/>
      <c r="I73" s="3"/>
      <c r="J73" s="229"/>
      <c r="K73" s="3"/>
      <c r="L73" s="14"/>
      <c r="M73" s="231"/>
      <c r="N73" s="231"/>
      <c r="O73" s="231"/>
      <c r="P73" s="231"/>
      <c r="Q73" s="14"/>
      <c r="R73" s="235"/>
      <c r="S73" s="235"/>
    </row>
    <row r="74" spans="1:19" ht="15.75">
      <c r="A74" s="3" t="s">
        <v>524</v>
      </c>
      <c r="B74" s="3"/>
      <c r="C74" s="229"/>
      <c r="D74" s="3"/>
      <c r="E74" s="3"/>
      <c r="F74" s="3"/>
      <c r="G74" s="290"/>
      <c r="H74" s="4" t="s">
        <v>2</v>
      </c>
      <c r="I74" s="3"/>
      <c r="J74" s="229"/>
      <c r="K74" s="3"/>
      <c r="L74" s="14"/>
      <c r="M74" s="231"/>
      <c r="N74" s="231"/>
      <c r="O74" s="231"/>
      <c r="P74" s="231"/>
      <c r="Q74" s="14"/>
      <c r="R74" s="235"/>
      <c r="S74" s="235"/>
    </row>
    <row r="75" spans="1:19" ht="15.75">
      <c r="A75" s="295" t="s">
        <v>465</v>
      </c>
      <c r="B75" s="3"/>
      <c r="C75" s="229"/>
      <c r="D75" s="3"/>
      <c r="E75" s="3"/>
      <c r="F75" s="3"/>
      <c r="G75" s="290"/>
      <c r="H75" s="4" t="s">
        <v>525</v>
      </c>
      <c r="I75" s="3"/>
      <c r="J75" s="229"/>
      <c r="K75" s="3"/>
      <c r="L75" s="14"/>
      <c r="M75" s="231"/>
      <c r="N75" s="231"/>
      <c r="O75" s="231"/>
      <c r="P75" s="231"/>
      <c r="Q75" s="14"/>
      <c r="R75" s="235"/>
      <c r="S75" s="235"/>
    </row>
    <row r="76" spans="1:19" ht="15.75">
      <c r="A76" s="3">
        <v>260</v>
      </c>
      <c r="B76" s="3" t="s">
        <v>526</v>
      </c>
      <c r="C76" s="229">
        <v>203.06</v>
      </c>
      <c r="D76" s="3"/>
      <c r="E76" s="3">
        <v>453</v>
      </c>
      <c r="F76" s="3">
        <v>86</v>
      </c>
      <c r="G76" s="3"/>
      <c r="H76" s="291">
        <f>SUM(E76:F76)</f>
        <v>539</v>
      </c>
      <c r="I76" s="3"/>
      <c r="J76" s="229">
        <f t="shared" si="11"/>
        <v>109449.34</v>
      </c>
      <c r="K76" s="3"/>
      <c r="L76" s="371">
        <f t="shared" ref="L76:L95" si="12">+H76*$J$121+H76</f>
        <v>564.95797658203151</v>
      </c>
      <c r="M76" s="231">
        <f t="shared" ref="M76:M95" si="13">+C76*$S$1+C76</f>
        <v>213.72065000000001</v>
      </c>
      <c r="N76" s="231"/>
      <c r="O76" s="231">
        <f t="shared" ref="O76:O95" si="14">+L76*M76</f>
        <v>120743.18597779656</v>
      </c>
      <c r="P76" s="231"/>
      <c r="Q76" s="230">
        <f t="shared" ref="Q76:Q95" si="15">+O76-J76</f>
        <v>11293.845977796562</v>
      </c>
      <c r="R76" s="235"/>
      <c r="S76" s="235"/>
    </row>
    <row r="77" spans="1:19" ht="15.75">
      <c r="A77" s="3">
        <v>260</v>
      </c>
      <c r="B77" s="3" t="s">
        <v>527</v>
      </c>
      <c r="C77" s="229">
        <v>240</v>
      </c>
      <c r="D77" s="3"/>
      <c r="E77" s="3">
        <v>443</v>
      </c>
      <c r="F77" s="3">
        <v>61</v>
      </c>
      <c r="G77" s="3"/>
      <c r="H77" s="291">
        <f t="shared" ref="H77:H95" si="16">SUM(E77:F77)</f>
        <v>504</v>
      </c>
      <c r="I77" s="3"/>
      <c r="J77" s="229">
        <f t="shared" si="11"/>
        <v>120960</v>
      </c>
      <c r="K77" s="3"/>
      <c r="L77" s="371">
        <f t="shared" si="12"/>
        <v>528.27239368709445</v>
      </c>
      <c r="M77" s="231">
        <f t="shared" si="13"/>
        <v>252.6</v>
      </c>
      <c r="N77" s="231"/>
      <c r="O77" s="231">
        <f t="shared" si="14"/>
        <v>133441.60664536007</v>
      </c>
      <c r="P77" s="231"/>
      <c r="Q77" s="230">
        <f t="shared" si="15"/>
        <v>12481.606645360065</v>
      </c>
      <c r="R77" s="235"/>
      <c r="S77" s="235"/>
    </row>
    <row r="78" spans="1:19" ht="15.75">
      <c r="A78" s="3">
        <v>260</v>
      </c>
      <c r="B78" s="3" t="s">
        <v>528</v>
      </c>
      <c r="C78" s="229">
        <v>75</v>
      </c>
      <c r="D78" s="3"/>
      <c r="E78" s="3"/>
      <c r="F78" s="3"/>
      <c r="G78" s="3"/>
      <c r="H78" s="291">
        <f t="shared" si="16"/>
        <v>0</v>
      </c>
      <c r="I78" s="3"/>
      <c r="J78" s="229">
        <f t="shared" si="11"/>
        <v>0</v>
      </c>
      <c r="K78" s="3"/>
      <c r="L78" s="371">
        <f t="shared" si="12"/>
        <v>0</v>
      </c>
      <c r="M78" s="231">
        <f t="shared" si="13"/>
        <v>78.9375</v>
      </c>
      <c r="N78" s="231"/>
      <c r="O78" s="231">
        <f t="shared" si="14"/>
        <v>0</v>
      </c>
      <c r="P78" s="231"/>
      <c r="Q78" s="230">
        <f t="shared" si="15"/>
        <v>0</v>
      </c>
      <c r="R78" s="235"/>
      <c r="S78" s="235"/>
    </row>
    <row r="79" spans="1:19" ht="15.75">
      <c r="A79" s="3">
        <v>260</v>
      </c>
      <c r="B79" s="3" t="s">
        <v>529</v>
      </c>
      <c r="C79" s="229">
        <v>2.5</v>
      </c>
      <c r="D79" s="3"/>
      <c r="E79" s="3">
        <v>10790</v>
      </c>
      <c r="F79" s="3">
        <v>701</v>
      </c>
      <c r="G79" s="3"/>
      <c r="H79" s="291">
        <f t="shared" si="16"/>
        <v>11491</v>
      </c>
      <c r="I79" s="3"/>
      <c r="J79" s="229">
        <f t="shared" si="11"/>
        <v>28727.5</v>
      </c>
      <c r="K79" s="3"/>
      <c r="L79" s="371">
        <f t="shared" si="12"/>
        <v>12044.400944163495</v>
      </c>
      <c r="M79" s="231">
        <f t="shared" si="13"/>
        <v>2.6312500000000001</v>
      </c>
      <c r="N79" s="231"/>
      <c r="O79" s="231">
        <f t="shared" si="14"/>
        <v>31691.829984330197</v>
      </c>
      <c r="P79" s="231"/>
      <c r="Q79" s="230">
        <f t="shared" si="15"/>
        <v>2964.3299843301975</v>
      </c>
      <c r="R79" s="235"/>
      <c r="S79" s="235"/>
    </row>
    <row r="80" spans="1:19" ht="15.75">
      <c r="A80" s="3">
        <v>260</v>
      </c>
      <c r="B80" s="3" t="s">
        <v>530</v>
      </c>
      <c r="C80" s="229">
        <v>75.349999999999994</v>
      </c>
      <c r="D80" s="3"/>
      <c r="E80" s="3"/>
      <c r="F80" s="3">
        <v>41</v>
      </c>
      <c r="G80" s="3"/>
      <c r="H80" s="291">
        <f t="shared" si="16"/>
        <v>41</v>
      </c>
      <c r="I80" s="3"/>
      <c r="J80" s="229">
        <f t="shared" si="11"/>
        <v>3089.35</v>
      </c>
      <c r="K80" s="3"/>
      <c r="L80" s="371">
        <f t="shared" si="12"/>
        <v>42.97453996264062</v>
      </c>
      <c r="M80" s="231">
        <f t="shared" si="13"/>
        <v>79.305875</v>
      </c>
      <c r="N80" s="231"/>
      <c r="O80" s="231">
        <f t="shared" si="14"/>
        <v>3408.1334944596815</v>
      </c>
      <c r="P80" s="231"/>
      <c r="Q80" s="230">
        <f t="shared" si="15"/>
        <v>318.78349445968161</v>
      </c>
      <c r="R80" s="235"/>
      <c r="S80" s="235"/>
    </row>
    <row r="81" spans="1:19" ht="15.75">
      <c r="A81" s="3">
        <v>260</v>
      </c>
      <c r="B81" s="3" t="s">
        <v>518</v>
      </c>
      <c r="C81" s="229">
        <v>5.4</v>
      </c>
      <c r="D81" s="3"/>
      <c r="E81" s="3"/>
      <c r="F81" s="3"/>
      <c r="G81" s="3"/>
      <c r="H81" s="291">
        <f t="shared" si="16"/>
        <v>0</v>
      </c>
      <c r="I81" s="3"/>
      <c r="J81" s="229">
        <f t="shared" si="11"/>
        <v>0</v>
      </c>
      <c r="K81" s="3"/>
      <c r="L81" s="371">
        <f t="shared" si="12"/>
        <v>0</v>
      </c>
      <c r="M81" s="231">
        <f t="shared" si="13"/>
        <v>5.6835000000000004</v>
      </c>
      <c r="N81" s="231"/>
      <c r="O81" s="231">
        <f t="shared" si="14"/>
        <v>0</v>
      </c>
      <c r="P81" s="231"/>
      <c r="Q81" s="230">
        <f t="shared" si="15"/>
        <v>0</v>
      </c>
      <c r="R81" s="235"/>
      <c r="S81" s="235"/>
    </row>
    <row r="82" spans="1:19" ht="15.75">
      <c r="A82" s="3">
        <v>260</v>
      </c>
      <c r="B82" s="3" t="s">
        <v>531</v>
      </c>
      <c r="C82" s="229">
        <v>2.5</v>
      </c>
      <c r="D82" s="3"/>
      <c r="E82" s="3">
        <v>7175</v>
      </c>
      <c r="F82" s="3">
        <v>1396</v>
      </c>
      <c r="G82" s="3"/>
      <c r="H82" s="291">
        <f t="shared" si="16"/>
        <v>8571</v>
      </c>
      <c r="I82" s="3"/>
      <c r="J82" s="229">
        <f t="shared" si="11"/>
        <v>21427.5</v>
      </c>
      <c r="K82" s="3"/>
      <c r="L82" s="371">
        <f t="shared" si="12"/>
        <v>8983.7751712144563</v>
      </c>
      <c r="M82" s="231">
        <f t="shared" si="13"/>
        <v>2.6312500000000001</v>
      </c>
      <c r="N82" s="231"/>
      <c r="O82" s="231">
        <f t="shared" si="14"/>
        <v>23638.558419258039</v>
      </c>
      <c r="P82" s="231"/>
      <c r="Q82" s="230">
        <f t="shared" si="15"/>
        <v>2211.0584192580391</v>
      </c>
      <c r="R82" s="235"/>
      <c r="S82" s="235"/>
    </row>
    <row r="83" spans="1:19" ht="15.75">
      <c r="A83" s="3">
        <v>207</v>
      </c>
      <c r="B83" s="3" t="s">
        <v>532</v>
      </c>
      <c r="C83" s="229">
        <v>203.06</v>
      </c>
      <c r="D83" s="3"/>
      <c r="E83" s="3"/>
      <c r="F83" s="3"/>
      <c r="G83" s="3"/>
      <c r="H83" s="291">
        <f t="shared" si="16"/>
        <v>0</v>
      </c>
      <c r="I83" s="3"/>
      <c r="J83" s="229">
        <f t="shared" si="11"/>
        <v>0</v>
      </c>
      <c r="K83" s="3"/>
      <c r="L83" s="371">
        <f t="shared" si="12"/>
        <v>0</v>
      </c>
      <c r="M83" s="231">
        <f t="shared" si="13"/>
        <v>213.72065000000001</v>
      </c>
      <c r="N83" s="231"/>
      <c r="O83" s="231">
        <f t="shared" si="14"/>
        <v>0</v>
      </c>
      <c r="P83" s="231"/>
      <c r="Q83" s="230">
        <f t="shared" si="15"/>
        <v>0</v>
      </c>
      <c r="R83" s="235"/>
      <c r="S83" s="235"/>
    </row>
    <row r="84" spans="1:19" ht="15.75">
      <c r="A84" s="3">
        <v>207</v>
      </c>
      <c r="B84" s="3" t="s">
        <v>533</v>
      </c>
      <c r="C84" s="229">
        <v>240</v>
      </c>
      <c r="D84" s="3"/>
      <c r="E84" s="3"/>
      <c r="F84" s="3"/>
      <c r="G84" s="3"/>
      <c r="H84" s="291">
        <f t="shared" si="16"/>
        <v>0</v>
      </c>
      <c r="I84" s="3"/>
      <c r="J84" s="229">
        <f t="shared" si="11"/>
        <v>0</v>
      </c>
      <c r="K84" s="3"/>
      <c r="L84" s="371">
        <f t="shared" si="12"/>
        <v>0</v>
      </c>
      <c r="M84" s="231">
        <f t="shared" si="13"/>
        <v>252.6</v>
      </c>
      <c r="N84" s="231"/>
      <c r="O84" s="231">
        <f t="shared" si="14"/>
        <v>0</v>
      </c>
      <c r="P84" s="231"/>
      <c r="Q84" s="230">
        <f t="shared" si="15"/>
        <v>0</v>
      </c>
      <c r="R84" s="235"/>
      <c r="S84" s="235"/>
    </row>
    <row r="85" spans="1:19" ht="15.75">
      <c r="A85" s="3">
        <v>210</v>
      </c>
      <c r="B85" s="3" t="s">
        <v>534</v>
      </c>
      <c r="C85" s="229">
        <v>15</v>
      </c>
      <c r="D85" s="3"/>
      <c r="E85" s="3"/>
      <c r="F85" s="3"/>
      <c r="G85" s="3"/>
      <c r="H85" s="291">
        <f t="shared" si="16"/>
        <v>0</v>
      </c>
      <c r="I85" s="3"/>
      <c r="J85" s="229">
        <f t="shared" si="11"/>
        <v>0</v>
      </c>
      <c r="K85" s="3"/>
      <c r="L85" s="371">
        <f t="shared" si="12"/>
        <v>0</v>
      </c>
      <c r="M85" s="231">
        <f t="shared" si="13"/>
        <v>15.7875</v>
      </c>
      <c r="N85" s="231"/>
      <c r="O85" s="231">
        <f t="shared" si="14"/>
        <v>0</v>
      </c>
      <c r="P85" s="231"/>
      <c r="Q85" s="230">
        <f t="shared" si="15"/>
        <v>0</v>
      </c>
      <c r="R85" s="235"/>
      <c r="S85" s="235"/>
    </row>
    <row r="86" spans="1:19" ht="15.75">
      <c r="A86" s="295" t="s">
        <v>413</v>
      </c>
      <c r="B86" s="3"/>
      <c r="C86" s="229"/>
      <c r="D86" s="3"/>
      <c r="E86" s="3"/>
      <c r="F86" s="3"/>
      <c r="G86" s="3"/>
      <c r="H86" s="291">
        <f t="shared" si="16"/>
        <v>0</v>
      </c>
      <c r="I86" s="3"/>
      <c r="J86" s="229">
        <f t="shared" si="11"/>
        <v>0</v>
      </c>
      <c r="K86" s="3"/>
      <c r="L86" s="371">
        <f t="shared" si="12"/>
        <v>0</v>
      </c>
      <c r="M86" s="231">
        <f t="shared" si="13"/>
        <v>0</v>
      </c>
      <c r="N86" s="231"/>
      <c r="O86" s="231">
        <f t="shared" si="14"/>
        <v>0</v>
      </c>
      <c r="P86" s="231"/>
      <c r="Q86" s="230">
        <f t="shared" si="15"/>
        <v>0</v>
      </c>
      <c r="R86" s="235"/>
      <c r="S86" s="235"/>
    </row>
    <row r="87" spans="1:19" ht="15.75">
      <c r="A87" s="3">
        <v>275</v>
      </c>
      <c r="B87" s="3" t="s">
        <v>526</v>
      </c>
      <c r="C87" s="229">
        <v>310.75</v>
      </c>
      <c r="D87" s="3"/>
      <c r="E87" s="3">
        <v>154</v>
      </c>
      <c r="F87" s="3"/>
      <c r="G87" s="3"/>
      <c r="H87" s="291">
        <f t="shared" si="16"/>
        <v>154</v>
      </c>
      <c r="I87" s="3"/>
      <c r="J87" s="229">
        <f t="shared" si="11"/>
        <v>47855.5</v>
      </c>
      <c r="K87" s="3"/>
      <c r="L87" s="371">
        <f t="shared" si="12"/>
        <v>161.41656473772329</v>
      </c>
      <c r="M87" s="231">
        <f t="shared" si="13"/>
        <v>327.06437499999998</v>
      </c>
      <c r="N87" s="231"/>
      <c r="O87" s="231">
        <f t="shared" si="14"/>
        <v>52793.607860590506</v>
      </c>
      <c r="P87" s="231"/>
      <c r="Q87" s="230">
        <f t="shared" si="15"/>
        <v>4938.1078605905059</v>
      </c>
      <c r="R87" s="235"/>
      <c r="S87" s="235"/>
    </row>
    <row r="88" spans="1:19" ht="15.75">
      <c r="A88" s="3">
        <v>270</v>
      </c>
      <c r="B88" s="3" t="s">
        <v>535</v>
      </c>
      <c r="C88" s="229">
        <v>221.73</v>
      </c>
      <c r="D88" s="3"/>
      <c r="E88" s="3"/>
      <c r="F88" s="3"/>
      <c r="G88" s="3"/>
      <c r="H88" s="291">
        <f t="shared" si="16"/>
        <v>0</v>
      </c>
      <c r="I88" s="3"/>
      <c r="J88" s="229">
        <f t="shared" si="11"/>
        <v>0</v>
      </c>
      <c r="K88" s="3"/>
      <c r="L88" s="371">
        <f t="shared" si="12"/>
        <v>0</v>
      </c>
      <c r="M88" s="231">
        <f t="shared" si="13"/>
        <v>233.370825</v>
      </c>
      <c r="N88" s="231"/>
      <c r="O88" s="231">
        <f t="shared" si="14"/>
        <v>0</v>
      </c>
      <c r="P88" s="231"/>
      <c r="Q88" s="230">
        <f t="shared" si="15"/>
        <v>0</v>
      </c>
      <c r="R88" s="235"/>
      <c r="S88" s="235"/>
    </row>
    <row r="89" spans="1:19" ht="15.75">
      <c r="A89" s="3">
        <v>275</v>
      </c>
      <c r="B89" s="3" t="s">
        <v>536</v>
      </c>
      <c r="C89" s="229">
        <v>310.75</v>
      </c>
      <c r="D89" s="3"/>
      <c r="E89" s="3"/>
      <c r="F89" s="3"/>
      <c r="G89" s="3"/>
      <c r="H89" s="291">
        <f t="shared" si="16"/>
        <v>0</v>
      </c>
      <c r="I89" s="3"/>
      <c r="J89" s="229">
        <f t="shared" si="11"/>
        <v>0</v>
      </c>
      <c r="K89" s="3"/>
      <c r="L89" s="371">
        <f t="shared" si="12"/>
        <v>0</v>
      </c>
      <c r="M89" s="231">
        <f t="shared" si="13"/>
        <v>327.06437499999998</v>
      </c>
      <c r="N89" s="231"/>
      <c r="O89" s="231">
        <f t="shared" si="14"/>
        <v>0</v>
      </c>
      <c r="P89" s="231"/>
      <c r="Q89" s="230">
        <f t="shared" si="15"/>
        <v>0</v>
      </c>
      <c r="R89" s="235"/>
      <c r="S89" s="235"/>
    </row>
    <row r="90" spans="1:19" ht="15.75">
      <c r="A90" s="3"/>
      <c r="B90" s="3" t="s">
        <v>537</v>
      </c>
      <c r="C90" s="229"/>
      <c r="D90" s="3"/>
      <c r="E90" s="3"/>
      <c r="F90" s="3"/>
      <c r="G90" s="3"/>
      <c r="H90" s="291">
        <f t="shared" si="16"/>
        <v>0</v>
      </c>
      <c r="I90" s="3"/>
      <c r="J90" s="229">
        <f t="shared" si="11"/>
        <v>0</v>
      </c>
      <c r="K90" s="3"/>
      <c r="L90" s="371">
        <f t="shared" si="12"/>
        <v>0</v>
      </c>
      <c r="M90" s="231">
        <f t="shared" si="13"/>
        <v>0</v>
      </c>
      <c r="N90" s="231"/>
      <c r="O90" s="231">
        <f t="shared" si="14"/>
        <v>0</v>
      </c>
      <c r="P90" s="231"/>
      <c r="Q90" s="230">
        <f t="shared" si="15"/>
        <v>0</v>
      </c>
      <c r="R90" s="235"/>
      <c r="S90" s="235"/>
    </row>
    <row r="91" spans="1:19" ht="15.75">
      <c r="A91" s="3"/>
      <c r="B91" s="3" t="s">
        <v>538</v>
      </c>
      <c r="C91" s="229"/>
      <c r="D91" s="3"/>
      <c r="E91" s="3"/>
      <c r="F91" s="3"/>
      <c r="G91" s="3"/>
      <c r="H91" s="291">
        <f t="shared" si="16"/>
        <v>0</v>
      </c>
      <c r="I91" s="3"/>
      <c r="J91" s="229">
        <f t="shared" si="11"/>
        <v>0</v>
      </c>
      <c r="K91" s="3"/>
      <c r="L91" s="371">
        <f t="shared" si="12"/>
        <v>0</v>
      </c>
      <c r="M91" s="231">
        <f t="shared" si="13"/>
        <v>0</v>
      </c>
      <c r="N91" s="231"/>
      <c r="O91" s="231">
        <f t="shared" si="14"/>
        <v>0</v>
      </c>
      <c r="P91" s="231"/>
      <c r="Q91" s="230">
        <f t="shared" si="15"/>
        <v>0</v>
      </c>
      <c r="R91" s="235"/>
      <c r="S91" s="235"/>
    </row>
    <row r="92" spans="1:19" ht="15.75">
      <c r="A92" s="3">
        <v>270</v>
      </c>
      <c r="B92" s="3" t="s">
        <v>531</v>
      </c>
      <c r="C92" s="229">
        <v>2.5</v>
      </c>
      <c r="D92" s="3"/>
      <c r="E92" s="3"/>
      <c r="F92" s="3"/>
      <c r="G92" s="3"/>
      <c r="H92" s="291">
        <f t="shared" si="16"/>
        <v>0</v>
      </c>
      <c r="I92" s="3"/>
      <c r="J92" s="229">
        <f t="shared" si="11"/>
        <v>0</v>
      </c>
      <c r="K92" s="3"/>
      <c r="L92" s="371">
        <f t="shared" si="12"/>
        <v>0</v>
      </c>
      <c r="M92" s="231">
        <f t="shared" si="13"/>
        <v>2.6312500000000001</v>
      </c>
      <c r="N92" s="231"/>
      <c r="O92" s="231">
        <f t="shared" si="14"/>
        <v>0</v>
      </c>
      <c r="P92" s="231"/>
      <c r="Q92" s="230">
        <f t="shared" si="15"/>
        <v>0</v>
      </c>
      <c r="R92" s="235"/>
      <c r="S92" s="235"/>
    </row>
    <row r="93" spans="1:19" ht="15.75">
      <c r="A93" s="3">
        <v>270</v>
      </c>
      <c r="B93" s="3" t="s">
        <v>528</v>
      </c>
      <c r="C93" s="229">
        <v>355</v>
      </c>
      <c r="D93" s="3"/>
      <c r="E93" s="3">
        <v>12</v>
      </c>
      <c r="F93" s="3"/>
      <c r="G93" s="3"/>
      <c r="H93" s="291">
        <f t="shared" si="16"/>
        <v>12</v>
      </c>
      <c r="I93" s="3"/>
      <c r="J93" s="229">
        <f t="shared" si="11"/>
        <v>4260</v>
      </c>
      <c r="K93" s="3"/>
      <c r="L93" s="371">
        <f t="shared" si="12"/>
        <v>12.57791413540701</v>
      </c>
      <c r="M93" s="231">
        <f t="shared" si="13"/>
        <v>373.63749999999999</v>
      </c>
      <c r="N93" s="231"/>
      <c r="O93" s="231">
        <f t="shared" si="14"/>
        <v>4699.5803927681363</v>
      </c>
      <c r="P93" s="231"/>
      <c r="Q93" s="230">
        <f t="shared" si="15"/>
        <v>439.58039276813633</v>
      </c>
      <c r="R93" s="235"/>
      <c r="S93" s="235"/>
    </row>
    <row r="94" spans="1:19" ht="15.75">
      <c r="A94" s="3">
        <v>270</v>
      </c>
      <c r="B94" s="3" t="s">
        <v>518</v>
      </c>
      <c r="C94" s="229">
        <v>5.4</v>
      </c>
      <c r="D94" s="3"/>
      <c r="E94" s="3"/>
      <c r="F94" s="3"/>
      <c r="G94" s="3"/>
      <c r="H94" s="291">
        <f t="shared" si="16"/>
        <v>0</v>
      </c>
      <c r="I94" s="3"/>
      <c r="J94" s="229">
        <f t="shared" si="11"/>
        <v>0</v>
      </c>
      <c r="K94" s="3"/>
      <c r="L94" s="371">
        <f t="shared" si="12"/>
        <v>0</v>
      </c>
      <c r="M94" s="231">
        <f t="shared" si="13"/>
        <v>5.6835000000000004</v>
      </c>
      <c r="N94" s="231"/>
      <c r="O94" s="231">
        <f t="shared" si="14"/>
        <v>0</v>
      </c>
      <c r="P94" s="231"/>
      <c r="Q94" s="230">
        <f t="shared" si="15"/>
        <v>0</v>
      </c>
      <c r="R94" s="235"/>
      <c r="S94" s="235"/>
    </row>
    <row r="95" spans="1:19" ht="15.75">
      <c r="A95" s="3">
        <v>160</v>
      </c>
      <c r="B95" s="3" t="s">
        <v>539</v>
      </c>
      <c r="C95" s="229">
        <v>115</v>
      </c>
      <c r="D95" s="3"/>
      <c r="E95" s="3">
        <v>554</v>
      </c>
      <c r="F95" s="3"/>
      <c r="G95" s="3"/>
      <c r="H95" s="291">
        <f t="shared" si="16"/>
        <v>554</v>
      </c>
      <c r="I95" s="3"/>
      <c r="J95" s="296">
        <f>+H95*C95</f>
        <v>63710</v>
      </c>
      <c r="K95" s="3"/>
      <c r="L95" s="371">
        <f t="shared" si="12"/>
        <v>580.68036925129024</v>
      </c>
      <c r="M95" s="231">
        <f t="shared" si="13"/>
        <v>121.03749999999999</v>
      </c>
      <c r="N95" s="231"/>
      <c r="O95" s="231">
        <f t="shared" si="14"/>
        <v>70284.100193253034</v>
      </c>
      <c r="P95" s="231"/>
      <c r="Q95" s="233">
        <f t="shared" si="15"/>
        <v>6574.1001932530344</v>
      </c>
      <c r="R95" s="235"/>
      <c r="S95" s="235"/>
    </row>
    <row r="96" spans="1:19" ht="15.75">
      <c r="A96" s="3" t="s">
        <v>540</v>
      </c>
      <c r="B96" s="3"/>
      <c r="C96" s="229"/>
      <c r="D96" s="3"/>
      <c r="E96" s="3"/>
      <c r="F96" s="3"/>
      <c r="G96" s="290"/>
      <c r="H96" s="3"/>
      <c r="I96" s="3"/>
      <c r="J96" s="290">
        <f>SUM(J76:J95)</f>
        <v>399479.19</v>
      </c>
      <c r="K96" s="3"/>
      <c r="L96" s="14"/>
      <c r="M96" s="231"/>
      <c r="N96" s="231"/>
      <c r="O96" s="231"/>
      <c r="P96" s="231"/>
      <c r="Q96" s="230">
        <f>SUM(Q76:Q95)</f>
        <v>41221.412967816221</v>
      </c>
      <c r="R96" s="235"/>
      <c r="S96" s="235"/>
    </row>
    <row r="97" spans="1:19" ht="15.75">
      <c r="A97" s="3"/>
      <c r="B97" s="3"/>
      <c r="C97" s="229"/>
      <c r="D97" s="3"/>
      <c r="E97" s="3"/>
      <c r="F97" s="3"/>
      <c r="G97" s="290"/>
      <c r="H97" s="3"/>
      <c r="I97" s="3"/>
      <c r="J97" s="290"/>
      <c r="K97" s="3"/>
      <c r="L97" s="14"/>
      <c r="M97" s="231"/>
      <c r="N97" s="231"/>
      <c r="O97" s="231"/>
      <c r="P97" s="231"/>
      <c r="Q97" s="14"/>
      <c r="R97" s="235"/>
      <c r="S97" s="235"/>
    </row>
    <row r="98" spans="1:19" ht="15.75">
      <c r="A98" s="3">
        <v>230</v>
      </c>
      <c r="B98" s="3" t="s">
        <v>541</v>
      </c>
      <c r="C98" s="229">
        <v>10</v>
      </c>
      <c r="D98" s="3"/>
      <c r="E98" s="3">
        <v>16</v>
      </c>
      <c r="F98" s="3">
        <v>42</v>
      </c>
      <c r="G98" s="290"/>
      <c r="H98" s="291">
        <f>SUM(E98:F98)</f>
        <v>58</v>
      </c>
      <c r="I98" s="3"/>
      <c r="J98" s="229">
        <f>+H98*C98</f>
        <v>580</v>
      </c>
      <c r="K98" s="3"/>
      <c r="L98" s="14"/>
      <c r="M98" s="231"/>
      <c r="N98" s="231"/>
      <c r="O98" s="231"/>
      <c r="P98" s="231"/>
      <c r="Q98" s="230">
        <f>+J98</f>
        <v>580</v>
      </c>
      <c r="R98" s="235"/>
      <c r="S98" s="235"/>
    </row>
    <row r="99" spans="1:19" ht="15.75">
      <c r="A99" s="3">
        <v>230</v>
      </c>
      <c r="B99" s="3" t="s">
        <v>542</v>
      </c>
      <c r="C99" s="229">
        <v>4</v>
      </c>
      <c r="D99" s="3"/>
      <c r="E99" s="3">
        <v>86</v>
      </c>
      <c r="F99" s="3">
        <v>138</v>
      </c>
      <c r="G99" s="290"/>
      <c r="H99" s="291">
        <f>SUM(E99:F99)</f>
        <v>224</v>
      </c>
      <c r="I99" s="3"/>
      <c r="J99" s="229">
        <f>+H99*C99</f>
        <v>896</v>
      </c>
      <c r="K99" s="3"/>
      <c r="L99" s="14"/>
      <c r="M99" s="231"/>
      <c r="N99" s="231"/>
      <c r="O99" s="231"/>
      <c r="P99" s="231"/>
      <c r="Q99" s="230">
        <f>+J99</f>
        <v>896</v>
      </c>
      <c r="R99" s="235"/>
      <c r="S99" s="235"/>
    </row>
    <row r="100" spans="1:19" ht="15.75">
      <c r="A100" s="3">
        <v>230</v>
      </c>
      <c r="B100" s="3" t="s">
        <v>543</v>
      </c>
      <c r="C100" s="229">
        <v>34</v>
      </c>
      <c r="D100" s="3"/>
      <c r="E100" s="3">
        <v>12</v>
      </c>
      <c r="F100" s="3"/>
      <c r="G100" s="290"/>
      <c r="H100" s="291">
        <f>SUM(E100:F100)</f>
        <v>12</v>
      </c>
      <c r="I100" s="3"/>
      <c r="J100" s="229">
        <f>+H100*C100</f>
        <v>408</v>
      </c>
      <c r="K100" s="3"/>
      <c r="L100" s="14"/>
      <c r="M100" s="231"/>
      <c r="N100" s="231"/>
      <c r="O100" s="231"/>
      <c r="P100" s="231"/>
      <c r="Q100" s="230">
        <f>+J100</f>
        <v>408</v>
      </c>
      <c r="R100" s="235"/>
      <c r="S100" s="235"/>
    </row>
    <row r="101" spans="1:19" ht="15.75">
      <c r="A101" s="3">
        <v>230</v>
      </c>
      <c r="B101" s="3" t="s">
        <v>16</v>
      </c>
      <c r="C101" s="229">
        <v>5</v>
      </c>
      <c r="D101" s="3"/>
      <c r="E101" s="3">
        <v>1100</v>
      </c>
      <c r="F101" s="3">
        <v>43</v>
      </c>
      <c r="G101" s="290"/>
      <c r="H101" s="291">
        <f>SUM(E101:F101)</f>
        <v>1143</v>
      </c>
      <c r="I101" s="3"/>
      <c r="J101" s="229">
        <f>+H101*C101</f>
        <v>5715</v>
      </c>
      <c r="K101" s="3"/>
      <c r="L101" s="14"/>
      <c r="M101" s="231"/>
      <c r="N101" s="231"/>
      <c r="O101" s="231"/>
      <c r="P101" s="231"/>
      <c r="Q101" s="230">
        <f>+J101</f>
        <v>5715</v>
      </c>
      <c r="R101" s="235"/>
      <c r="S101" s="235"/>
    </row>
    <row r="102" spans="1:19" ht="15.75">
      <c r="A102" s="3">
        <v>230</v>
      </c>
      <c r="B102" s="3" t="s">
        <v>544</v>
      </c>
      <c r="C102" s="229">
        <v>70</v>
      </c>
      <c r="D102" s="3"/>
      <c r="E102" s="3">
        <v>220</v>
      </c>
      <c r="F102" s="3">
        <v>1</v>
      </c>
      <c r="G102" s="290"/>
      <c r="H102" s="291">
        <f>SUM(E102:F102)</f>
        <v>221</v>
      </c>
      <c r="I102" s="3"/>
      <c r="J102" s="292">
        <f>+H102*C102</f>
        <v>15470</v>
      </c>
      <c r="K102" s="3"/>
      <c r="L102" s="14"/>
      <c r="M102" s="231"/>
      <c r="N102" s="231"/>
      <c r="O102" s="231"/>
      <c r="P102" s="231"/>
      <c r="Q102" s="233">
        <f>+J102</f>
        <v>15470</v>
      </c>
      <c r="R102" s="235"/>
      <c r="S102" s="235"/>
    </row>
    <row r="103" spans="1:19" ht="15.75">
      <c r="A103" s="3"/>
      <c r="B103" s="3"/>
      <c r="C103" s="229"/>
      <c r="D103" s="3"/>
      <c r="E103" s="3"/>
      <c r="F103" s="3"/>
      <c r="G103" s="290"/>
      <c r="H103" s="3"/>
      <c r="I103" s="3"/>
      <c r="J103" s="367">
        <f>SUM(J98:J102)</f>
        <v>23069</v>
      </c>
      <c r="K103" s="3"/>
      <c r="L103" s="14"/>
      <c r="M103" s="231"/>
      <c r="N103" s="231"/>
      <c r="O103" s="231"/>
      <c r="P103" s="231"/>
      <c r="Q103" s="230">
        <f>SUM(Q98:Q102)</f>
        <v>23069</v>
      </c>
      <c r="R103" s="235"/>
      <c r="S103" s="235"/>
    </row>
    <row r="104" spans="1:19" ht="15.75">
      <c r="A104" s="3" t="s">
        <v>545</v>
      </c>
      <c r="B104" s="3"/>
      <c r="C104" s="229"/>
      <c r="D104" s="3"/>
      <c r="E104" s="3"/>
      <c r="F104" s="3"/>
      <c r="G104" s="290"/>
      <c r="H104" s="3"/>
      <c r="I104" s="290"/>
      <c r="J104" s="290">
        <f>+J36+J71+J96+J103</f>
        <v>3015221.42</v>
      </c>
      <c r="K104" s="3"/>
      <c r="L104" s="14"/>
      <c r="M104" s="231"/>
      <c r="N104" s="231"/>
      <c r="O104" s="231"/>
      <c r="P104" s="231"/>
      <c r="R104" s="235"/>
      <c r="S104" s="235"/>
    </row>
    <row r="105" spans="1:19" ht="15.75">
      <c r="A105" s="3" t="s">
        <v>763</v>
      </c>
      <c r="B105" s="368"/>
      <c r="C105" s="368">
        <f>+J105/113.25</f>
        <v>3272.334392935983</v>
      </c>
      <c r="D105" s="3"/>
      <c r="E105" s="3"/>
      <c r="F105" s="3"/>
      <c r="G105" s="290"/>
      <c r="H105" s="3"/>
      <c r="I105" s="3"/>
      <c r="J105" s="292">
        <f>+'Pro Forma'!D12</f>
        <v>370591.87000000005</v>
      </c>
      <c r="K105" s="3"/>
      <c r="L105" s="14"/>
      <c r="M105" s="231"/>
      <c r="N105" s="231"/>
      <c r="O105" s="231">
        <f>+C105*120-J105</f>
        <v>22088.257152317907</v>
      </c>
      <c r="P105" s="231"/>
      <c r="Q105" s="231">
        <f>+O105</f>
        <v>22088.257152317907</v>
      </c>
      <c r="R105" s="235"/>
      <c r="S105" s="235"/>
    </row>
    <row r="106" spans="1:19" ht="15.75">
      <c r="A106" s="14"/>
      <c r="B106" s="14"/>
      <c r="C106" s="14"/>
      <c r="D106" s="14"/>
      <c r="E106" s="14"/>
      <c r="F106" s="14"/>
      <c r="G106" s="14"/>
      <c r="H106" s="14"/>
      <c r="I106" s="14"/>
      <c r="J106" s="230">
        <f>+J104+J105</f>
        <v>3385813.29</v>
      </c>
      <c r="K106" s="3"/>
      <c r="L106" s="14"/>
      <c r="M106" s="231"/>
      <c r="N106" s="231"/>
      <c r="O106" s="231"/>
      <c r="P106" s="231"/>
      <c r="Q106" s="290">
        <f>+Q36+Q71+Q96+Q103+Q105</f>
        <v>353091.02281169232</v>
      </c>
      <c r="R106" s="235"/>
      <c r="S106" s="235"/>
    </row>
    <row r="107" spans="1:19" ht="15.75">
      <c r="A107" s="3"/>
      <c r="B107" s="3"/>
      <c r="C107" s="229"/>
      <c r="D107" s="3"/>
      <c r="E107" s="3"/>
      <c r="F107" s="3"/>
      <c r="G107" s="290"/>
      <c r="H107" s="3"/>
      <c r="I107" s="3"/>
      <c r="J107" s="290"/>
      <c r="K107" s="3"/>
      <c r="L107" s="14"/>
      <c r="M107" s="231"/>
      <c r="N107" s="231"/>
      <c r="O107" s="231"/>
      <c r="P107" s="231"/>
      <c r="Q107" s="14"/>
      <c r="R107" s="235"/>
      <c r="S107" s="235"/>
    </row>
    <row r="108" spans="1:19" ht="15.7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235"/>
      <c r="S108" s="235"/>
    </row>
    <row r="109" spans="1:19" ht="15.75">
      <c r="A109" s="3"/>
      <c r="B109" s="14"/>
      <c r="C109" s="3"/>
      <c r="D109" s="3"/>
      <c r="E109" s="3"/>
      <c r="F109" s="3"/>
      <c r="G109" s="3"/>
      <c r="H109" s="3"/>
      <c r="I109" s="3"/>
      <c r="J109" s="3"/>
      <c r="K109" s="14"/>
      <c r="L109" s="14"/>
      <c r="M109" s="231"/>
      <c r="N109" s="231"/>
      <c r="O109" s="231"/>
      <c r="P109" s="231"/>
      <c r="Q109" s="14"/>
      <c r="R109" s="235"/>
      <c r="S109" s="235"/>
    </row>
    <row r="110" spans="1:19" ht="15.75">
      <c r="A110" s="290" t="s">
        <v>546</v>
      </c>
      <c r="B110" s="290"/>
      <c r="C110" s="290"/>
      <c r="D110" s="290"/>
      <c r="E110" s="290"/>
      <c r="F110" s="290"/>
      <c r="G110" s="290"/>
      <c r="H110" s="290"/>
      <c r="I110" s="290"/>
      <c r="J110" s="290"/>
      <c r="K110" s="231"/>
      <c r="L110" s="14"/>
      <c r="M110" s="14"/>
      <c r="N110" s="14"/>
      <c r="O110" s="231"/>
      <c r="P110" s="14"/>
      <c r="Q110" s="14"/>
      <c r="R110" s="235"/>
      <c r="S110" s="235"/>
    </row>
    <row r="111" spans="1:19" ht="15.75">
      <c r="A111" s="290"/>
      <c r="B111" s="290" t="s">
        <v>547</v>
      </c>
      <c r="C111" s="290"/>
      <c r="D111" s="290"/>
      <c r="E111" s="290"/>
      <c r="F111" s="290"/>
      <c r="G111" s="290"/>
      <c r="H111" s="290"/>
      <c r="I111" s="290"/>
      <c r="J111" s="290">
        <v>1567763.6</v>
      </c>
      <c r="K111" s="231"/>
      <c r="L111" s="14"/>
      <c r="M111" s="14"/>
      <c r="N111" s="14"/>
      <c r="O111" s="14"/>
      <c r="P111" s="14"/>
      <c r="Q111" s="14"/>
      <c r="R111" s="235"/>
      <c r="S111" s="235"/>
    </row>
    <row r="112" spans="1:19" ht="15.75">
      <c r="A112" s="290"/>
      <c r="B112" s="290" t="s">
        <v>548</v>
      </c>
      <c r="C112" s="290"/>
      <c r="D112" s="290"/>
      <c r="E112" s="290"/>
      <c r="F112" s="290"/>
      <c r="G112" s="290"/>
      <c r="H112" s="290"/>
      <c r="I112" s="290"/>
      <c r="J112" s="290">
        <v>159999.20000000001</v>
      </c>
      <c r="K112" s="231"/>
      <c r="L112" s="14"/>
      <c r="M112" s="14"/>
      <c r="N112" s="14"/>
      <c r="O112" s="14"/>
      <c r="P112" s="14"/>
      <c r="Q112" s="14"/>
      <c r="R112" s="235"/>
      <c r="S112" s="235"/>
    </row>
    <row r="113" spans="1:19" ht="15.75">
      <c r="A113" s="290"/>
      <c r="B113" s="290" t="s">
        <v>27</v>
      </c>
      <c r="C113" s="290"/>
      <c r="D113" s="290"/>
      <c r="E113" s="290"/>
      <c r="F113" s="290"/>
      <c r="G113" s="290"/>
      <c r="H113" s="290"/>
      <c r="I113" s="290"/>
      <c r="J113" s="290">
        <v>-29224.55</v>
      </c>
      <c r="K113" s="231"/>
      <c r="L113" s="14"/>
      <c r="M113" s="14"/>
      <c r="N113" s="14"/>
      <c r="O113" s="14"/>
      <c r="P113" s="14"/>
      <c r="Q113" s="14"/>
      <c r="R113" s="235"/>
      <c r="S113" s="235"/>
    </row>
    <row r="114" spans="1:19" ht="15.75">
      <c r="A114" s="290"/>
      <c r="B114" s="290" t="s">
        <v>549</v>
      </c>
      <c r="C114" s="290"/>
      <c r="D114" s="290"/>
      <c r="E114" s="290"/>
      <c r="F114" s="290"/>
      <c r="G114" s="290"/>
      <c r="H114" s="290"/>
      <c r="I114" s="290"/>
      <c r="J114" s="290">
        <v>1163228.22</v>
      </c>
      <c r="K114" s="231"/>
      <c r="L114" s="14"/>
      <c r="M114" s="14"/>
      <c r="N114" s="14"/>
      <c r="O114" s="14"/>
      <c r="P114" s="14"/>
      <c r="Q114" s="14"/>
      <c r="R114" s="235"/>
      <c r="S114" s="235"/>
    </row>
    <row r="115" spans="1:19" ht="15.75">
      <c r="A115" s="290"/>
      <c r="B115" s="290" t="s">
        <v>550</v>
      </c>
      <c r="C115" s="290"/>
      <c r="D115" s="290"/>
      <c r="E115" s="290"/>
      <c r="F115" s="290"/>
      <c r="G115" s="290"/>
      <c r="H115" s="290"/>
      <c r="I115" s="290"/>
      <c r="J115" s="290">
        <v>398543.58</v>
      </c>
      <c r="K115" s="231"/>
      <c r="L115" s="14"/>
      <c r="M115" s="14"/>
      <c r="N115" s="14"/>
      <c r="O115" s="14"/>
      <c r="P115" s="14"/>
      <c r="Q115" s="14"/>
      <c r="R115" s="235"/>
      <c r="S115" s="235"/>
    </row>
    <row r="116" spans="1:19" ht="15.75">
      <c r="A116" s="290"/>
      <c r="B116" s="290" t="s">
        <v>563</v>
      </c>
      <c r="C116" s="290"/>
      <c r="D116" s="290"/>
      <c r="E116" s="290"/>
      <c r="F116" s="290"/>
      <c r="G116" s="290"/>
      <c r="H116" s="290"/>
      <c r="I116" s="290"/>
      <c r="J116" s="290">
        <v>-98627.09</v>
      </c>
      <c r="K116" s="231"/>
      <c r="L116" s="14"/>
      <c r="M116" s="14"/>
      <c r="N116" s="14"/>
      <c r="O116" s="14"/>
      <c r="P116" s="14"/>
      <c r="Q116" s="14"/>
      <c r="R116" s="235"/>
      <c r="S116" s="235"/>
    </row>
    <row r="117" spans="1:19" ht="15.75">
      <c r="A117" s="290"/>
      <c r="B117" s="290" t="s">
        <v>564</v>
      </c>
      <c r="C117" s="290"/>
      <c r="D117" s="290"/>
      <c r="E117" s="290"/>
      <c r="F117" s="290"/>
      <c r="G117" s="290"/>
      <c r="H117" s="290"/>
      <c r="I117" s="290"/>
      <c r="J117" s="290">
        <f>-640-155</f>
        <v>-795</v>
      </c>
      <c r="K117" s="231"/>
      <c r="L117" s="14"/>
      <c r="M117" s="14"/>
      <c r="N117" s="14"/>
      <c r="O117" s="14"/>
      <c r="P117" s="14"/>
      <c r="Q117" s="14"/>
      <c r="R117" s="235"/>
      <c r="S117" s="235"/>
    </row>
    <row r="118" spans="1:19" ht="15.75">
      <c r="A118" s="290"/>
      <c r="B118" s="290" t="s">
        <v>565</v>
      </c>
      <c r="C118" s="290"/>
      <c r="D118" s="290"/>
      <c r="E118" s="290"/>
      <c r="F118" s="290"/>
      <c r="G118" s="290"/>
      <c r="H118" s="290"/>
      <c r="I118" s="290"/>
      <c r="J118" s="296">
        <v>-454.95</v>
      </c>
      <c r="K118" s="231"/>
      <c r="L118" s="14"/>
      <c r="M118" s="14"/>
      <c r="N118" s="14"/>
      <c r="O118" s="14"/>
      <c r="P118" s="14"/>
      <c r="Q118" s="14"/>
      <c r="R118" s="235"/>
      <c r="S118" s="235"/>
    </row>
    <row r="119" spans="1:19" ht="15.75">
      <c r="A119" s="231"/>
      <c r="B119" s="231" t="s">
        <v>784</v>
      </c>
      <c r="C119" s="231"/>
      <c r="D119" s="231"/>
      <c r="E119" s="231"/>
      <c r="F119" s="231"/>
      <c r="G119" s="231"/>
      <c r="H119" s="231"/>
      <c r="I119" s="231"/>
      <c r="J119" s="231">
        <f>SUM(J111:J118)</f>
        <v>3160433.01</v>
      </c>
      <c r="K119" s="231"/>
      <c r="L119" s="14"/>
      <c r="M119" s="14"/>
      <c r="N119" s="14"/>
      <c r="O119" s="14"/>
      <c r="P119" s="14"/>
      <c r="Q119" s="14"/>
      <c r="R119" s="235"/>
      <c r="S119" s="235"/>
    </row>
    <row r="120" spans="1:19" ht="15.75">
      <c r="A120" s="231"/>
      <c r="B120" s="231"/>
      <c r="C120" s="231"/>
      <c r="D120" s="231"/>
      <c r="E120" s="231"/>
      <c r="F120" s="231"/>
      <c r="G120" s="231"/>
      <c r="H120" s="231"/>
      <c r="I120" s="231"/>
      <c r="J120" s="231"/>
      <c r="K120" s="231"/>
      <c r="L120" s="14"/>
      <c r="M120" s="14"/>
      <c r="N120" s="14"/>
      <c r="O120" s="14"/>
      <c r="P120" s="14"/>
      <c r="Q120" s="14"/>
      <c r="R120" s="235"/>
      <c r="S120" s="235"/>
    </row>
    <row r="121" spans="1:19" ht="15.75">
      <c r="A121" s="231"/>
      <c r="B121" s="231" t="s">
        <v>745</v>
      </c>
      <c r="C121" s="231"/>
      <c r="D121" s="231"/>
      <c r="E121" s="231"/>
      <c r="F121" s="231"/>
      <c r="G121" s="231"/>
      <c r="H121" s="231"/>
      <c r="I121" s="231"/>
      <c r="J121" s="370">
        <f>+J119/J104-1</f>
        <v>4.8159511283917489E-2</v>
      </c>
      <c r="K121" s="231"/>
      <c r="L121" s="14"/>
      <c r="M121" s="14"/>
      <c r="N121" s="14"/>
      <c r="O121" s="14"/>
      <c r="P121" s="14"/>
      <c r="Q121" s="14"/>
      <c r="R121" s="235"/>
      <c r="S121" s="235"/>
    </row>
    <row r="122" spans="1:19" ht="15.75">
      <c r="A122" s="231"/>
      <c r="B122" s="231"/>
      <c r="C122" s="231"/>
      <c r="D122" s="231"/>
      <c r="E122" s="231"/>
      <c r="F122" s="231"/>
      <c r="G122" s="231"/>
      <c r="H122" s="231"/>
      <c r="I122" s="231"/>
      <c r="J122" s="12"/>
      <c r="K122" s="231"/>
      <c r="L122" s="235"/>
      <c r="M122" s="235"/>
      <c r="N122" s="235"/>
      <c r="O122" s="235"/>
      <c r="P122" s="235"/>
      <c r="Q122" s="235"/>
      <c r="R122" s="235"/>
      <c r="S122" s="235"/>
    </row>
    <row r="123" spans="1:19" ht="15.75">
      <c r="A123" s="231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5"/>
      <c r="M123" s="235"/>
      <c r="N123" s="235"/>
      <c r="O123" s="235"/>
      <c r="P123" s="235"/>
      <c r="Q123" s="235"/>
      <c r="R123" s="235"/>
      <c r="S123" s="235"/>
    </row>
    <row r="124" spans="1:19" ht="15.75">
      <c r="A124" s="231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5"/>
      <c r="M124" s="235"/>
      <c r="N124" s="235"/>
      <c r="O124" s="235"/>
      <c r="P124" s="235"/>
      <c r="Q124" s="235"/>
      <c r="R124" s="235"/>
      <c r="S124" s="235"/>
    </row>
    <row r="125" spans="1:19" ht="15.75">
      <c r="A125" s="231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235"/>
      <c r="M125" s="235"/>
      <c r="N125" s="235"/>
      <c r="O125" s="235"/>
      <c r="P125" s="235"/>
      <c r="Q125" s="235"/>
      <c r="R125" s="235"/>
      <c r="S125" s="235"/>
    </row>
    <row r="126" spans="1:19" ht="15.75">
      <c r="A126" s="231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5"/>
      <c r="M126" s="235"/>
      <c r="N126" s="235"/>
      <c r="O126" s="235"/>
      <c r="P126" s="235"/>
      <c r="Q126" s="235"/>
      <c r="R126" s="235"/>
      <c r="S126" s="235"/>
    </row>
    <row r="127" spans="1:19" ht="15.75">
      <c r="A127" s="231"/>
      <c r="B127" s="231"/>
      <c r="C127" s="231"/>
      <c r="D127" s="231"/>
      <c r="E127" s="231"/>
      <c r="F127" s="231"/>
      <c r="G127" s="231"/>
      <c r="H127" s="231"/>
      <c r="I127" s="231"/>
      <c r="J127" s="231"/>
      <c r="K127" s="231"/>
      <c r="L127" s="235"/>
      <c r="M127" s="235"/>
      <c r="N127" s="235"/>
      <c r="O127" s="235"/>
      <c r="P127" s="235"/>
      <c r="Q127" s="235"/>
      <c r="R127" s="235"/>
      <c r="S127" s="235"/>
    </row>
    <row r="128" spans="1:19" ht="15.75">
      <c r="A128" s="231"/>
      <c r="B128" s="231"/>
      <c r="C128" s="231"/>
      <c r="D128" s="231"/>
      <c r="E128" s="231"/>
      <c r="F128" s="231"/>
      <c r="G128" s="231"/>
      <c r="H128" s="231"/>
      <c r="I128" s="231"/>
      <c r="J128" s="231"/>
      <c r="K128" s="231"/>
      <c r="L128" s="235"/>
      <c r="M128" s="235"/>
      <c r="N128" s="235"/>
      <c r="O128" s="235"/>
      <c r="P128" s="235"/>
      <c r="Q128" s="235"/>
      <c r="R128" s="235"/>
      <c r="S128" s="235"/>
    </row>
    <row r="129" spans="1:19" ht="15.75">
      <c r="A129" s="231"/>
      <c r="B129" s="231"/>
      <c r="C129" s="231"/>
      <c r="D129" s="231"/>
      <c r="E129" s="231"/>
      <c r="F129" s="231"/>
      <c r="G129" s="231"/>
      <c r="H129" s="231"/>
      <c r="I129" s="231"/>
      <c r="J129" s="231"/>
      <c r="K129" s="231"/>
      <c r="L129" s="235"/>
      <c r="M129" s="235"/>
      <c r="N129" s="235"/>
      <c r="O129" s="235"/>
      <c r="P129" s="235"/>
      <c r="Q129" s="235"/>
      <c r="R129" s="235"/>
      <c r="S129" s="235"/>
    </row>
    <row r="130" spans="1:19" ht="15.75">
      <c r="A130" s="231"/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5"/>
      <c r="M130" s="235"/>
      <c r="N130" s="235"/>
      <c r="O130" s="235"/>
      <c r="P130" s="235"/>
      <c r="Q130" s="235"/>
      <c r="R130" s="235"/>
      <c r="S130" s="235"/>
    </row>
    <row r="131" spans="1:19" ht="15.75">
      <c r="A131" s="231"/>
      <c r="B131" s="231"/>
      <c r="C131" s="231"/>
      <c r="D131" s="231"/>
      <c r="E131" s="231"/>
      <c r="F131" s="231"/>
      <c r="G131" s="231"/>
      <c r="H131" s="231"/>
      <c r="I131" s="231"/>
      <c r="J131" s="231"/>
      <c r="K131" s="231"/>
      <c r="L131" s="235"/>
      <c r="M131" s="235"/>
      <c r="N131" s="235"/>
      <c r="O131" s="235"/>
      <c r="P131" s="235"/>
      <c r="Q131" s="235"/>
      <c r="R131" s="235"/>
      <c r="S131" s="235"/>
    </row>
    <row r="132" spans="1:19" ht="15.75">
      <c r="A132" s="231"/>
      <c r="B132" s="231"/>
      <c r="C132" s="231"/>
      <c r="D132" s="231"/>
      <c r="E132" s="231"/>
      <c r="F132" s="231"/>
      <c r="G132" s="231"/>
      <c r="H132" s="231"/>
      <c r="I132" s="231"/>
      <c r="J132" s="231"/>
      <c r="K132" s="231"/>
      <c r="L132" s="235"/>
      <c r="M132" s="235"/>
      <c r="N132" s="235"/>
      <c r="O132" s="235"/>
      <c r="P132" s="235"/>
      <c r="Q132" s="235"/>
      <c r="R132" s="235"/>
      <c r="S132" s="235"/>
    </row>
    <row r="133" spans="1:19" ht="15.75">
      <c r="A133" s="231"/>
      <c r="B133" s="231"/>
      <c r="C133" s="231"/>
      <c r="D133" s="231"/>
      <c r="E133" s="231"/>
      <c r="F133" s="231"/>
      <c r="G133" s="231"/>
      <c r="H133" s="231"/>
      <c r="I133" s="231"/>
      <c r="J133" s="231"/>
      <c r="K133" s="231"/>
      <c r="L133" s="235"/>
      <c r="M133" s="235"/>
      <c r="N133" s="235"/>
      <c r="O133" s="235"/>
      <c r="P133" s="235"/>
      <c r="Q133" s="235"/>
      <c r="R133" s="235"/>
      <c r="S133" s="235"/>
    </row>
    <row r="134" spans="1:19" ht="15.75">
      <c r="A134" s="231"/>
      <c r="B134" s="231"/>
      <c r="C134" s="231"/>
      <c r="D134" s="231"/>
      <c r="E134" s="231"/>
      <c r="F134" s="231"/>
      <c r="G134" s="231"/>
      <c r="H134" s="231"/>
      <c r="I134" s="231"/>
      <c r="J134" s="231"/>
      <c r="K134" s="231"/>
      <c r="L134" s="235"/>
      <c r="M134" s="235"/>
      <c r="N134" s="235"/>
      <c r="O134" s="235"/>
      <c r="P134" s="235"/>
      <c r="Q134" s="235"/>
      <c r="R134" s="235"/>
      <c r="S134" s="235"/>
    </row>
    <row r="135" spans="1:19" ht="15.75">
      <c r="A135" s="231"/>
      <c r="B135" s="231"/>
      <c r="C135" s="231"/>
      <c r="D135" s="231"/>
      <c r="E135" s="231"/>
      <c r="F135" s="231"/>
      <c r="G135" s="231"/>
      <c r="H135" s="231"/>
      <c r="I135" s="231"/>
      <c r="J135" s="231"/>
      <c r="K135" s="231"/>
      <c r="L135" s="235"/>
      <c r="M135" s="235"/>
      <c r="N135" s="235"/>
      <c r="O135" s="235"/>
      <c r="P135" s="235"/>
      <c r="Q135" s="235"/>
      <c r="R135" s="235"/>
      <c r="S135" s="235"/>
    </row>
    <row r="136" spans="1:19" ht="15.75">
      <c r="A136" s="231"/>
      <c r="B136" s="231"/>
      <c r="C136" s="231"/>
      <c r="D136" s="231"/>
      <c r="E136" s="231"/>
      <c r="F136" s="231"/>
      <c r="G136" s="231"/>
      <c r="H136" s="231"/>
      <c r="I136" s="231"/>
      <c r="J136" s="231"/>
      <c r="K136" s="231"/>
      <c r="L136" s="235"/>
      <c r="M136" s="235"/>
      <c r="N136" s="235"/>
      <c r="O136" s="235"/>
      <c r="P136" s="235"/>
      <c r="Q136" s="235"/>
      <c r="R136" s="235"/>
      <c r="S136" s="235"/>
    </row>
    <row r="137" spans="1:19" ht="15.75">
      <c r="A137" s="231"/>
      <c r="B137" s="231"/>
      <c r="C137" s="231"/>
      <c r="D137" s="231"/>
      <c r="E137" s="231"/>
      <c r="F137" s="231"/>
      <c r="G137" s="231"/>
      <c r="H137" s="231"/>
      <c r="I137" s="231"/>
      <c r="J137" s="231"/>
      <c r="K137" s="231"/>
      <c r="L137" s="235"/>
      <c r="M137" s="235"/>
      <c r="N137" s="235"/>
      <c r="O137" s="235"/>
      <c r="P137" s="235"/>
      <c r="Q137" s="235"/>
      <c r="R137" s="235"/>
      <c r="S137" s="235"/>
    </row>
    <row r="138" spans="1:19" ht="15.75">
      <c r="A138" s="231"/>
      <c r="B138" s="231"/>
      <c r="C138" s="231"/>
      <c r="D138" s="231"/>
      <c r="E138" s="231"/>
      <c r="F138" s="231"/>
      <c r="G138" s="231"/>
      <c r="H138" s="231"/>
      <c r="I138" s="231"/>
      <c r="J138" s="231"/>
      <c r="K138" s="231"/>
      <c r="L138" s="235"/>
      <c r="M138" s="235"/>
      <c r="N138" s="235"/>
      <c r="O138" s="235"/>
      <c r="P138" s="235"/>
      <c r="Q138" s="235"/>
      <c r="R138" s="235"/>
      <c r="S138" s="235"/>
    </row>
    <row r="139" spans="1:19" ht="15.75">
      <c r="A139" s="231"/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5"/>
      <c r="M139" s="235"/>
      <c r="N139" s="235"/>
      <c r="O139" s="235"/>
      <c r="P139" s="235"/>
      <c r="Q139" s="235"/>
      <c r="R139" s="235"/>
      <c r="S139" s="235"/>
    </row>
  </sheetData>
  <printOptions gridLines="1"/>
  <pageMargins left="0.2" right="0.2" top="0.75" bottom="0.75" header="0.3" footer="0.3"/>
  <pageSetup scale="68" fitToHeight="0" orientation="landscape" r:id="rId1"/>
  <headerFooter>
    <oddFooter>&amp;C&amp;A&amp;RPage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7BA9D-BAC3-442D-ACFA-056096D570BD}">
  <dimension ref="A1:AG66"/>
  <sheetViews>
    <sheetView topLeftCell="A31" workbookViewId="0">
      <selection activeCell="G16" sqref="G16"/>
    </sheetView>
  </sheetViews>
  <sheetFormatPr defaultRowHeight="15"/>
  <cols>
    <col min="1" max="1" width="3" customWidth="1"/>
    <col min="2" max="2" width="5.140625" customWidth="1"/>
    <col min="3" max="4" width="2.28515625" customWidth="1"/>
    <col min="5" max="5" width="6.140625" bestFit="1" customWidth="1"/>
    <col min="6" max="6" width="2.28515625" customWidth="1"/>
    <col min="7" max="7" width="8.7109375" bestFit="1" customWidth="1"/>
    <col min="8" max="8" width="2.28515625" customWidth="1"/>
    <col min="9" max="9" width="5.28515625" bestFit="1" customWidth="1"/>
    <col min="10" max="10" width="2.28515625" customWidth="1"/>
    <col min="11" max="11" width="25.28515625" bestFit="1" customWidth="1"/>
    <col min="12" max="12" width="2.28515625" customWidth="1"/>
    <col min="13" max="13" width="25.140625" bestFit="1" customWidth="1"/>
    <col min="14" max="14" width="2.28515625" customWidth="1"/>
    <col min="15" max="15" width="3.28515625" bestFit="1" customWidth="1"/>
    <col min="16" max="16" width="2.28515625" customWidth="1"/>
    <col min="17" max="17" width="26.5703125" bestFit="1" customWidth="1"/>
    <col min="18" max="18" width="2.28515625" customWidth="1"/>
    <col min="19" max="19" width="8.140625" bestFit="1" customWidth="1"/>
    <col min="20" max="20" width="2.28515625" customWidth="1"/>
    <col min="21" max="21" width="7.85546875" bestFit="1" customWidth="1"/>
    <col min="22" max="22" width="3.28515625" customWidth="1"/>
    <col min="23" max="23" width="9.85546875" customWidth="1"/>
    <col min="24" max="24" width="10" customWidth="1"/>
  </cols>
  <sheetData>
    <row r="1" spans="1:33" ht="18.75">
      <c r="A1" s="302" t="s">
        <v>596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  <c r="X1" s="302"/>
      <c r="Y1" s="302"/>
      <c r="Z1" s="302"/>
      <c r="AA1" s="302"/>
    </row>
    <row r="2" spans="1:33" ht="18.75">
      <c r="A2" s="302" t="s">
        <v>597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</row>
    <row r="3" spans="1:33" ht="18.75">
      <c r="A3" s="302" t="s">
        <v>598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  <c r="AA3" s="302"/>
    </row>
    <row r="5" spans="1:33" ht="15.75" thickBot="1">
      <c r="A5" s="303"/>
      <c r="B5" s="303"/>
      <c r="C5" s="303"/>
      <c r="D5" s="303"/>
      <c r="E5" s="304" t="s">
        <v>150</v>
      </c>
      <c r="F5" s="303"/>
      <c r="G5" s="304" t="s">
        <v>599</v>
      </c>
      <c r="H5" s="303"/>
      <c r="I5" s="304" t="s">
        <v>600</v>
      </c>
      <c r="J5" s="303"/>
      <c r="K5" s="304" t="s">
        <v>601</v>
      </c>
      <c r="L5" s="303"/>
      <c r="M5" s="304" t="s">
        <v>602</v>
      </c>
      <c r="N5" s="303"/>
      <c r="O5" s="304" t="s">
        <v>603</v>
      </c>
      <c r="P5" s="303"/>
      <c r="Q5" s="304" t="s">
        <v>604</v>
      </c>
      <c r="R5" s="303"/>
      <c r="S5" s="304" t="s">
        <v>152</v>
      </c>
      <c r="T5" s="303"/>
      <c r="U5" s="304" t="s">
        <v>605</v>
      </c>
      <c r="V5" s="42"/>
      <c r="W5" s="305" t="s">
        <v>606</v>
      </c>
      <c r="X5" s="305" t="s">
        <v>607</v>
      </c>
      <c r="Y5" s="305" t="s">
        <v>608</v>
      </c>
      <c r="Z5" s="305" t="s">
        <v>609</v>
      </c>
      <c r="AA5" s="305" t="s">
        <v>610</v>
      </c>
      <c r="AB5" s="305"/>
      <c r="AC5" s="306"/>
      <c r="AD5" s="306"/>
      <c r="AE5" s="306"/>
      <c r="AF5" s="306"/>
      <c r="AG5" s="306"/>
    </row>
    <row r="6" spans="1:33" ht="15.75" thickTop="1">
      <c r="A6" s="307"/>
      <c r="B6" s="307" t="s">
        <v>611</v>
      </c>
      <c r="C6" s="307"/>
      <c r="D6" s="307"/>
      <c r="E6" s="307"/>
      <c r="F6" s="307"/>
      <c r="G6" s="308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9"/>
      <c r="T6" s="307"/>
      <c r="U6" s="309"/>
      <c r="W6" s="310"/>
      <c r="X6" s="310"/>
      <c r="Y6" s="310"/>
      <c r="Z6" s="310"/>
      <c r="AA6" s="310"/>
      <c r="AB6" s="310"/>
    </row>
    <row r="7" spans="1:33">
      <c r="A7" s="311"/>
      <c r="B7" s="311"/>
      <c r="C7" s="311"/>
      <c r="D7" s="311"/>
      <c r="E7" s="311" t="s">
        <v>612</v>
      </c>
      <c r="F7" s="311"/>
      <c r="G7" s="312">
        <v>43741</v>
      </c>
      <c r="H7" s="311"/>
      <c r="I7" s="311"/>
      <c r="J7" s="311"/>
      <c r="K7" s="311" t="s">
        <v>613</v>
      </c>
      <c r="L7" s="311"/>
      <c r="M7" s="311"/>
      <c r="N7" s="311"/>
      <c r="O7" s="313"/>
      <c r="P7" s="311"/>
      <c r="Q7" s="311" t="s">
        <v>614</v>
      </c>
      <c r="R7" s="311"/>
      <c r="S7" s="314">
        <v>430</v>
      </c>
      <c r="T7" s="311"/>
      <c r="U7" s="314">
        <f>ROUND(+S7,5)</f>
        <v>430</v>
      </c>
      <c r="W7" s="315">
        <f>+S7</f>
        <v>430</v>
      </c>
      <c r="X7" s="310"/>
      <c r="Y7" s="310"/>
      <c r="Z7" s="310"/>
      <c r="AA7" s="310"/>
      <c r="AB7" s="310"/>
    </row>
    <row r="8" spans="1:33">
      <c r="A8" s="311"/>
      <c r="B8" s="311"/>
      <c r="C8" s="311"/>
      <c r="D8" s="311"/>
      <c r="E8" s="311" t="s">
        <v>612</v>
      </c>
      <c r="F8" s="311"/>
      <c r="G8" s="312">
        <v>43742</v>
      </c>
      <c r="H8" s="311"/>
      <c r="I8" s="311"/>
      <c r="J8" s="311"/>
      <c r="K8" s="311" t="s">
        <v>607</v>
      </c>
      <c r="L8" s="311"/>
      <c r="M8" s="311"/>
      <c r="N8" s="311"/>
      <c r="O8" s="313"/>
      <c r="P8" s="311"/>
      <c r="Q8" s="311" t="s">
        <v>614</v>
      </c>
      <c r="R8" s="311"/>
      <c r="S8" s="314">
        <v>350</v>
      </c>
      <c r="T8" s="311"/>
      <c r="U8" s="314">
        <f t="shared" ref="U8:U40" si="0">ROUND(U7+S8,5)</f>
        <v>780</v>
      </c>
      <c r="W8" s="310"/>
      <c r="X8" s="315">
        <f>+S8</f>
        <v>350</v>
      </c>
      <c r="Y8" s="310"/>
      <c r="Z8" s="310"/>
      <c r="AA8" s="310"/>
      <c r="AB8" s="310"/>
    </row>
    <row r="9" spans="1:33">
      <c r="A9" s="311"/>
      <c r="B9" s="311"/>
      <c r="C9" s="311"/>
      <c r="D9" s="311"/>
      <c r="E9" s="311" t="s">
        <v>612</v>
      </c>
      <c r="F9" s="311"/>
      <c r="G9" s="312">
        <v>43769</v>
      </c>
      <c r="H9" s="311"/>
      <c r="I9" s="311"/>
      <c r="J9" s="311"/>
      <c r="K9" s="311" t="s">
        <v>613</v>
      </c>
      <c r="L9" s="311"/>
      <c r="M9" s="311"/>
      <c r="N9" s="311"/>
      <c r="O9" s="313"/>
      <c r="P9" s="311"/>
      <c r="Q9" s="311" t="s">
        <v>614</v>
      </c>
      <c r="R9" s="311"/>
      <c r="S9" s="314">
        <v>500</v>
      </c>
      <c r="T9" s="311"/>
      <c r="U9" s="314">
        <f t="shared" si="0"/>
        <v>1280</v>
      </c>
      <c r="W9" s="310"/>
      <c r="X9" s="310"/>
      <c r="Y9" s="315">
        <f>+S9</f>
        <v>500</v>
      </c>
      <c r="Z9" s="310"/>
      <c r="AA9" s="310"/>
      <c r="AB9" s="310"/>
    </row>
    <row r="10" spans="1:33">
      <c r="A10" s="311"/>
      <c r="B10" s="311"/>
      <c r="C10" s="311"/>
      <c r="D10" s="311"/>
      <c r="E10" s="311"/>
      <c r="F10" s="311"/>
      <c r="G10" s="312"/>
      <c r="H10" s="311"/>
      <c r="I10" s="311"/>
      <c r="J10" s="311"/>
      <c r="K10" s="311"/>
      <c r="L10" s="311"/>
      <c r="M10" s="311"/>
      <c r="N10" s="311"/>
      <c r="O10" s="313"/>
      <c r="P10" s="311"/>
      <c r="Q10" s="311"/>
      <c r="R10" s="311"/>
      <c r="S10" s="314"/>
      <c r="T10" s="311"/>
      <c r="U10" s="314"/>
      <c r="W10" s="310"/>
      <c r="X10" s="310"/>
      <c r="Y10" s="310"/>
      <c r="Z10" s="310"/>
      <c r="AA10" s="310"/>
      <c r="AB10" s="310"/>
    </row>
    <row r="11" spans="1:33">
      <c r="A11" s="311"/>
      <c r="B11" s="311"/>
      <c r="C11" s="311"/>
      <c r="D11" s="311"/>
      <c r="E11" s="311" t="s">
        <v>612</v>
      </c>
      <c r="F11" s="311"/>
      <c r="G11" s="312">
        <v>43774</v>
      </c>
      <c r="H11" s="311"/>
      <c r="I11" s="311"/>
      <c r="J11" s="311"/>
      <c r="K11" s="311" t="s">
        <v>613</v>
      </c>
      <c r="L11" s="311"/>
      <c r="M11" s="311"/>
      <c r="N11" s="311"/>
      <c r="O11" s="313"/>
      <c r="P11" s="311"/>
      <c r="Q11" s="311" t="s">
        <v>614</v>
      </c>
      <c r="R11" s="311"/>
      <c r="S11" s="314">
        <v>430</v>
      </c>
      <c r="T11" s="311"/>
      <c r="U11" s="314">
        <f t="shared" si="0"/>
        <v>430</v>
      </c>
      <c r="W11" s="315">
        <f>+S11</f>
        <v>430</v>
      </c>
      <c r="X11" s="310"/>
      <c r="Y11" s="310"/>
      <c r="Z11" s="310"/>
      <c r="AA11" s="310"/>
      <c r="AB11" s="310"/>
    </row>
    <row r="12" spans="1:33">
      <c r="A12" s="311"/>
      <c r="B12" s="311"/>
      <c r="C12" s="311"/>
      <c r="D12" s="311"/>
      <c r="E12" s="311" t="s">
        <v>612</v>
      </c>
      <c r="F12" s="311"/>
      <c r="G12" s="312">
        <v>43774</v>
      </c>
      <c r="H12" s="311"/>
      <c r="I12" s="311"/>
      <c r="J12" s="311"/>
      <c r="K12" s="311" t="s">
        <v>607</v>
      </c>
      <c r="L12" s="311"/>
      <c r="M12" s="311"/>
      <c r="N12" s="311"/>
      <c r="O12" s="313"/>
      <c r="P12" s="311"/>
      <c r="Q12" s="311" t="s">
        <v>614</v>
      </c>
      <c r="R12" s="311"/>
      <c r="S12" s="314">
        <v>350</v>
      </c>
      <c r="T12" s="311"/>
      <c r="U12" s="314">
        <f t="shared" si="0"/>
        <v>780</v>
      </c>
      <c r="W12" s="310"/>
      <c r="X12" s="315">
        <f>+S12</f>
        <v>350</v>
      </c>
      <c r="Y12" s="310"/>
      <c r="Z12" s="310"/>
      <c r="AA12" s="310"/>
      <c r="AB12" s="310"/>
    </row>
    <row r="13" spans="1:33">
      <c r="A13" s="311"/>
      <c r="B13" s="311"/>
      <c r="C13" s="311"/>
      <c r="D13" s="311"/>
      <c r="E13" s="311" t="s">
        <v>615</v>
      </c>
      <c r="F13" s="311"/>
      <c r="G13" s="312"/>
      <c r="H13" s="311"/>
      <c r="I13" s="311"/>
      <c r="J13" s="311"/>
      <c r="K13" s="311"/>
      <c r="L13" s="311"/>
      <c r="M13" s="311"/>
      <c r="N13" s="311"/>
      <c r="O13" s="313"/>
      <c r="P13" s="311"/>
      <c r="Q13" s="311"/>
      <c r="R13" s="311"/>
      <c r="S13" s="314">
        <v>100</v>
      </c>
      <c r="T13" s="311"/>
      <c r="U13" s="314">
        <f t="shared" si="0"/>
        <v>880</v>
      </c>
      <c r="W13" s="310"/>
      <c r="X13" s="310"/>
      <c r="Y13" s="310"/>
      <c r="Z13" s="310">
        <v>100</v>
      </c>
      <c r="AA13" s="310"/>
      <c r="AB13" s="310"/>
    </row>
    <row r="14" spans="1:33">
      <c r="A14" s="311"/>
      <c r="B14" s="311"/>
      <c r="C14" s="311"/>
      <c r="D14" s="311"/>
      <c r="E14" s="311" t="s">
        <v>612</v>
      </c>
      <c r="F14" s="311"/>
      <c r="G14" s="312">
        <v>43796</v>
      </c>
      <c r="H14" s="311"/>
      <c r="I14" s="311"/>
      <c r="J14" s="311"/>
      <c r="K14" s="311" t="s">
        <v>616</v>
      </c>
      <c r="L14" s="311"/>
      <c r="M14" s="311"/>
      <c r="N14" s="311"/>
      <c r="O14" s="313"/>
      <c r="P14" s="311"/>
      <c r="Q14" s="311" t="s">
        <v>614</v>
      </c>
      <c r="R14" s="311"/>
      <c r="S14" s="314">
        <v>339</v>
      </c>
      <c r="T14" s="311"/>
      <c r="U14" s="314">
        <f>ROUND(U13+S14,5)</f>
        <v>1219</v>
      </c>
      <c r="W14" s="310"/>
      <c r="X14" s="310"/>
      <c r="Y14" s="310"/>
      <c r="Z14" s="310"/>
      <c r="AA14" s="315">
        <f>+S14</f>
        <v>339</v>
      </c>
      <c r="AB14" s="310"/>
    </row>
    <row r="15" spans="1:33">
      <c r="A15" s="311"/>
      <c r="B15" s="311"/>
      <c r="C15" s="311"/>
      <c r="D15" s="311"/>
      <c r="E15" s="311"/>
      <c r="F15" s="311"/>
      <c r="G15" s="312"/>
      <c r="H15" s="311"/>
      <c r="I15" s="311"/>
      <c r="J15" s="311"/>
      <c r="K15" s="311"/>
      <c r="L15" s="311"/>
      <c r="M15" s="311"/>
      <c r="N15" s="311"/>
      <c r="O15" s="313"/>
      <c r="P15" s="311"/>
      <c r="Q15" s="311"/>
      <c r="R15" s="311"/>
      <c r="S15" s="314"/>
      <c r="T15" s="311"/>
      <c r="U15" s="314"/>
      <c r="W15" s="310"/>
      <c r="X15" s="310"/>
      <c r="Y15" s="310"/>
      <c r="Z15" s="310"/>
      <c r="AA15" s="310"/>
      <c r="AB15" s="310"/>
    </row>
    <row r="16" spans="1:33">
      <c r="A16" s="311"/>
      <c r="B16" s="311"/>
      <c r="C16" s="311"/>
      <c r="D16" s="311"/>
      <c r="E16" s="311" t="s">
        <v>612</v>
      </c>
      <c r="F16" s="311"/>
      <c r="G16" s="312">
        <v>43802</v>
      </c>
      <c r="H16" s="311"/>
      <c r="I16" s="311"/>
      <c r="J16" s="311"/>
      <c r="K16" s="311" t="s">
        <v>617</v>
      </c>
      <c r="L16" s="311"/>
      <c r="M16" s="311" t="s">
        <v>618</v>
      </c>
      <c r="N16" s="311"/>
      <c r="O16" s="313"/>
      <c r="P16" s="311"/>
      <c r="Q16" s="311" t="s">
        <v>614</v>
      </c>
      <c r="R16" s="311"/>
      <c r="S16" s="314">
        <v>38.75</v>
      </c>
      <c r="T16" s="311"/>
      <c r="U16" s="314">
        <f t="shared" si="0"/>
        <v>38.75</v>
      </c>
      <c r="W16" s="310"/>
      <c r="X16" s="310"/>
      <c r="Y16" s="310"/>
      <c r="Z16" s="315">
        <f>+S16</f>
        <v>38.75</v>
      </c>
      <c r="AA16" s="310"/>
      <c r="AB16" s="310"/>
    </row>
    <row r="17" spans="1:28">
      <c r="A17" s="311"/>
      <c r="B17" s="311"/>
      <c r="C17" s="311"/>
      <c r="D17" s="311"/>
      <c r="E17" s="311" t="s">
        <v>612</v>
      </c>
      <c r="F17" s="311"/>
      <c r="G17" s="312">
        <v>43809</v>
      </c>
      <c r="H17" s="311"/>
      <c r="I17" s="311"/>
      <c r="J17" s="311"/>
      <c r="K17" s="311" t="s">
        <v>613</v>
      </c>
      <c r="L17" s="311"/>
      <c r="M17" s="311"/>
      <c r="N17" s="311"/>
      <c r="O17" s="313"/>
      <c r="P17" s="311"/>
      <c r="Q17" s="311" t="s">
        <v>614</v>
      </c>
      <c r="R17" s="311"/>
      <c r="S17" s="314">
        <v>430</v>
      </c>
      <c r="T17" s="311"/>
      <c r="U17" s="314">
        <f t="shared" si="0"/>
        <v>468.75</v>
      </c>
      <c r="W17" s="315">
        <f>+S17</f>
        <v>430</v>
      </c>
      <c r="X17" s="310"/>
      <c r="Y17" s="310"/>
      <c r="Z17" s="310"/>
      <c r="AA17" s="310"/>
      <c r="AB17" s="310"/>
    </row>
    <row r="18" spans="1:28">
      <c r="A18" s="311"/>
      <c r="B18" s="311"/>
      <c r="C18" s="311"/>
      <c r="D18" s="311"/>
      <c r="E18" s="311" t="s">
        <v>612</v>
      </c>
      <c r="F18" s="311"/>
      <c r="G18" s="312">
        <v>43809</v>
      </c>
      <c r="H18" s="311"/>
      <c r="I18" s="311"/>
      <c r="J18" s="311"/>
      <c r="K18" s="311" t="s">
        <v>607</v>
      </c>
      <c r="L18" s="311"/>
      <c r="M18" s="311"/>
      <c r="N18" s="311"/>
      <c r="O18" s="313"/>
      <c r="P18" s="311"/>
      <c r="Q18" s="311" t="s">
        <v>614</v>
      </c>
      <c r="R18" s="311"/>
      <c r="S18" s="314">
        <v>350</v>
      </c>
      <c r="T18" s="311"/>
      <c r="U18" s="314">
        <f t="shared" si="0"/>
        <v>818.75</v>
      </c>
      <c r="W18" s="310"/>
      <c r="X18" s="315">
        <f>+S18</f>
        <v>350</v>
      </c>
      <c r="Y18" s="310"/>
      <c r="Z18" s="310"/>
      <c r="AA18" s="310"/>
      <c r="AB18" s="310"/>
    </row>
    <row r="19" spans="1:28">
      <c r="A19" s="311"/>
      <c r="B19" s="311"/>
      <c r="C19" s="311"/>
      <c r="D19" s="311"/>
      <c r="E19" s="311" t="s">
        <v>612</v>
      </c>
      <c r="F19" s="311"/>
      <c r="G19" s="312">
        <v>43811</v>
      </c>
      <c r="H19" s="311"/>
      <c r="I19" s="311"/>
      <c r="J19" s="311"/>
      <c r="K19" s="311" t="s">
        <v>619</v>
      </c>
      <c r="L19" s="311"/>
      <c r="M19" s="311" t="s">
        <v>620</v>
      </c>
      <c r="N19" s="311"/>
      <c r="O19" s="313"/>
      <c r="P19" s="311"/>
      <c r="Q19" s="311" t="s">
        <v>614</v>
      </c>
      <c r="R19" s="311"/>
      <c r="S19" s="314">
        <v>100</v>
      </c>
      <c r="T19" s="311"/>
      <c r="U19" s="314">
        <f t="shared" si="0"/>
        <v>918.75</v>
      </c>
      <c r="W19" s="310"/>
      <c r="X19" s="310"/>
      <c r="Y19" s="310"/>
      <c r="Z19" s="315">
        <f>+S19</f>
        <v>100</v>
      </c>
      <c r="AA19" s="310"/>
      <c r="AB19" s="310"/>
    </row>
    <row r="20" spans="1:28">
      <c r="A20" s="311"/>
      <c r="B20" s="311"/>
      <c r="C20" s="311"/>
      <c r="D20" s="311"/>
      <c r="E20" s="311" t="s">
        <v>621</v>
      </c>
      <c r="F20" s="311"/>
      <c r="G20" s="312">
        <v>43817</v>
      </c>
      <c r="H20" s="311"/>
      <c r="I20" s="311" t="s">
        <v>622</v>
      </c>
      <c r="J20" s="311"/>
      <c r="K20" s="311" t="s">
        <v>623</v>
      </c>
      <c r="L20" s="311"/>
      <c r="M20" s="311" t="s">
        <v>624</v>
      </c>
      <c r="N20" s="311"/>
      <c r="O20" s="313"/>
      <c r="P20" s="311"/>
      <c r="Q20" s="311" t="s">
        <v>625</v>
      </c>
      <c r="R20" s="311"/>
      <c r="S20" s="314">
        <v>100</v>
      </c>
      <c r="T20" s="311"/>
      <c r="U20" s="314">
        <f t="shared" si="0"/>
        <v>1018.75</v>
      </c>
      <c r="W20" s="310"/>
      <c r="X20" s="310"/>
      <c r="Y20" s="310"/>
      <c r="Z20" s="315">
        <f>+S20</f>
        <v>100</v>
      </c>
      <c r="AA20" s="310"/>
      <c r="AB20" s="310"/>
    </row>
    <row r="21" spans="1:28">
      <c r="A21" s="311"/>
      <c r="B21" s="311"/>
      <c r="C21" s="311"/>
      <c r="D21" s="311"/>
      <c r="E21" s="311"/>
      <c r="F21" s="311"/>
      <c r="G21" s="312"/>
      <c r="H21" s="311"/>
      <c r="I21" s="311"/>
      <c r="J21" s="311"/>
      <c r="K21" s="311"/>
      <c r="L21" s="311"/>
      <c r="M21" s="311"/>
      <c r="N21" s="311"/>
      <c r="O21" s="313"/>
      <c r="P21" s="311"/>
      <c r="Q21" s="311"/>
      <c r="R21" s="311"/>
      <c r="S21" s="314"/>
      <c r="T21" s="311"/>
      <c r="U21" s="314"/>
      <c r="W21" s="310"/>
      <c r="X21" s="310"/>
      <c r="Y21" s="310"/>
      <c r="Z21" s="310"/>
      <c r="AA21" s="310"/>
      <c r="AB21" s="310"/>
    </row>
    <row r="22" spans="1:28">
      <c r="A22" s="311"/>
      <c r="B22" s="311"/>
      <c r="C22" s="311"/>
      <c r="D22" s="311"/>
      <c r="E22" s="311" t="s">
        <v>621</v>
      </c>
      <c r="F22" s="311"/>
      <c r="G22" s="312">
        <v>43832</v>
      </c>
      <c r="H22" s="311"/>
      <c r="I22" s="311" t="s">
        <v>626</v>
      </c>
      <c r="J22" s="311"/>
      <c r="K22" s="311" t="s">
        <v>627</v>
      </c>
      <c r="L22" s="311"/>
      <c r="M22" s="311" t="s">
        <v>620</v>
      </c>
      <c r="N22" s="311"/>
      <c r="O22" s="313"/>
      <c r="P22" s="311"/>
      <c r="Q22" s="311" t="s">
        <v>625</v>
      </c>
      <c r="R22" s="311"/>
      <c r="S22" s="314">
        <v>100</v>
      </c>
      <c r="T22" s="311"/>
      <c r="U22" s="314">
        <f t="shared" si="0"/>
        <v>100</v>
      </c>
      <c r="W22" s="310"/>
      <c r="X22" s="310"/>
      <c r="Y22" s="310"/>
      <c r="Z22" s="315">
        <f>+S22</f>
        <v>100</v>
      </c>
      <c r="AA22" s="310"/>
      <c r="AB22" s="310"/>
    </row>
    <row r="23" spans="1:28">
      <c r="A23" s="311"/>
      <c r="B23" s="311"/>
      <c r="C23" s="311"/>
      <c r="D23" s="311"/>
      <c r="E23" s="311" t="s">
        <v>612</v>
      </c>
      <c r="F23" s="311"/>
      <c r="G23" s="312">
        <v>43832</v>
      </c>
      <c r="H23" s="311"/>
      <c r="I23" s="311"/>
      <c r="J23" s="311"/>
      <c r="K23" s="311" t="s">
        <v>628</v>
      </c>
      <c r="L23" s="311"/>
      <c r="M23" s="311"/>
      <c r="N23" s="311"/>
      <c r="O23" s="313"/>
      <c r="P23" s="311"/>
      <c r="Q23" s="311" t="s">
        <v>614</v>
      </c>
      <c r="R23" s="311"/>
      <c r="S23" s="314">
        <v>1255</v>
      </c>
      <c r="T23" s="311"/>
      <c r="U23" s="314">
        <f t="shared" si="0"/>
        <v>1355</v>
      </c>
      <c r="W23" s="310"/>
      <c r="X23" s="310"/>
      <c r="Y23" s="310"/>
      <c r="Z23" s="315">
        <f>+S23</f>
        <v>1255</v>
      </c>
      <c r="AA23" s="310"/>
      <c r="AB23" s="310"/>
    </row>
    <row r="24" spans="1:28">
      <c r="A24" s="311"/>
      <c r="B24" s="311"/>
      <c r="C24" s="311"/>
      <c r="D24" s="311"/>
      <c r="E24" s="311" t="s">
        <v>612</v>
      </c>
      <c r="F24" s="311"/>
      <c r="G24" s="312">
        <v>43833</v>
      </c>
      <c r="H24" s="311"/>
      <c r="I24" s="311"/>
      <c r="J24" s="311"/>
      <c r="K24" s="311" t="s">
        <v>613</v>
      </c>
      <c r="L24" s="311"/>
      <c r="M24" s="311"/>
      <c r="N24" s="311"/>
      <c r="O24" s="313"/>
      <c r="P24" s="311"/>
      <c r="Q24" s="311" t="s">
        <v>614</v>
      </c>
      <c r="R24" s="311"/>
      <c r="S24" s="314">
        <v>430</v>
      </c>
      <c r="T24" s="311"/>
      <c r="U24" s="314">
        <f t="shared" si="0"/>
        <v>1785</v>
      </c>
      <c r="W24" s="315">
        <f>+S24</f>
        <v>430</v>
      </c>
      <c r="X24" s="310"/>
      <c r="Y24" s="310"/>
      <c r="Z24" s="310"/>
      <c r="AA24" s="310"/>
      <c r="AB24" s="310"/>
    </row>
    <row r="25" spans="1:28">
      <c r="A25" s="311"/>
      <c r="B25" s="311"/>
      <c r="C25" s="311"/>
      <c r="D25" s="311"/>
      <c r="E25" s="311" t="s">
        <v>612</v>
      </c>
      <c r="F25" s="311"/>
      <c r="G25" s="312">
        <v>43837</v>
      </c>
      <c r="H25" s="311"/>
      <c r="I25" s="311"/>
      <c r="J25" s="311"/>
      <c r="K25" s="311" t="s">
        <v>607</v>
      </c>
      <c r="L25" s="311"/>
      <c r="M25" s="311"/>
      <c r="N25" s="311"/>
      <c r="O25" s="313"/>
      <c r="P25" s="311"/>
      <c r="Q25" s="311" t="s">
        <v>614</v>
      </c>
      <c r="R25" s="311"/>
      <c r="S25" s="314">
        <v>350</v>
      </c>
      <c r="T25" s="311"/>
      <c r="U25" s="314">
        <f t="shared" si="0"/>
        <v>2135</v>
      </c>
      <c r="W25" s="310"/>
      <c r="X25" s="315">
        <f>+S25</f>
        <v>350</v>
      </c>
      <c r="Y25" s="310"/>
      <c r="Z25" s="310"/>
      <c r="AA25" s="310"/>
      <c r="AB25" s="310"/>
    </row>
    <row r="26" spans="1:28">
      <c r="A26" s="311"/>
      <c r="B26" s="311"/>
      <c r="C26" s="311"/>
      <c r="D26" s="311"/>
      <c r="E26" s="311"/>
      <c r="F26" s="311"/>
      <c r="G26" s="312"/>
      <c r="H26" s="311"/>
      <c r="I26" s="311"/>
      <c r="J26" s="311"/>
      <c r="K26" s="311"/>
      <c r="L26" s="311"/>
      <c r="M26" s="311"/>
      <c r="N26" s="311"/>
      <c r="O26" s="313"/>
      <c r="P26" s="311"/>
      <c r="Q26" s="311"/>
      <c r="R26" s="311"/>
      <c r="S26" s="314"/>
      <c r="T26" s="311"/>
      <c r="U26" s="314"/>
      <c r="W26" s="310"/>
      <c r="X26" s="310"/>
      <c r="Y26" s="310"/>
      <c r="Z26" s="310"/>
      <c r="AA26" s="310"/>
      <c r="AB26" s="310"/>
    </row>
    <row r="27" spans="1:28">
      <c r="A27" s="311"/>
      <c r="B27" s="311"/>
      <c r="C27" s="311"/>
      <c r="D27" s="311"/>
      <c r="E27" s="311" t="s">
        <v>612</v>
      </c>
      <c r="F27" s="311"/>
      <c r="G27" s="312">
        <v>43865</v>
      </c>
      <c r="H27" s="311"/>
      <c r="I27" s="311"/>
      <c r="J27" s="311"/>
      <c r="K27" s="311" t="s">
        <v>613</v>
      </c>
      <c r="L27" s="311"/>
      <c r="M27" s="311"/>
      <c r="N27" s="311"/>
      <c r="O27" s="313"/>
      <c r="P27" s="311"/>
      <c r="Q27" s="311" t="s">
        <v>614</v>
      </c>
      <c r="R27" s="311"/>
      <c r="S27" s="314">
        <v>430</v>
      </c>
      <c r="T27" s="311"/>
      <c r="U27" s="314">
        <f t="shared" si="0"/>
        <v>430</v>
      </c>
      <c r="W27" s="315">
        <f>+S27</f>
        <v>430</v>
      </c>
      <c r="X27" s="310"/>
      <c r="Y27" s="310"/>
      <c r="Z27" s="310"/>
      <c r="AA27" s="310"/>
      <c r="AB27" s="310"/>
    </row>
    <row r="28" spans="1:28">
      <c r="A28" s="311"/>
      <c r="B28" s="311"/>
      <c r="C28" s="311"/>
      <c r="D28" s="311"/>
      <c r="E28" s="311" t="s">
        <v>612</v>
      </c>
      <c r="F28" s="311"/>
      <c r="G28" s="312">
        <v>43865</v>
      </c>
      <c r="H28" s="311"/>
      <c r="I28" s="311"/>
      <c r="J28" s="311"/>
      <c r="K28" s="311" t="s">
        <v>629</v>
      </c>
      <c r="L28" s="311"/>
      <c r="M28" s="311" t="s">
        <v>630</v>
      </c>
      <c r="N28" s="311"/>
      <c r="O28" s="313"/>
      <c r="P28" s="311"/>
      <c r="Q28" s="311" t="s">
        <v>614</v>
      </c>
      <c r="R28" s="311"/>
      <c r="S28" s="314">
        <v>50</v>
      </c>
      <c r="T28" s="311"/>
      <c r="U28" s="314">
        <f t="shared" si="0"/>
        <v>480</v>
      </c>
      <c r="W28" s="310"/>
      <c r="X28" s="310"/>
      <c r="Y28" s="310"/>
      <c r="Z28" s="315">
        <f>+S28</f>
        <v>50</v>
      </c>
      <c r="AA28" s="310"/>
      <c r="AB28" s="310"/>
    </row>
    <row r="29" spans="1:28">
      <c r="A29" s="311"/>
      <c r="B29" s="311"/>
      <c r="C29" s="311"/>
      <c r="D29" s="311"/>
      <c r="E29" s="311" t="s">
        <v>612</v>
      </c>
      <c r="F29" s="311"/>
      <c r="G29" s="312">
        <v>43865</v>
      </c>
      <c r="H29" s="311"/>
      <c r="I29" s="311"/>
      <c r="J29" s="311"/>
      <c r="K29" s="311" t="s">
        <v>631</v>
      </c>
      <c r="L29" s="311"/>
      <c r="M29" s="311"/>
      <c r="N29" s="311"/>
      <c r="O29" s="313"/>
      <c r="P29" s="311"/>
      <c r="Q29" s="311" t="s">
        <v>614</v>
      </c>
      <c r="R29" s="311"/>
      <c r="S29" s="314">
        <v>250</v>
      </c>
      <c r="T29" s="311"/>
      <c r="U29" s="314">
        <f t="shared" si="0"/>
        <v>730</v>
      </c>
      <c r="W29" s="310"/>
      <c r="X29" s="310"/>
      <c r="Y29" s="310"/>
      <c r="Z29" s="315">
        <f>+S29</f>
        <v>250</v>
      </c>
      <c r="AA29" s="310"/>
      <c r="AB29" s="310"/>
    </row>
    <row r="30" spans="1:28">
      <c r="A30" s="311"/>
      <c r="B30" s="311"/>
      <c r="C30" s="311"/>
      <c r="D30" s="311"/>
      <c r="E30" s="311" t="s">
        <v>615</v>
      </c>
      <c r="F30" s="311"/>
      <c r="G30" s="312"/>
      <c r="H30" s="311"/>
      <c r="I30" s="311"/>
      <c r="J30" s="311"/>
      <c r="K30" s="311"/>
      <c r="L30" s="311"/>
      <c r="M30" s="311"/>
      <c r="N30" s="311"/>
      <c r="O30" s="313"/>
      <c r="P30" s="311"/>
      <c r="Q30" s="311"/>
      <c r="R30" s="311"/>
      <c r="S30" s="314">
        <v>100</v>
      </c>
      <c r="T30" s="311"/>
      <c r="U30" s="314">
        <f t="shared" si="0"/>
        <v>830</v>
      </c>
      <c r="W30" s="310"/>
      <c r="X30" s="310"/>
      <c r="Y30" s="310"/>
      <c r="Z30" s="315">
        <f>+S30</f>
        <v>100</v>
      </c>
      <c r="AA30" s="310"/>
      <c r="AB30" s="310"/>
    </row>
    <row r="31" spans="1:28">
      <c r="A31" s="311"/>
      <c r="B31" s="311"/>
      <c r="C31" s="311"/>
      <c r="D31" s="311"/>
      <c r="E31" s="311" t="s">
        <v>615</v>
      </c>
      <c r="F31" s="311"/>
      <c r="G31" s="312"/>
      <c r="H31" s="311"/>
      <c r="I31" s="311"/>
      <c r="J31" s="311"/>
      <c r="K31" s="311"/>
      <c r="L31" s="311"/>
      <c r="M31" s="311"/>
      <c r="N31" s="311"/>
      <c r="O31" s="313"/>
      <c r="P31" s="311"/>
      <c r="Q31" s="311"/>
      <c r="R31" s="311"/>
      <c r="S31" s="314">
        <v>50</v>
      </c>
      <c r="T31" s="311"/>
      <c r="U31" s="314">
        <f t="shared" si="0"/>
        <v>880</v>
      </c>
      <c r="W31" s="310"/>
      <c r="X31" s="310"/>
      <c r="Y31" s="310"/>
      <c r="Z31" s="315">
        <f>+S31</f>
        <v>50</v>
      </c>
      <c r="AA31" s="310"/>
      <c r="AB31" s="310"/>
    </row>
    <row r="32" spans="1:28">
      <c r="A32" s="311"/>
      <c r="B32" s="311"/>
      <c r="C32" s="311"/>
      <c r="D32" s="311"/>
      <c r="E32" s="311" t="s">
        <v>612</v>
      </c>
      <c r="F32" s="311"/>
      <c r="G32" s="312">
        <v>43868</v>
      </c>
      <c r="H32" s="311"/>
      <c r="I32" s="311"/>
      <c r="J32" s="311"/>
      <c r="K32" s="311" t="s">
        <v>607</v>
      </c>
      <c r="L32" s="311"/>
      <c r="M32" s="311"/>
      <c r="N32" s="311"/>
      <c r="O32" s="313"/>
      <c r="P32" s="311"/>
      <c r="Q32" s="311" t="s">
        <v>614</v>
      </c>
      <c r="R32" s="311"/>
      <c r="S32" s="314">
        <v>350</v>
      </c>
      <c r="T32" s="311"/>
      <c r="U32" s="314">
        <f>ROUND(U31+S32,5)</f>
        <v>1230</v>
      </c>
      <c r="W32" s="310"/>
      <c r="X32" s="315">
        <f>+S32</f>
        <v>350</v>
      </c>
      <c r="Y32" s="310"/>
      <c r="Z32" s="310"/>
      <c r="AA32" s="310"/>
      <c r="AB32" s="310"/>
    </row>
    <row r="33" spans="1:28">
      <c r="A33" s="311"/>
      <c r="B33" s="311"/>
      <c r="C33" s="311"/>
      <c r="D33" s="311"/>
      <c r="E33" s="311"/>
      <c r="F33" s="311"/>
      <c r="G33" s="312"/>
      <c r="H33" s="311"/>
      <c r="I33" s="311"/>
      <c r="J33" s="311"/>
      <c r="K33" s="311"/>
      <c r="L33" s="311"/>
      <c r="M33" s="311"/>
      <c r="N33" s="311"/>
      <c r="O33" s="313"/>
      <c r="P33" s="311"/>
      <c r="Q33" s="311"/>
      <c r="R33" s="311"/>
      <c r="S33" s="314"/>
      <c r="T33" s="311"/>
      <c r="U33" s="314"/>
      <c r="W33" s="310"/>
      <c r="X33" s="310"/>
      <c r="Y33" s="310"/>
      <c r="Z33" s="310"/>
      <c r="AA33" s="310"/>
      <c r="AB33" s="310"/>
    </row>
    <row r="34" spans="1:28">
      <c r="A34" s="311"/>
      <c r="B34" s="311"/>
      <c r="C34" s="311"/>
      <c r="D34" s="311"/>
      <c r="E34" s="311" t="s">
        <v>612</v>
      </c>
      <c r="F34" s="311"/>
      <c r="G34" s="312">
        <v>43894</v>
      </c>
      <c r="H34" s="311"/>
      <c r="I34" s="311"/>
      <c r="J34" s="311"/>
      <c r="K34" s="311" t="s">
        <v>613</v>
      </c>
      <c r="L34" s="311"/>
      <c r="M34" s="311"/>
      <c r="N34" s="311"/>
      <c r="O34" s="313"/>
      <c r="P34" s="311"/>
      <c r="Q34" s="311" t="s">
        <v>614</v>
      </c>
      <c r="R34" s="311"/>
      <c r="S34" s="314">
        <v>430</v>
      </c>
      <c r="T34" s="311"/>
      <c r="U34" s="314">
        <f t="shared" si="0"/>
        <v>430</v>
      </c>
      <c r="W34" s="315">
        <f>+S34</f>
        <v>430</v>
      </c>
      <c r="X34" s="310"/>
      <c r="Y34" s="310"/>
      <c r="Z34" s="310"/>
      <c r="AA34" s="310"/>
      <c r="AB34" s="310"/>
    </row>
    <row r="35" spans="1:28">
      <c r="A35" s="311"/>
      <c r="B35" s="311"/>
      <c r="C35" s="311"/>
      <c r="D35" s="311"/>
      <c r="E35" s="311" t="s">
        <v>612</v>
      </c>
      <c r="F35" s="311"/>
      <c r="G35" s="312">
        <v>43901</v>
      </c>
      <c r="H35" s="311"/>
      <c r="I35" s="311"/>
      <c r="J35" s="311"/>
      <c r="K35" s="311" t="s">
        <v>607</v>
      </c>
      <c r="L35" s="311"/>
      <c r="M35" s="311"/>
      <c r="N35" s="311"/>
      <c r="O35" s="313"/>
      <c r="P35" s="311"/>
      <c r="Q35" s="311" t="s">
        <v>614</v>
      </c>
      <c r="R35" s="311"/>
      <c r="S35" s="314">
        <v>350</v>
      </c>
      <c r="T35" s="311"/>
      <c r="U35" s="314">
        <f t="shared" si="0"/>
        <v>780</v>
      </c>
      <c r="W35" s="310"/>
      <c r="X35" s="315">
        <f>+S35</f>
        <v>350</v>
      </c>
      <c r="Y35" s="310"/>
      <c r="Z35" s="310"/>
      <c r="AA35" s="310"/>
      <c r="AB35" s="310"/>
    </row>
    <row r="36" spans="1:28">
      <c r="A36" s="311"/>
      <c r="B36" s="311"/>
      <c r="C36" s="311"/>
      <c r="D36" s="311"/>
      <c r="E36" s="311"/>
      <c r="F36" s="311"/>
      <c r="G36" s="312"/>
      <c r="H36" s="311"/>
      <c r="I36" s="311"/>
      <c r="J36" s="311"/>
      <c r="K36" s="311"/>
      <c r="L36" s="311"/>
      <c r="M36" s="311"/>
      <c r="N36" s="311"/>
      <c r="O36" s="313"/>
      <c r="P36" s="311"/>
      <c r="Q36" s="311"/>
      <c r="R36" s="311"/>
      <c r="S36" s="314"/>
      <c r="T36" s="311"/>
      <c r="U36" s="314"/>
      <c r="W36" s="310"/>
      <c r="X36" s="310"/>
      <c r="Y36" s="310"/>
      <c r="Z36" s="310"/>
      <c r="AA36" s="310"/>
      <c r="AB36" s="310"/>
    </row>
    <row r="37" spans="1:28">
      <c r="A37" s="311"/>
      <c r="B37" s="311"/>
      <c r="C37" s="311"/>
      <c r="D37" s="311"/>
      <c r="E37" s="311" t="s">
        <v>612</v>
      </c>
      <c r="F37" s="311"/>
      <c r="G37" s="312">
        <v>43927</v>
      </c>
      <c r="H37" s="311"/>
      <c r="I37" s="311"/>
      <c r="J37" s="311"/>
      <c r="K37" s="311" t="s">
        <v>613</v>
      </c>
      <c r="L37" s="311"/>
      <c r="M37" s="311"/>
      <c r="N37" s="311"/>
      <c r="O37" s="313"/>
      <c r="P37" s="311"/>
      <c r="Q37" s="311" t="s">
        <v>614</v>
      </c>
      <c r="R37" s="311"/>
      <c r="S37" s="314">
        <v>430</v>
      </c>
      <c r="T37" s="311"/>
      <c r="U37" s="314">
        <f t="shared" si="0"/>
        <v>430</v>
      </c>
      <c r="W37" s="315">
        <f>+S37</f>
        <v>430</v>
      </c>
      <c r="X37" s="310"/>
      <c r="Y37" s="310"/>
      <c r="Z37" s="310"/>
      <c r="AA37" s="310"/>
      <c r="AB37" s="310"/>
    </row>
    <row r="38" spans="1:28">
      <c r="A38" s="311"/>
      <c r="B38" s="311"/>
      <c r="C38" s="311"/>
      <c r="D38" s="311"/>
      <c r="E38" s="311" t="s">
        <v>612</v>
      </c>
      <c r="F38" s="311"/>
      <c r="G38" s="312">
        <v>43936</v>
      </c>
      <c r="H38" s="311"/>
      <c r="I38" s="311"/>
      <c r="J38" s="311"/>
      <c r="K38" s="311" t="s">
        <v>632</v>
      </c>
      <c r="L38" s="311"/>
      <c r="M38" s="311"/>
      <c r="N38" s="311"/>
      <c r="O38" s="313"/>
      <c r="P38" s="311"/>
      <c r="Q38" s="311" t="s">
        <v>614</v>
      </c>
      <c r="R38" s="311"/>
      <c r="S38" s="314">
        <v>432</v>
      </c>
      <c r="T38" s="311"/>
      <c r="U38" s="314">
        <f t="shared" si="0"/>
        <v>862</v>
      </c>
      <c r="W38" s="310"/>
      <c r="X38" s="310"/>
      <c r="Y38" s="310"/>
      <c r="Z38" s="310"/>
      <c r="AA38" s="315">
        <f>+S38</f>
        <v>432</v>
      </c>
      <c r="AB38" s="310"/>
    </row>
    <row r="39" spans="1:28">
      <c r="A39" s="311"/>
      <c r="B39" s="311"/>
      <c r="C39" s="311"/>
      <c r="D39" s="311"/>
      <c r="E39" s="311" t="s">
        <v>633</v>
      </c>
      <c r="F39" s="311"/>
      <c r="G39" s="312">
        <v>43941</v>
      </c>
      <c r="H39" s="311"/>
      <c r="I39" s="311"/>
      <c r="J39" s="311"/>
      <c r="K39" s="311" t="s">
        <v>629</v>
      </c>
      <c r="L39" s="311"/>
      <c r="M39" s="311" t="s">
        <v>633</v>
      </c>
      <c r="N39" s="311"/>
      <c r="O39" s="313"/>
      <c r="P39" s="311"/>
      <c r="Q39" s="311" t="s">
        <v>625</v>
      </c>
      <c r="R39" s="311"/>
      <c r="S39" s="314">
        <v>-50</v>
      </c>
      <c r="T39" s="311"/>
      <c r="U39" s="314">
        <f t="shared" si="0"/>
        <v>812</v>
      </c>
      <c r="W39" s="310"/>
      <c r="X39" s="310"/>
      <c r="Y39" s="310"/>
      <c r="Z39" s="315">
        <f>+S39</f>
        <v>-50</v>
      </c>
      <c r="AA39" s="310"/>
      <c r="AB39" s="310"/>
    </row>
    <row r="40" spans="1:28">
      <c r="A40" s="311"/>
      <c r="B40" s="311"/>
      <c r="C40" s="311"/>
      <c r="D40" s="311"/>
      <c r="E40" s="311" t="s">
        <v>612</v>
      </c>
      <c r="F40" s="311"/>
      <c r="G40" s="312">
        <v>43944</v>
      </c>
      <c r="H40" s="311"/>
      <c r="I40" s="311"/>
      <c r="J40" s="311"/>
      <c r="K40" s="311" t="s">
        <v>607</v>
      </c>
      <c r="L40" s="311"/>
      <c r="M40" s="311"/>
      <c r="N40" s="311"/>
      <c r="O40" s="313"/>
      <c r="P40" s="311"/>
      <c r="Q40" s="311" t="s">
        <v>614</v>
      </c>
      <c r="R40" s="311"/>
      <c r="S40" s="314">
        <v>350</v>
      </c>
      <c r="T40" s="311"/>
      <c r="U40" s="314">
        <f t="shared" si="0"/>
        <v>1162</v>
      </c>
      <c r="W40" s="310"/>
      <c r="X40" s="315">
        <f>+S40</f>
        <v>350</v>
      </c>
      <c r="Y40" s="310"/>
      <c r="Z40" s="310"/>
      <c r="AA40" s="310"/>
      <c r="AB40" s="310"/>
    </row>
    <row r="41" spans="1:28">
      <c r="A41" s="311"/>
      <c r="B41" s="311"/>
      <c r="C41" s="311"/>
      <c r="D41" s="311"/>
      <c r="E41" s="311"/>
      <c r="F41" s="311"/>
      <c r="G41" s="312"/>
      <c r="H41" s="311"/>
      <c r="I41" s="311"/>
      <c r="J41" s="311"/>
      <c r="K41" s="311"/>
      <c r="L41" s="311"/>
      <c r="M41" s="311"/>
      <c r="N41" s="311"/>
      <c r="O41" s="313"/>
      <c r="P41" s="311"/>
      <c r="Q41" s="311"/>
      <c r="R41" s="311"/>
      <c r="S41" s="314"/>
      <c r="T41" s="311"/>
      <c r="U41" s="314"/>
      <c r="W41" s="310"/>
      <c r="X41" s="310"/>
      <c r="Y41" s="310"/>
      <c r="Z41" s="310"/>
      <c r="AA41" s="310"/>
      <c r="AB41" s="310"/>
    </row>
    <row r="42" spans="1:28">
      <c r="A42" s="311"/>
      <c r="B42" s="311"/>
      <c r="C42" s="311"/>
      <c r="D42" s="311"/>
      <c r="E42" s="311" t="s">
        <v>612</v>
      </c>
      <c r="F42" s="311"/>
      <c r="G42" s="312">
        <v>43957</v>
      </c>
      <c r="H42" s="311"/>
      <c r="I42" s="311"/>
      <c r="J42" s="311"/>
      <c r="K42" s="311" t="s">
        <v>613</v>
      </c>
      <c r="L42" s="311"/>
      <c r="M42" s="311"/>
      <c r="N42" s="311"/>
      <c r="O42" s="313"/>
      <c r="P42" s="311"/>
      <c r="Q42" s="311" t="s">
        <v>614</v>
      </c>
      <c r="R42" s="311"/>
      <c r="S42" s="314">
        <v>430</v>
      </c>
      <c r="T42" s="311"/>
      <c r="U42" s="314">
        <f t="shared" ref="U42:U59" si="1">ROUND(U41+S42,5)</f>
        <v>430</v>
      </c>
      <c r="W42" s="315">
        <f>+S42</f>
        <v>430</v>
      </c>
      <c r="X42" s="310"/>
      <c r="Y42" s="310"/>
      <c r="Z42" s="310"/>
      <c r="AA42" s="310"/>
      <c r="AB42" s="310"/>
    </row>
    <row r="43" spans="1:28">
      <c r="A43" s="311"/>
      <c r="B43" s="311"/>
      <c r="C43" s="311"/>
      <c r="D43" s="311"/>
      <c r="E43" s="311" t="s">
        <v>612</v>
      </c>
      <c r="F43" s="311"/>
      <c r="G43" s="312">
        <v>43963</v>
      </c>
      <c r="H43" s="311"/>
      <c r="I43" s="311"/>
      <c r="J43" s="311"/>
      <c r="K43" s="311" t="s">
        <v>607</v>
      </c>
      <c r="L43" s="311"/>
      <c r="M43" s="311"/>
      <c r="N43" s="311"/>
      <c r="O43" s="313"/>
      <c r="P43" s="311"/>
      <c r="Q43" s="311" t="s">
        <v>614</v>
      </c>
      <c r="R43" s="311"/>
      <c r="S43" s="314">
        <v>350</v>
      </c>
      <c r="T43" s="311"/>
      <c r="U43" s="314">
        <f t="shared" si="1"/>
        <v>780</v>
      </c>
      <c r="W43" s="310"/>
      <c r="X43" s="315">
        <f>+S43</f>
        <v>350</v>
      </c>
      <c r="Y43" s="310"/>
      <c r="Z43" s="310"/>
      <c r="AA43" s="310"/>
      <c r="AB43" s="310"/>
    </row>
    <row r="44" spans="1:28">
      <c r="A44" s="311"/>
      <c r="B44" s="311"/>
      <c r="C44" s="311"/>
      <c r="D44" s="311"/>
      <c r="E44" s="311"/>
      <c r="F44" s="311"/>
      <c r="G44" s="312"/>
      <c r="H44" s="311"/>
      <c r="I44" s="311"/>
      <c r="J44" s="311"/>
      <c r="K44" s="311"/>
      <c r="L44" s="311"/>
      <c r="M44" s="311"/>
      <c r="N44" s="311"/>
      <c r="O44" s="313"/>
      <c r="P44" s="311"/>
      <c r="Q44" s="311"/>
      <c r="R44" s="311"/>
      <c r="S44" s="314"/>
      <c r="T44" s="311"/>
      <c r="U44" s="314"/>
      <c r="W44" s="310"/>
      <c r="X44" s="310"/>
      <c r="Y44" s="310"/>
      <c r="Z44" s="310"/>
      <c r="AA44" s="310"/>
      <c r="AB44" s="310"/>
    </row>
    <row r="45" spans="1:28">
      <c r="A45" s="311"/>
      <c r="B45" s="311"/>
      <c r="C45" s="311"/>
      <c r="D45" s="311"/>
      <c r="E45" s="311" t="s">
        <v>612</v>
      </c>
      <c r="F45" s="311"/>
      <c r="G45" s="312">
        <v>43985</v>
      </c>
      <c r="H45" s="311"/>
      <c r="I45" s="311"/>
      <c r="J45" s="311"/>
      <c r="K45" s="311" t="s">
        <v>631</v>
      </c>
      <c r="L45" s="311"/>
      <c r="M45" s="311"/>
      <c r="N45" s="311"/>
      <c r="O45" s="313"/>
      <c r="P45" s="311"/>
      <c r="Q45" s="311" t="s">
        <v>614</v>
      </c>
      <c r="R45" s="311"/>
      <c r="S45" s="314">
        <v>50</v>
      </c>
      <c r="T45" s="311"/>
      <c r="U45" s="314">
        <f t="shared" si="1"/>
        <v>50</v>
      </c>
      <c r="W45" s="310"/>
      <c r="X45" s="310"/>
      <c r="Y45" s="310"/>
      <c r="Z45" s="315">
        <f>+S45</f>
        <v>50</v>
      </c>
      <c r="AA45" s="310"/>
      <c r="AB45" s="310"/>
    </row>
    <row r="46" spans="1:28">
      <c r="A46" s="311"/>
      <c r="B46" s="311"/>
      <c r="C46" s="311"/>
      <c r="D46" s="311"/>
      <c r="E46" s="311" t="s">
        <v>612</v>
      </c>
      <c r="F46" s="311"/>
      <c r="G46" s="312">
        <v>43985</v>
      </c>
      <c r="H46" s="311"/>
      <c r="I46" s="311"/>
      <c r="J46" s="311"/>
      <c r="K46" s="311" t="s">
        <v>613</v>
      </c>
      <c r="L46" s="311"/>
      <c r="M46" s="311"/>
      <c r="N46" s="311"/>
      <c r="O46" s="313"/>
      <c r="P46" s="311"/>
      <c r="Q46" s="311" t="s">
        <v>614</v>
      </c>
      <c r="R46" s="311"/>
      <c r="S46" s="314">
        <v>430</v>
      </c>
      <c r="T46" s="311"/>
      <c r="U46" s="314">
        <f t="shared" si="1"/>
        <v>480</v>
      </c>
      <c r="W46" s="315">
        <f>+S46</f>
        <v>430</v>
      </c>
      <c r="X46" s="310"/>
      <c r="Y46" s="310"/>
      <c r="Z46" s="310"/>
      <c r="AA46" s="310"/>
      <c r="AB46" s="310"/>
    </row>
    <row r="47" spans="1:28">
      <c r="A47" s="311"/>
      <c r="B47" s="311"/>
      <c r="C47" s="311"/>
      <c r="D47" s="311"/>
      <c r="E47" s="311" t="s">
        <v>612</v>
      </c>
      <c r="F47" s="311"/>
      <c r="G47" s="312">
        <v>43991</v>
      </c>
      <c r="H47" s="311"/>
      <c r="I47" s="311"/>
      <c r="J47" s="311"/>
      <c r="K47" s="311" t="s">
        <v>634</v>
      </c>
      <c r="L47" s="311"/>
      <c r="M47" s="311"/>
      <c r="N47" s="311"/>
      <c r="O47" s="313"/>
      <c r="P47" s="311"/>
      <c r="Q47" s="311" t="s">
        <v>614</v>
      </c>
      <c r="R47" s="311"/>
      <c r="S47" s="314">
        <v>224</v>
      </c>
      <c r="T47" s="311"/>
      <c r="U47" s="314">
        <f t="shared" si="1"/>
        <v>704</v>
      </c>
      <c r="W47" s="310"/>
      <c r="X47" s="310"/>
      <c r="Y47" s="310"/>
      <c r="Z47" s="310"/>
      <c r="AA47" s="315">
        <f>+S47</f>
        <v>224</v>
      </c>
      <c r="AB47" s="310"/>
    </row>
    <row r="48" spans="1:28">
      <c r="A48" s="311"/>
      <c r="B48" s="311"/>
      <c r="C48" s="311"/>
      <c r="D48" s="311"/>
      <c r="E48" s="311" t="s">
        <v>612</v>
      </c>
      <c r="F48" s="311"/>
      <c r="G48" s="312">
        <v>43993</v>
      </c>
      <c r="H48" s="311"/>
      <c r="I48" s="311"/>
      <c r="J48" s="311"/>
      <c r="K48" s="311" t="s">
        <v>607</v>
      </c>
      <c r="L48" s="311"/>
      <c r="M48" s="311"/>
      <c r="N48" s="311"/>
      <c r="O48" s="313"/>
      <c r="P48" s="311"/>
      <c r="Q48" s="311" t="s">
        <v>614</v>
      </c>
      <c r="R48" s="311"/>
      <c r="S48" s="314">
        <v>350</v>
      </c>
      <c r="T48" s="311"/>
      <c r="U48" s="314">
        <f t="shared" si="1"/>
        <v>1054</v>
      </c>
      <c r="W48" s="310"/>
      <c r="X48" s="315">
        <f>+S48</f>
        <v>350</v>
      </c>
      <c r="Y48" s="310"/>
      <c r="Z48" s="310"/>
      <c r="AA48" s="310"/>
      <c r="AB48" s="310"/>
    </row>
    <row r="49" spans="1:33">
      <c r="A49" s="311"/>
      <c r="B49" s="311"/>
      <c r="C49" s="311"/>
      <c r="D49" s="311"/>
      <c r="E49" s="311"/>
      <c r="F49" s="311"/>
      <c r="G49" s="312"/>
      <c r="H49" s="311"/>
      <c r="I49" s="311"/>
      <c r="J49" s="311"/>
      <c r="K49" s="311"/>
      <c r="L49" s="311"/>
      <c r="M49" s="311"/>
      <c r="N49" s="311"/>
      <c r="O49" s="313"/>
      <c r="P49" s="311"/>
      <c r="Q49" s="311"/>
      <c r="R49" s="311"/>
      <c r="S49" s="314"/>
      <c r="T49" s="311"/>
      <c r="U49" s="314"/>
      <c r="W49" s="310"/>
      <c r="X49" s="310"/>
      <c r="Y49" s="310"/>
      <c r="Z49" s="310"/>
      <c r="AA49" s="310"/>
      <c r="AB49" s="310"/>
    </row>
    <row r="50" spans="1:33">
      <c r="A50" s="311"/>
      <c r="B50" s="311"/>
      <c r="C50" s="311"/>
      <c r="D50" s="311"/>
      <c r="E50" s="311" t="s">
        <v>612</v>
      </c>
      <c r="F50" s="311"/>
      <c r="G50" s="312">
        <v>44013</v>
      </c>
      <c r="H50" s="311"/>
      <c r="I50" s="311"/>
      <c r="J50" s="311"/>
      <c r="K50" s="311" t="s">
        <v>613</v>
      </c>
      <c r="L50" s="311"/>
      <c r="M50" s="311"/>
      <c r="N50" s="311"/>
      <c r="O50" s="313"/>
      <c r="P50" s="311"/>
      <c r="Q50" s="311" t="s">
        <v>614</v>
      </c>
      <c r="R50" s="311"/>
      <c r="S50" s="314">
        <v>430</v>
      </c>
      <c r="T50" s="311"/>
      <c r="U50" s="314">
        <f t="shared" si="1"/>
        <v>430</v>
      </c>
      <c r="W50" s="315">
        <f>+S50</f>
        <v>430</v>
      </c>
      <c r="X50" s="310"/>
      <c r="Y50" s="310"/>
      <c r="Z50" s="310"/>
      <c r="AA50" s="310"/>
      <c r="AB50" s="310"/>
    </row>
    <row r="51" spans="1:33">
      <c r="A51" s="311"/>
      <c r="B51" s="311"/>
      <c r="C51" s="311"/>
      <c r="D51" s="311"/>
      <c r="E51" s="311" t="s">
        <v>612</v>
      </c>
      <c r="F51" s="311"/>
      <c r="G51" s="312">
        <v>44019</v>
      </c>
      <c r="H51" s="311"/>
      <c r="I51" s="311"/>
      <c r="J51" s="311"/>
      <c r="K51" s="311" t="s">
        <v>607</v>
      </c>
      <c r="L51" s="311"/>
      <c r="M51" s="311"/>
      <c r="N51" s="311"/>
      <c r="O51" s="313"/>
      <c r="P51" s="311"/>
      <c r="Q51" s="311" t="s">
        <v>614</v>
      </c>
      <c r="R51" s="311"/>
      <c r="S51" s="314">
        <v>350</v>
      </c>
      <c r="T51" s="311"/>
      <c r="U51" s="314">
        <f t="shared" si="1"/>
        <v>780</v>
      </c>
      <c r="W51" s="310"/>
      <c r="X51" s="315">
        <f>+S51</f>
        <v>350</v>
      </c>
      <c r="Y51" s="310"/>
      <c r="Z51" s="310"/>
      <c r="AA51" s="310"/>
      <c r="AB51" s="310"/>
    </row>
    <row r="52" spans="1:33">
      <c r="A52" s="311"/>
      <c r="B52" s="311"/>
      <c r="C52" s="311"/>
      <c r="D52" s="311"/>
      <c r="E52" s="311"/>
      <c r="F52" s="311"/>
      <c r="G52" s="312"/>
      <c r="H52" s="311"/>
      <c r="I52" s="311"/>
      <c r="J52" s="311"/>
      <c r="K52" s="311"/>
      <c r="L52" s="311"/>
      <c r="M52" s="311"/>
      <c r="N52" s="311"/>
      <c r="O52" s="313"/>
      <c r="P52" s="311"/>
      <c r="Q52" s="311"/>
      <c r="R52" s="311"/>
      <c r="S52" s="314"/>
      <c r="T52" s="311"/>
      <c r="U52" s="314"/>
      <c r="W52" s="310"/>
      <c r="X52" s="310"/>
      <c r="Y52" s="310"/>
      <c r="Z52" s="310"/>
      <c r="AA52" s="310"/>
      <c r="AB52" s="310"/>
    </row>
    <row r="53" spans="1:33">
      <c r="A53" s="311"/>
      <c r="B53" s="311"/>
      <c r="C53" s="311"/>
      <c r="D53" s="311"/>
      <c r="E53" s="311" t="s">
        <v>612</v>
      </c>
      <c r="F53" s="311"/>
      <c r="G53" s="312">
        <v>44047</v>
      </c>
      <c r="H53" s="311"/>
      <c r="I53" s="311"/>
      <c r="J53" s="311"/>
      <c r="K53" s="311" t="s">
        <v>613</v>
      </c>
      <c r="L53" s="311"/>
      <c r="M53" s="311"/>
      <c r="N53" s="311"/>
      <c r="O53" s="313"/>
      <c r="P53" s="311"/>
      <c r="Q53" s="311" t="s">
        <v>614</v>
      </c>
      <c r="R53" s="311"/>
      <c r="S53" s="314">
        <v>430</v>
      </c>
      <c r="T53" s="311"/>
      <c r="U53" s="314">
        <f t="shared" si="1"/>
        <v>430</v>
      </c>
      <c r="W53" s="315">
        <f>+S53</f>
        <v>430</v>
      </c>
      <c r="X53" s="310"/>
      <c r="Y53" s="310"/>
      <c r="Z53" s="310"/>
      <c r="AA53" s="310"/>
      <c r="AB53" s="310"/>
    </row>
    <row r="54" spans="1:33">
      <c r="A54" s="311"/>
      <c r="B54" s="311"/>
      <c r="C54" s="311"/>
      <c r="D54" s="311"/>
      <c r="E54" s="311" t="s">
        <v>612</v>
      </c>
      <c r="F54" s="311"/>
      <c r="G54" s="312">
        <v>44055</v>
      </c>
      <c r="H54" s="311"/>
      <c r="I54" s="311"/>
      <c r="J54" s="311"/>
      <c r="K54" s="311" t="s">
        <v>607</v>
      </c>
      <c r="L54" s="311"/>
      <c r="M54" s="311"/>
      <c r="N54" s="311"/>
      <c r="O54" s="313"/>
      <c r="P54" s="311"/>
      <c r="Q54" s="311" t="s">
        <v>614</v>
      </c>
      <c r="R54" s="311"/>
      <c r="S54" s="314">
        <v>350</v>
      </c>
      <c r="T54" s="311"/>
      <c r="U54" s="314">
        <f t="shared" si="1"/>
        <v>780</v>
      </c>
      <c r="W54" s="310"/>
      <c r="X54" s="315">
        <f>+S54</f>
        <v>350</v>
      </c>
      <c r="Y54" s="310"/>
      <c r="Z54" s="310"/>
      <c r="AA54" s="310"/>
      <c r="AB54" s="310"/>
    </row>
    <row r="55" spans="1:33">
      <c r="A55" s="311"/>
      <c r="B55" s="311"/>
      <c r="C55" s="311"/>
      <c r="D55" s="311"/>
      <c r="E55" s="311" t="s">
        <v>612</v>
      </c>
      <c r="F55" s="311"/>
      <c r="G55" s="312">
        <v>44055</v>
      </c>
      <c r="H55" s="311"/>
      <c r="I55" s="311"/>
      <c r="J55" s="311"/>
      <c r="K55" s="311" t="s">
        <v>635</v>
      </c>
      <c r="L55" s="311"/>
      <c r="M55" s="311"/>
      <c r="N55" s="311"/>
      <c r="O55" s="313"/>
      <c r="P55" s="311"/>
      <c r="Q55" s="311" t="s">
        <v>614</v>
      </c>
      <c r="R55" s="311"/>
      <c r="S55" s="314">
        <v>182</v>
      </c>
      <c r="T55" s="311"/>
      <c r="U55" s="314">
        <f t="shared" si="1"/>
        <v>962</v>
      </c>
      <c r="W55" s="310"/>
      <c r="X55" s="310"/>
      <c r="Y55" s="310"/>
      <c r="Z55" s="315">
        <f>+S55</f>
        <v>182</v>
      </c>
      <c r="AA55" s="310"/>
      <c r="AB55" s="310"/>
    </row>
    <row r="56" spans="1:33">
      <c r="A56" s="311"/>
      <c r="B56" s="311"/>
      <c r="C56" s="311"/>
      <c r="D56" s="311"/>
      <c r="E56" s="311"/>
      <c r="F56" s="311"/>
      <c r="G56" s="312"/>
      <c r="H56" s="311"/>
      <c r="I56" s="311"/>
      <c r="J56" s="311"/>
      <c r="K56" s="311"/>
      <c r="L56" s="311"/>
      <c r="M56" s="311"/>
      <c r="N56" s="311"/>
      <c r="O56" s="313"/>
      <c r="P56" s="311"/>
      <c r="Q56" s="311"/>
      <c r="R56" s="311"/>
      <c r="S56" s="314"/>
      <c r="T56" s="311"/>
      <c r="U56" s="314"/>
      <c r="W56" s="310"/>
      <c r="X56" s="310"/>
      <c r="Y56" s="310"/>
      <c r="Z56" s="310"/>
      <c r="AA56" s="310"/>
      <c r="AB56" s="310"/>
    </row>
    <row r="57" spans="1:33">
      <c r="A57" s="311"/>
      <c r="B57" s="311"/>
      <c r="C57" s="311"/>
      <c r="D57" s="311"/>
      <c r="E57" s="311" t="s">
        <v>612</v>
      </c>
      <c r="F57" s="311"/>
      <c r="G57" s="312">
        <v>44082</v>
      </c>
      <c r="H57" s="311"/>
      <c r="I57" s="311"/>
      <c r="J57" s="311"/>
      <c r="K57" s="311" t="s">
        <v>613</v>
      </c>
      <c r="L57" s="311"/>
      <c r="M57" s="311"/>
      <c r="N57" s="311"/>
      <c r="O57" s="313"/>
      <c r="P57" s="311"/>
      <c r="Q57" s="311" t="s">
        <v>614</v>
      </c>
      <c r="R57" s="311"/>
      <c r="S57" s="314">
        <v>430</v>
      </c>
      <c r="T57" s="311"/>
      <c r="U57" s="314">
        <f t="shared" si="1"/>
        <v>430</v>
      </c>
      <c r="W57" s="315">
        <f>+S57</f>
        <v>430</v>
      </c>
      <c r="X57" s="310"/>
      <c r="Y57" s="310"/>
      <c r="Z57" s="310"/>
      <c r="AA57" s="310"/>
      <c r="AB57" s="310"/>
    </row>
    <row r="58" spans="1:33">
      <c r="A58" s="311"/>
      <c r="B58" s="311"/>
      <c r="C58" s="311"/>
      <c r="D58" s="311"/>
      <c r="E58" s="311" t="s">
        <v>612</v>
      </c>
      <c r="F58" s="311"/>
      <c r="G58" s="312">
        <v>44083</v>
      </c>
      <c r="H58" s="311"/>
      <c r="I58" s="311"/>
      <c r="J58" s="311"/>
      <c r="K58" s="311" t="s">
        <v>607</v>
      </c>
      <c r="L58" s="311"/>
      <c r="M58" s="311"/>
      <c r="N58" s="311"/>
      <c r="O58" s="313"/>
      <c r="P58" s="311"/>
      <c r="Q58" s="311" t="s">
        <v>614</v>
      </c>
      <c r="R58" s="311"/>
      <c r="S58" s="314">
        <v>350</v>
      </c>
      <c r="T58" s="311"/>
      <c r="U58" s="314">
        <f t="shared" si="1"/>
        <v>780</v>
      </c>
      <c r="W58" s="310"/>
      <c r="X58" s="315">
        <f>+S58</f>
        <v>350</v>
      </c>
      <c r="Y58" s="310"/>
      <c r="Z58" s="310"/>
      <c r="AA58" s="310"/>
      <c r="AB58" s="310"/>
    </row>
    <row r="59" spans="1:33">
      <c r="A59" s="311"/>
      <c r="B59" s="311"/>
      <c r="C59" s="311"/>
      <c r="D59" s="311"/>
      <c r="E59" s="311" t="s">
        <v>612</v>
      </c>
      <c r="F59" s="311"/>
      <c r="G59" s="312">
        <v>44103</v>
      </c>
      <c r="H59" s="311"/>
      <c r="I59" s="311"/>
      <c r="J59" s="311"/>
      <c r="K59" s="311" t="s">
        <v>636</v>
      </c>
      <c r="L59" s="311"/>
      <c r="M59" s="311"/>
      <c r="N59" s="311"/>
      <c r="O59" s="313"/>
      <c r="P59" s="311"/>
      <c r="Q59" s="311" t="s">
        <v>614</v>
      </c>
      <c r="R59" s="311"/>
      <c r="S59" s="314">
        <v>81.010000000000005</v>
      </c>
      <c r="T59" s="311"/>
      <c r="U59" s="314">
        <f t="shared" si="1"/>
        <v>861.01</v>
      </c>
      <c r="W59" s="310"/>
      <c r="X59" s="310"/>
      <c r="Y59" s="310"/>
      <c r="Z59" s="310"/>
      <c r="AA59" s="315">
        <f>+S59</f>
        <v>81.010000000000005</v>
      </c>
      <c r="AB59" s="310"/>
    </row>
    <row r="60" spans="1:33" ht="15.75" thickBot="1">
      <c r="A60" s="311"/>
      <c r="B60" s="311"/>
      <c r="C60" s="311"/>
      <c r="D60" s="311"/>
      <c r="E60" s="311"/>
      <c r="F60" s="311"/>
      <c r="G60" s="312"/>
      <c r="H60" s="311"/>
      <c r="I60" s="311"/>
      <c r="J60" s="311"/>
      <c r="K60" s="311"/>
      <c r="L60" s="311"/>
      <c r="M60" s="311"/>
      <c r="N60" s="311"/>
      <c r="O60" s="313"/>
      <c r="P60" s="311"/>
      <c r="Q60" s="311"/>
      <c r="R60" s="311"/>
      <c r="S60" s="314"/>
      <c r="T60" s="311"/>
      <c r="U60" s="314"/>
      <c r="W60" s="310"/>
      <c r="X60" s="310"/>
      <c r="Y60" s="310"/>
      <c r="Z60" s="310"/>
      <c r="AA60" s="310"/>
      <c r="AB60" s="310"/>
    </row>
    <row r="61" spans="1:33" ht="15.75" thickBot="1">
      <c r="A61" s="311"/>
      <c r="B61" s="311" t="s">
        <v>637</v>
      </c>
      <c r="C61" s="311"/>
      <c r="D61" s="311"/>
      <c r="E61" s="311"/>
      <c r="F61" s="311"/>
      <c r="G61" s="312"/>
      <c r="H61" s="311"/>
      <c r="I61" s="311"/>
      <c r="J61" s="311"/>
      <c r="K61" s="311"/>
      <c r="L61" s="311"/>
      <c r="M61" s="311"/>
      <c r="N61" s="311"/>
      <c r="O61" s="311"/>
      <c r="P61" s="311"/>
      <c r="Q61" s="311"/>
      <c r="R61" s="311"/>
      <c r="S61" s="316">
        <f>ROUND(SUM(S6:S60),5)</f>
        <v>13261.76</v>
      </c>
      <c r="T61" s="311"/>
      <c r="U61" s="316">
        <f>U60</f>
        <v>0</v>
      </c>
      <c r="AB61" s="310"/>
    </row>
    <row r="62" spans="1:33" ht="15.75" thickBot="1">
      <c r="A62" s="307" t="s">
        <v>638</v>
      </c>
      <c r="B62" s="307"/>
      <c r="C62" s="307"/>
      <c r="D62" s="307"/>
      <c r="E62" s="307"/>
      <c r="F62" s="307"/>
      <c r="G62" s="308"/>
      <c r="H62" s="307"/>
      <c r="I62" s="307"/>
      <c r="J62" s="307"/>
      <c r="K62" s="307"/>
      <c r="L62" s="307"/>
      <c r="M62" s="307"/>
      <c r="N62" s="307"/>
      <c r="O62" s="307"/>
      <c r="P62" s="307"/>
      <c r="Q62" s="307"/>
      <c r="R62" s="307"/>
      <c r="S62" s="317">
        <f>S61</f>
        <v>13261.76</v>
      </c>
      <c r="T62" s="307"/>
      <c r="U62" s="317">
        <f>U61</f>
        <v>0</v>
      </c>
      <c r="V62" s="318"/>
      <c r="W62" s="319">
        <f>SUM(W6:W60)</f>
        <v>5160</v>
      </c>
      <c r="X62" s="319">
        <f>SUM(X6:X60)</f>
        <v>4200</v>
      </c>
      <c r="Y62" s="319">
        <f>SUM(Y6:Y60)</f>
        <v>500</v>
      </c>
      <c r="Z62" s="319">
        <f>SUM(Z6:Z60)</f>
        <v>2325.75</v>
      </c>
      <c r="AA62" s="319">
        <f>SUM(AA6:AA60)</f>
        <v>1076.01</v>
      </c>
      <c r="AB62" s="318"/>
      <c r="AC62" s="318"/>
      <c r="AD62" s="318"/>
      <c r="AE62" s="318"/>
      <c r="AF62" s="318"/>
      <c r="AG62" s="318"/>
    </row>
    <row r="63" spans="1:33" ht="15.75" thickTop="1">
      <c r="E63" t="s">
        <v>639</v>
      </c>
      <c r="W63" s="320">
        <f>+W62*0.18</f>
        <v>928.8</v>
      </c>
      <c r="X63" s="320">
        <v>4200</v>
      </c>
      <c r="Y63" s="320"/>
      <c r="Z63" s="320">
        <v>2325.75</v>
      </c>
      <c r="AA63" s="320"/>
      <c r="AB63" s="310"/>
    </row>
    <row r="64" spans="1:33">
      <c r="E64" t="s">
        <v>640</v>
      </c>
      <c r="S64" s="297">
        <f>SUM(W64:AA64)</f>
        <v>5807.21</v>
      </c>
      <c r="W64" s="297">
        <f>+W62-W63</f>
        <v>4231.2</v>
      </c>
      <c r="X64" s="297">
        <f>+X62-X63</f>
        <v>0</v>
      </c>
      <c r="Y64" s="297">
        <f>+Y62-Y63</f>
        <v>500</v>
      </c>
      <c r="Z64" s="297">
        <f>+Z62-Z63</f>
        <v>0</v>
      </c>
      <c r="AA64" s="297">
        <f>+AA62-AA63</f>
        <v>1076.01</v>
      </c>
    </row>
    <row r="65" spans="19:27">
      <c r="W65" s="297"/>
      <c r="X65" s="297"/>
      <c r="Y65" s="297"/>
      <c r="Z65" s="297"/>
      <c r="AA65" s="297"/>
    </row>
    <row r="66" spans="19:27">
      <c r="S66" s="29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AC357-F81E-4252-BE3D-54AC4DCFF912}">
  <dimension ref="A1:U27"/>
  <sheetViews>
    <sheetView workbookViewId="0">
      <selection activeCell="G16" sqref="G16"/>
    </sheetView>
  </sheetViews>
  <sheetFormatPr defaultRowHeight="15"/>
  <cols>
    <col min="1" max="1" width="3" customWidth="1"/>
    <col min="2" max="2" width="7" customWidth="1"/>
    <col min="3" max="4" width="2.28515625" customWidth="1"/>
    <col min="5" max="5" width="5.28515625" bestFit="1" customWidth="1"/>
    <col min="6" max="6" width="2.28515625" customWidth="1"/>
    <col min="7" max="7" width="8.7109375" bestFit="1" customWidth="1"/>
    <col min="8" max="8" width="2.28515625" customWidth="1"/>
    <col min="9" max="9" width="5.28515625" bestFit="1" customWidth="1"/>
    <col min="10" max="10" width="2.28515625" customWidth="1"/>
    <col min="11" max="11" width="13.5703125" bestFit="1" customWidth="1"/>
    <col min="12" max="12" width="2.28515625" customWidth="1"/>
    <col min="13" max="13" width="6.7109375" bestFit="1" customWidth="1"/>
    <col min="14" max="14" width="2.28515625" customWidth="1"/>
    <col min="15" max="15" width="3.28515625" bestFit="1" customWidth="1"/>
    <col min="16" max="16" width="2.28515625" customWidth="1"/>
    <col min="17" max="17" width="26.5703125" bestFit="1" customWidth="1"/>
    <col min="18" max="18" width="2.28515625" customWidth="1"/>
    <col min="19" max="19" width="7.28515625" bestFit="1" customWidth="1"/>
    <col min="20" max="20" width="2.28515625" customWidth="1"/>
    <col min="21" max="21" width="7" bestFit="1" customWidth="1"/>
  </cols>
  <sheetData>
    <row r="1" spans="1:21" ht="18.75">
      <c r="A1" s="302" t="s">
        <v>645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</row>
    <row r="2" spans="1:21" ht="18.75">
      <c r="A2" s="302" t="s">
        <v>646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</row>
    <row r="3" spans="1:21" ht="18.75">
      <c r="A3" s="302" t="s">
        <v>647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</row>
    <row r="6" spans="1:21" ht="15.75" thickBot="1">
      <c r="A6" s="303"/>
      <c r="B6" s="303"/>
      <c r="C6" s="303"/>
      <c r="D6" s="303"/>
      <c r="E6" s="304" t="s">
        <v>150</v>
      </c>
      <c r="F6" s="303"/>
      <c r="G6" s="304" t="s">
        <v>599</v>
      </c>
      <c r="H6" s="303"/>
      <c r="I6" s="304" t="s">
        <v>600</v>
      </c>
      <c r="J6" s="303"/>
      <c r="K6" s="304" t="s">
        <v>601</v>
      </c>
      <c r="L6" s="303"/>
      <c r="M6" s="304" t="s">
        <v>602</v>
      </c>
      <c r="N6" s="303"/>
      <c r="O6" s="304" t="s">
        <v>603</v>
      </c>
      <c r="P6" s="303"/>
      <c r="Q6" s="304" t="s">
        <v>604</v>
      </c>
      <c r="R6" s="303"/>
      <c r="S6" s="304" t="s">
        <v>152</v>
      </c>
      <c r="T6" s="303"/>
      <c r="U6" s="304" t="s">
        <v>605</v>
      </c>
    </row>
    <row r="7" spans="1:21" ht="15.75" thickTop="1">
      <c r="A7" s="307"/>
      <c r="B7" s="307" t="s">
        <v>648</v>
      </c>
      <c r="C7" s="307"/>
      <c r="D7" s="307"/>
      <c r="E7" s="307"/>
      <c r="F7" s="307"/>
      <c r="G7" s="308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9"/>
      <c r="T7" s="307"/>
      <c r="U7" s="309"/>
    </row>
    <row r="8" spans="1:21">
      <c r="A8" s="311"/>
      <c r="B8" s="311"/>
      <c r="C8" s="311"/>
      <c r="D8" s="311"/>
      <c r="E8" s="311" t="s">
        <v>612</v>
      </c>
      <c r="F8" s="311"/>
      <c r="G8" s="312">
        <v>43802</v>
      </c>
      <c r="H8" s="311"/>
      <c r="I8" s="311"/>
      <c r="J8" s="311"/>
      <c r="K8" s="311" t="s">
        <v>631</v>
      </c>
      <c r="L8" s="311"/>
      <c r="M8" s="311"/>
      <c r="N8" s="311"/>
      <c r="O8" s="313"/>
      <c r="P8" s="311"/>
      <c r="Q8" s="311" t="s">
        <v>614</v>
      </c>
      <c r="R8" s="311"/>
      <c r="S8" s="314">
        <v>234.77</v>
      </c>
      <c r="T8" s="311"/>
      <c r="U8" s="314">
        <f t="shared" ref="U8:U15" si="0">ROUND(U7+S8,5)</f>
        <v>234.77</v>
      </c>
    </row>
    <row r="9" spans="1:21">
      <c r="A9" s="311"/>
      <c r="B9" s="311"/>
      <c r="C9" s="311"/>
      <c r="D9" s="311"/>
      <c r="E9" s="311" t="s">
        <v>621</v>
      </c>
      <c r="F9" s="311"/>
      <c r="G9" s="312">
        <v>43818</v>
      </c>
      <c r="H9" s="311"/>
      <c r="I9" s="311" t="s">
        <v>649</v>
      </c>
      <c r="J9" s="311"/>
      <c r="K9" s="311" t="s">
        <v>650</v>
      </c>
      <c r="L9" s="311"/>
      <c r="M9" s="311" t="s">
        <v>651</v>
      </c>
      <c r="N9" s="311"/>
      <c r="O9" s="313"/>
      <c r="P9" s="311"/>
      <c r="Q9" s="311" t="s">
        <v>625</v>
      </c>
      <c r="R9" s="311"/>
      <c r="S9" s="314">
        <v>162</v>
      </c>
      <c r="T9" s="311"/>
      <c r="U9" s="314">
        <f t="shared" si="0"/>
        <v>396.77</v>
      </c>
    </row>
    <row r="10" spans="1:21">
      <c r="A10" s="311"/>
      <c r="B10" s="311"/>
      <c r="C10" s="311"/>
      <c r="D10" s="311"/>
      <c r="E10" s="311" t="s">
        <v>612</v>
      </c>
      <c r="F10" s="311"/>
      <c r="G10" s="312">
        <v>43832</v>
      </c>
      <c r="H10" s="311"/>
      <c r="I10" s="311"/>
      <c r="J10" s="311"/>
      <c r="K10" s="311" t="s">
        <v>628</v>
      </c>
      <c r="L10" s="311"/>
      <c r="M10" s="311"/>
      <c r="N10" s="311"/>
      <c r="O10" s="313"/>
      <c r="P10" s="311"/>
      <c r="Q10" s="311" t="s">
        <v>614</v>
      </c>
      <c r="R10" s="311"/>
      <c r="S10" s="314">
        <v>75.28</v>
      </c>
      <c r="T10" s="311"/>
      <c r="U10" s="314">
        <f t="shared" si="0"/>
        <v>472.05</v>
      </c>
    </row>
    <row r="11" spans="1:21">
      <c r="A11" s="311"/>
      <c r="B11" s="311"/>
      <c r="C11" s="311"/>
      <c r="D11" s="311"/>
      <c r="E11" s="311" t="s">
        <v>612</v>
      </c>
      <c r="F11" s="311"/>
      <c r="G11" s="312">
        <v>43865</v>
      </c>
      <c r="H11" s="311"/>
      <c r="I11" s="311"/>
      <c r="J11" s="311"/>
      <c r="K11" s="311" t="s">
        <v>631</v>
      </c>
      <c r="L11" s="311"/>
      <c r="M11" s="311"/>
      <c r="N11" s="311"/>
      <c r="O11" s="313"/>
      <c r="P11" s="311"/>
      <c r="Q11" s="311" t="s">
        <v>614</v>
      </c>
      <c r="R11" s="311"/>
      <c r="S11" s="314">
        <v>233.51</v>
      </c>
      <c r="T11" s="311"/>
      <c r="U11" s="314">
        <f t="shared" si="0"/>
        <v>705.56</v>
      </c>
    </row>
    <row r="12" spans="1:21">
      <c r="A12" s="311"/>
      <c r="B12" s="311"/>
      <c r="C12" s="311"/>
      <c r="D12" s="311"/>
      <c r="E12" s="311" t="s">
        <v>612</v>
      </c>
      <c r="F12" s="311"/>
      <c r="G12" s="312">
        <v>43895</v>
      </c>
      <c r="H12" s="311"/>
      <c r="I12" s="311"/>
      <c r="J12" s="311"/>
      <c r="K12" s="311" t="s">
        <v>631</v>
      </c>
      <c r="L12" s="311"/>
      <c r="M12" s="311"/>
      <c r="N12" s="311"/>
      <c r="O12" s="313"/>
      <c r="P12" s="311"/>
      <c r="Q12" s="311" t="s">
        <v>614</v>
      </c>
      <c r="R12" s="311"/>
      <c r="S12" s="314">
        <v>72.540000000000006</v>
      </c>
      <c r="T12" s="311"/>
      <c r="U12" s="314">
        <f t="shared" si="0"/>
        <v>778.1</v>
      </c>
    </row>
    <row r="13" spans="1:21">
      <c r="A13" s="311"/>
      <c r="B13" s="311"/>
      <c r="C13" s="311"/>
      <c r="D13" s="311"/>
      <c r="E13" s="311" t="s">
        <v>612</v>
      </c>
      <c r="F13" s="311"/>
      <c r="G13" s="312">
        <v>43927</v>
      </c>
      <c r="H13" s="311"/>
      <c r="I13" s="311"/>
      <c r="J13" s="311"/>
      <c r="K13" s="311" t="s">
        <v>631</v>
      </c>
      <c r="L13" s="311"/>
      <c r="M13" s="311"/>
      <c r="N13" s="311"/>
      <c r="O13" s="313"/>
      <c r="P13" s="311"/>
      <c r="Q13" s="311" t="s">
        <v>614</v>
      </c>
      <c r="R13" s="311"/>
      <c r="S13" s="314">
        <v>136.28</v>
      </c>
      <c r="T13" s="311"/>
      <c r="U13" s="314">
        <f t="shared" si="0"/>
        <v>914.38</v>
      </c>
    </row>
    <row r="14" spans="1:21">
      <c r="A14" s="311"/>
      <c r="B14" s="311"/>
      <c r="C14" s="311"/>
      <c r="D14" s="311"/>
      <c r="E14" s="311" t="s">
        <v>612</v>
      </c>
      <c r="F14" s="311"/>
      <c r="G14" s="312">
        <v>43952</v>
      </c>
      <c r="H14" s="311"/>
      <c r="I14" s="311"/>
      <c r="J14" s="311"/>
      <c r="K14" s="311" t="s">
        <v>631</v>
      </c>
      <c r="L14" s="311"/>
      <c r="M14" s="311"/>
      <c r="N14" s="311"/>
      <c r="O14" s="313"/>
      <c r="P14" s="311"/>
      <c r="Q14" s="311" t="s">
        <v>614</v>
      </c>
      <c r="R14" s="311"/>
      <c r="S14" s="314">
        <v>47.52</v>
      </c>
      <c r="T14" s="311"/>
      <c r="U14" s="314">
        <f t="shared" si="0"/>
        <v>961.9</v>
      </c>
    </row>
    <row r="15" spans="1:21" ht="15.75" thickBot="1">
      <c r="A15" s="311"/>
      <c r="B15" s="311"/>
      <c r="C15" s="311"/>
      <c r="D15" s="311"/>
      <c r="E15" s="311" t="s">
        <v>612</v>
      </c>
      <c r="F15" s="311"/>
      <c r="G15" s="312">
        <v>44013</v>
      </c>
      <c r="H15" s="311"/>
      <c r="I15" s="311"/>
      <c r="J15" s="311"/>
      <c r="K15" s="311" t="s">
        <v>631</v>
      </c>
      <c r="L15" s="311"/>
      <c r="M15" s="311"/>
      <c r="N15" s="311"/>
      <c r="O15" s="313"/>
      <c r="P15" s="311"/>
      <c r="Q15" s="311" t="s">
        <v>614</v>
      </c>
      <c r="R15" s="311"/>
      <c r="S15" s="314">
        <v>41.66</v>
      </c>
      <c r="T15" s="311"/>
      <c r="U15" s="314">
        <f t="shared" si="0"/>
        <v>1003.56</v>
      </c>
    </row>
    <row r="16" spans="1:21" ht="15.75" thickBot="1">
      <c r="A16" s="311"/>
      <c r="B16" s="311" t="s">
        <v>652</v>
      </c>
      <c r="C16" s="311"/>
      <c r="D16" s="311"/>
      <c r="E16" s="311"/>
      <c r="F16" s="311"/>
      <c r="G16" s="312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6">
        <f>ROUND(SUM(S7:S15),5)</f>
        <v>1003.56</v>
      </c>
      <c r="T16" s="311"/>
      <c r="U16" s="316">
        <f>U15</f>
        <v>1003.56</v>
      </c>
    </row>
    <row r="17" spans="1:21" ht="15.75" thickBot="1">
      <c r="A17" s="307" t="s">
        <v>638</v>
      </c>
      <c r="B17" s="307"/>
      <c r="C17" s="307"/>
      <c r="D17" s="307"/>
      <c r="E17" s="307"/>
      <c r="F17" s="307"/>
      <c r="G17" s="308"/>
      <c r="H17" s="307"/>
      <c r="I17" s="307"/>
      <c r="J17" s="307"/>
      <c r="K17" s="307"/>
      <c r="L17" s="307"/>
      <c r="M17" s="307"/>
      <c r="N17" s="307"/>
      <c r="O17" s="307"/>
      <c r="P17" s="307"/>
      <c r="Q17" s="307"/>
      <c r="R17" s="307"/>
      <c r="S17" s="317">
        <f>S16</f>
        <v>1003.56</v>
      </c>
      <c r="T17" s="307"/>
      <c r="U17" s="317">
        <f>U16</f>
        <v>1003.56</v>
      </c>
    </row>
    <row r="18" spans="1:21" ht="15.75" thickTop="1"/>
    <row r="20" spans="1:21">
      <c r="A20" s="307"/>
      <c r="B20" s="307" t="s">
        <v>653</v>
      </c>
      <c r="C20" s="307"/>
      <c r="D20" s="307"/>
      <c r="E20" s="307"/>
      <c r="F20" s="307"/>
      <c r="G20" s="308"/>
      <c r="H20" s="307"/>
      <c r="I20" s="307"/>
      <c r="J20" s="307"/>
      <c r="K20" s="307"/>
      <c r="L20" s="307"/>
      <c r="M20" s="307"/>
      <c r="N20" s="307"/>
      <c r="O20" s="307"/>
      <c r="P20" s="307"/>
      <c r="Q20" s="307"/>
      <c r="R20" s="307"/>
      <c r="S20" s="309"/>
      <c r="T20" s="307"/>
      <c r="U20" s="309"/>
    </row>
    <row r="21" spans="1:21">
      <c r="A21" s="311"/>
      <c r="B21" s="311"/>
      <c r="C21" s="311"/>
      <c r="D21" s="311"/>
      <c r="E21" s="311" t="s">
        <v>612</v>
      </c>
      <c r="F21" s="311"/>
      <c r="G21" s="312">
        <v>43832</v>
      </c>
      <c r="H21" s="311"/>
      <c r="I21" s="311"/>
      <c r="J21" s="311"/>
      <c r="K21" s="311" t="s">
        <v>628</v>
      </c>
      <c r="L21" s="311"/>
      <c r="M21" s="311"/>
      <c r="N21" s="311"/>
      <c r="O21" s="313"/>
      <c r="P21" s="311"/>
      <c r="Q21" s="311" t="s">
        <v>614</v>
      </c>
      <c r="R21" s="311"/>
      <c r="S21" s="314">
        <v>5774.41</v>
      </c>
      <c r="T21" s="311"/>
      <c r="U21" s="314">
        <f>ROUND(U20+S21,5)</f>
        <v>5774.41</v>
      </c>
    </row>
    <row r="22" spans="1:21">
      <c r="A22" s="311"/>
      <c r="B22" s="311"/>
      <c r="C22" s="311"/>
      <c r="D22" s="311"/>
      <c r="E22" s="311" t="s">
        <v>612</v>
      </c>
      <c r="F22" s="311"/>
      <c r="G22" s="312">
        <v>43865</v>
      </c>
      <c r="H22" s="311"/>
      <c r="I22" s="311"/>
      <c r="J22" s="311"/>
      <c r="K22" s="311" t="s">
        <v>631</v>
      </c>
      <c r="L22" s="311"/>
      <c r="M22" s="311"/>
      <c r="N22" s="311"/>
      <c r="O22" s="313"/>
      <c r="P22" s="311"/>
      <c r="Q22" s="311" t="s">
        <v>614</v>
      </c>
      <c r="R22" s="311"/>
      <c r="S22" s="314">
        <v>65</v>
      </c>
      <c r="T22" s="311"/>
      <c r="U22" s="314">
        <f>ROUND(U21+S22,5)</f>
        <v>5839.41</v>
      </c>
    </row>
    <row r="23" spans="1:21">
      <c r="A23" s="311"/>
      <c r="B23" s="311"/>
      <c r="C23" s="311"/>
      <c r="D23" s="311"/>
      <c r="E23" s="311" t="s">
        <v>612</v>
      </c>
      <c r="F23" s="311"/>
      <c r="G23" s="312">
        <v>43895</v>
      </c>
      <c r="H23" s="311"/>
      <c r="I23" s="311"/>
      <c r="J23" s="311"/>
      <c r="K23" s="311" t="s">
        <v>631</v>
      </c>
      <c r="L23" s="311"/>
      <c r="M23" s="311"/>
      <c r="N23" s="311"/>
      <c r="O23" s="313"/>
      <c r="P23" s="311"/>
      <c r="Q23" s="311" t="s">
        <v>614</v>
      </c>
      <c r="R23" s="311"/>
      <c r="S23" s="314">
        <v>12</v>
      </c>
      <c r="T23" s="311"/>
      <c r="U23" s="314">
        <f>ROUND(U22+S23,5)</f>
        <v>5851.41</v>
      </c>
    </row>
    <row r="24" spans="1:21" ht="15.75" thickBot="1">
      <c r="A24" s="311"/>
      <c r="B24" s="311"/>
      <c r="C24" s="311"/>
      <c r="D24" s="311"/>
      <c r="E24" s="311" t="s">
        <v>612</v>
      </c>
      <c r="F24" s="311"/>
      <c r="G24" s="312">
        <v>44092</v>
      </c>
      <c r="H24" s="311"/>
      <c r="I24" s="311"/>
      <c r="J24" s="311"/>
      <c r="K24" s="311" t="s">
        <v>635</v>
      </c>
      <c r="L24" s="311"/>
      <c r="M24" s="311"/>
      <c r="N24" s="311"/>
      <c r="O24" s="313"/>
      <c r="P24" s="311"/>
      <c r="Q24" s="311" t="s">
        <v>614</v>
      </c>
      <c r="R24" s="311"/>
      <c r="S24" s="314">
        <v>89.65</v>
      </c>
      <c r="T24" s="311"/>
      <c r="U24" s="314">
        <f>ROUND(U23+S24,5)</f>
        <v>5941.06</v>
      </c>
    </row>
    <row r="25" spans="1:21" ht="15.75" thickBot="1">
      <c r="A25" s="311"/>
      <c r="B25" s="311" t="s">
        <v>654</v>
      </c>
      <c r="C25" s="311"/>
      <c r="D25" s="311"/>
      <c r="E25" s="311"/>
      <c r="F25" s="311"/>
      <c r="G25" s="312"/>
      <c r="H25" s="311"/>
      <c r="I25" s="311"/>
      <c r="J25" s="311"/>
      <c r="K25" s="311"/>
      <c r="L25" s="311"/>
      <c r="M25" s="311"/>
      <c r="N25" s="311"/>
      <c r="O25" s="311"/>
      <c r="P25" s="311"/>
      <c r="Q25" s="311"/>
      <c r="R25" s="311"/>
      <c r="S25" s="316">
        <f>ROUND(SUM(S20:S24),5)</f>
        <v>5941.06</v>
      </c>
      <c r="T25" s="311"/>
      <c r="U25" s="316">
        <f>U24</f>
        <v>5941.06</v>
      </c>
    </row>
    <row r="26" spans="1:21" ht="15.75" thickBot="1">
      <c r="A26" s="307" t="s">
        <v>638</v>
      </c>
      <c r="B26" s="307"/>
      <c r="C26" s="307"/>
      <c r="D26" s="307"/>
      <c r="E26" s="307"/>
      <c r="F26" s="307"/>
      <c r="G26" s="308"/>
      <c r="H26" s="307"/>
      <c r="I26" s="307"/>
      <c r="J26" s="307"/>
      <c r="K26" s="307"/>
      <c r="L26" s="307"/>
      <c r="M26" s="307"/>
      <c r="N26" s="307"/>
      <c r="O26" s="307"/>
      <c r="P26" s="307"/>
      <c r="Q26" s="307"/>
      <c r="R26" s="307"/>
      <c r="S26" s="317">
        <f>S25</f>
        <v>5941.06</v>
      </c>
      <c r="T26" s="307"/>
      <c r="U26" s="317">
        <f>U25</f>
        <v>5941.06</v>
      </c>
    </row>
    <row r="27" spans="1:21" ht="15.75" thickTop="1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1B118-E798-4673-BA4A-791624996548}">
  <dimension ref="A1:N38"/>
  <sheetViews>
    <sheetView topLeftCell="A16" workbookViewId="0">
      <selection sqref="A1:N38"/>
    </sheetView>
  </sheetViews>
  <sheetFormatPr defaultRowHeight="15"/>
  <cols>
    <col min="1" max="1" width="18.85546875" customWidth="1"/>
    <col min="2" max="2" width="2.140625" customWidth="1"/>
    <col min="3" max="3" width="14.140625" bestFit="1" customWidth="1"/>
    <col min="4" max="4" width="12.5703125" customWidth="1"/>
    <col min="5" max="5" width="15.42578125" bestFit="1" customWidth="1"/>
    <col min="6" max="12" width="12.5703125" customWidth="1"/>
    <col min="13" max="13" width="1.42578125" customWidth="1"/>
    <col min="14" max="14" width="15.140625" customWidth="1"/>
  </cols>
  <sheetData>
    <row r="1" spans="1:14" ht="15.75">
      <c r="A1" s="321" t="s">
        <v>0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</row>
    <row r="2" spans="1:14" ht="15.75">
      <c r="A2" s="322" t="s">
        <v>661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2"/>
      <c r="N2" s="322"/>
    </row>
    <row r="3" spans="1:14" ht="15.7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23"/>
      <c r="N3" s="323"/>
    </row>
    <row r="4" spans="1:14" ht="15.75">
      <c r="A4" s="3"/>
      <c r="B4" s="3"/>
      <c r="C4" s="324" t="s">
        <v>662</v>
      </c>
      <c r="D4" s="4" t="s">
        <v>113</v>
      </c>
      <c r="E4" s="4"/>
      <c r="F4" s="4" t="s">
        <v>663</v>
      </c>
      <c r="G4" s="324" t="s">
        <v>664</v>
      </c>
      <c r="H4" s="4" t="s">
        <v>113</v>
      </c>
      <c r="I4" s="4"/>
      <c r="J4" s="4" t="s">
        <v>663</v>
      </c>
      <c r="K4" s="4" t="s">
        <v>665</v>
      </c>
      <c r="L4" s="4" t="s">
        <v>666</v>
      </c>
      <c r="M4" s="325"/>
      <c r="N4" s="325" t="s">
        <v>667</v>
      </c>
    </row>
    <row r="5" spans="1:14" ht="31.5">
      <c r="A5" s="326" t="s">
        <v>668</v>
      </c>
      <c r="B5" s="3"/>
      <c r="C5" s="4" t="s">
        <v>186</v>
      </c>
      <c r="D5" s="325" t="s">
        <v>669</v>
      </c>
      <c r="E5" s="325" t="s">
        <v>670</v>
      </c>
      <c r="F5" s="325" t="s">
        <v>671</v>
      </c>
      <c r="G5" s="325" t="s">
        <v>186</v>
      </c>
      <c r="H5" s="325" t="s">
        <v>669</v>
      </c>
      <c r="I5" s="325" t="s">
        <v>670</v>
      </c>
      <c r="J5" s="325" t="s">
        <v>671</v>
      </c>
      <c r="K5" s="325" t="s">
        <v>672</v>
      </c>
      <c r="L5" s="325" t="s">
        <v>673</v>
      </c>
      <c r="M5" s="325"/>
      <c r="N5" s="325" t="s">
        <v>674</v>
      </c>
    </row>
    <row r="6" spans="1:14" ht="15.75">
      <c r="A6" s="327" t="s">
        <v>675</v>
      </c>
      <c r="B6" s="3"/>
      <c r="C6" s="328">
        <f>10384.8+346.63</f>
        <v>10731.429999999998</v>
      </c>
      <c r="D6" s="328">
        <f>877.84+1784.69+3.72+30.89+62.79+0.13</f>
        <v>2760.06</v>
      </c>
      <c r="E6" s="328">
        <f>3612.833+127.1</f>
        <v>3739.933</v>
      </c>
      <c r="F6" s="328">
        <f t="shared" ref="F6:F11" si="0">SUM(C6:D6)/E6</f>
        <v>3.6074148921919185</v>
      </c>
      <c r="G6" s="328">
        <f>514.11+32.59+58.22</f>
        <v>604.92000000000007</v>
      </c>
      <c r="H6" s="328">
        <f>32.86+88.71+0.19+1.98+5.34+0.01+3.7+9.99+0.02</f>
        <v>142.79999999999998</v>
      </c>
      <c r="I6" s="328">
        <f>20.225+10.8+179.576</f>
        <v>210.601</v>
      </c>
      <c r="J6" s="328">
        <f t="shared" ref="J6:J11" si="1">SUM(G6:H6)/I6</f>
        <v>3.5504104918780066</v>
      </c>
      <c r="K6" s="328">
        <v>537.79999999999995</v>
      </c>
      <c r="L6" s="328"/>
      <c r="M6" s="328"/>
      <c r="N6" s="328">
        <f t="shared" ref="N6:N17" si="2">+C6+D6+G6+H6+K6+L6</f>
        <v>14777.009999999997</v>
      </c>
    </row>
    <row r="7" spans="1:14" ht="15.75">
      <c r="A7" s="327" t="s">
        <v>676</v>
      </c>
      <c r="B7" s="3"/>
      <c r="C7" s="328">
        <f>8842.15+117.21</f>
        <v>8959.3599999999988</v>
      </c>
      <c r="D7" s="328">
        <f>731.3+10.21+1486.68+20.75+3.02+0.04</f>
        <v>2252</v>
      </c>
      <c r="E7" s="328">
        <f>3009.524+42</f>
        <v>3051.5239999999999</v>
      </c>
      <c r="F7" s="328">
        <f t="shared" si="0"/>
        <v>3.6740199323354492</v>
      </c>
      <c r="G7" s="328">
        <f>663.37+221.32</f>
        <v>884.69</v>
      </c>
      <c r="H7" s="328">
        <f>40.59+109.54+0.22+14.14+38.18+0.07</f>
        <v>202.74</v>
      </c>
      <c r="I7" s="328">
        <f>221.745+77.293</f>
        <v>299.03800000000001</v>
      </c>
      <c r="J7" s="328">
        <f t="shared" si="1"/>
        <v>3.6364274774443381</v>
      </c>
      <c r="K7" s="328">
        <f>68.53+3181.38</f>
        <v>3249.9100000000003</v>
      </c>
      <c r="L7" s="328"/>
      <c r="M7" s="328"/>
      <c r="N7" s="328">
        <f t="shared" si="2"/>
        <v>15548.699999999999</v>
      </c>
    </row>
    <row r="8" spans="1:14" ht="15.75">
      <c r="A8" s="327" t="s">
        <v>677</v>
      </c>
      <c r="B8" s="3"/>
      <c r="C8" s="328">
        <f>4789.7+5484.76+147.77</f>
        <v>10422.23</v>
      </c>
      <c r="D8" s="328">
        <f>403.73+820.67+1.67+463.57+942.42+1.95+15.55+31.62+0.06</f>
        <v>2681.24</v>
      </c>
      <c r="E8" s="328">
        <f>1661.301+1907.724+64</f>
        <v>3633.0249999999996</v>
      </c>
      <c r="F8" s="328">
        <f t="shared" si="0"/>
        <v>3.6067657117691181</v>
      </c>
      <c r="G8" s="328">
        <f>146.23+23.86+123.95+27.88+127.37+3.05+76.33</f>
        <v>528.66999999999996</v>
      </c>
      <c r="H8" s="328">
        <f>9.43+25.47+0.05+1.47+3.96+0.01+8.12+21.94+0.05+1.69+3.13+0.1+8.22+22.18+0.05+0.19+0.51+5+13.51+0.03</f>
        <v>125.10999999999997</v>
      </c>
      <c r="I8" s="328">
        <f>51.55+8.014+44.407+9.214+44.902+1.024+27.346</f>
        <v>186.45699999999999</v>
      </c>
      <c r="J8" s="328">
        <f t="shared" si="1"/>
        <v>3.5063312184578748</v>
      </c>
      <c r="K8" s="328">
        <v>505.53</v>
      </c>
      <c r="L8" s="229"/>
      <c r="M8" s="328"/>
      <c r="N8" s="328">
        <f t="shared" si="2"/>
        <v>14262.78</v>
      </c>
    </row>
    <row r="9" spans="1:14" ht="15.75">
      <c r="A9" s="327" t="s">
        <v>678</v>
      </c>
      <c r="B9" s="3"/>
      <c r="C9" s="328">
        <f>192.27+11154.78</f>
        <v>11347.050000000001</v>
      </c>
      <c r="D9" s="328">
        <f>0.05+938.49+1907.84+4.01</f>
        <v>2850.3900000000003</v>
      </c>
      <c r="E9" s="328">
        <f>53.001+3862.064</f>
        <v>3915.0650000000001</v>
      </c>
      <c r="F9" s="328">
        <f t="shared" si="0"/>
        <v>3.6263612481529686</v>
      </c>
      <c r="G9" s="328">
        <f>8.1+299.45+303.88</f>
        <v>611.43000000000006</v>
      </c>
      <c r="H9" s="328">
        <f>0.48+1.28+19.33+52.15+0.1+19.91+53.79+0.11</f>
        <v>147.15</v>
      </c>
      <c r="I9" s="328">
        <f>2.599+105.566+108.868</f>
        <v>217.03300000000002</v>
      </c>
      <c r="J9" s="328">
        <f t="shared" si="1"/>
        <v>3.4952288361677715</v>
      </c>
      <c r="K9" s="229">
        <v>563.63</v>
      </c>
      <c r="L9" s="328"/>
      <c r="M9" s="328"/>
      <c r="N9" s="328">
        <f t="shared" si="2"/>
        <v>15519.650000000001</v>
      </c>
    </row>
    <row r="10" spans="1:14" ht="15.75">
      <c r="A10" s="327" t="s">
        <v>679</v>
      </c>
      <c r="B10" s="3"/>
      <c r="C10" s="328">
        <f>10131.35+614.55+209.97</f>
        <v>10955.869999999999</v>
      </c>
      <c r="D10" s="328">
        <f>859.77+1747.74+3.57+0.2+21.55+43.82+0.09</f>
        <v>2676.7400000000007</v>
      </c>
      <c r="E10" s="328">
        <f>3538.002+185.011+88.699</f>
        <v>3811.712</v>
      </c>
      <c r="F10" s="328">
        <f t="shared" si="0"/>
        <v>3.576505780079922</v>
      </c>
      <c r="G10" s="328">
        <f>80.62+32.56+381.78+107.15+87.65</f>
        <v>689.76</v>
      </c>
      <c r="H10" s="328">
        <f>10.35+15.33+0.04+1.98+3.9+0.12+24.87+67.1+0.15+7.03+18.97+0.04+5.7+15.39+0.04</f>
        <v>171.00999999999996</v>
      </c>
      <c r="I10" s="328">
        <f>42.59+10.837+135.836+38.393+31.159</f>
        <v>258.81500000000005</v>
      </c>
      <c r="J10" s="328">
        <f t="shared" si="1"/>
        <v>3.3258118733458253</v>
      </c>
      <c r="K10" s="229">
        <f>55.72+68.53+486.17</f>
        <v>610.42000000000007</v>
      </c>
      <c r="L10" s="229"/>
      <c r="M10" s="328"/>
      <c r="N10" s="328">
        <f t="shared" si="2"/>
        <v>15103.800000000001</v>
      </c>
    </row>
    <row r="11" spans="1:14" ht="15.75">
      <c r="A11" s="327" t="s">
        <v>558</v>
      </c>
      <c r="B11" s="3"/>
      <c r="C11" s="328">
        <f>9803.98+83.22</f>
        <v>9887.1999999999989</v>
      </c>
      <c r="D11" s="328">
        <f>905.17+1840.18+3.8</f>
        <v>2749.15</v>
      </c>
      <c r="E11" s="328">
        <f>27.945+3725.059</f>
        <v>3753.0040000000004</v>
      </c>
      <c r="F11" s="328">
        <f t="shared" si="0"/>
        <v>3.3669961449548143</v>
      </c>
      <c r="G11" s="328">
        <f>40.96+405.68+47.76</f>
        <v>494.4</v>
      </c>
      <c r="H11" s="328">
        <f>2.45+6.63+0.01+27.78+74.97+0.16+0.02+3.3+8.9+0.02</f>
        <v>124.24</v>
      </c>
      <c r="I11" s="328">
        <f>13.417+151.776+18.007</f>
        <v>183.20000000000002</v>
      </c>
      <c r="J11" s="328">
        <f t="shared" si="1"/>
        <v>3.3768558951965062</v>
      </c>
      <c r="K11" s="328">
        <v>163.63</v>
      </c>
      <c r="L11" s="328"/>
      <c r="N11" s="328">
        <f t="shared" si="2"/>
        <v>13418.619999999997</v>
      </c>
    </row>
    <row r="12" spans="1:14" ht="15.75">
      <c r="A12" s="327" t="s">
        <v>680</v>
      </c>
      <c r="B12" s="3"/>
      <c r="C12" s="229">
        <f>187.61+7932.77</f>
        <v>8120.38</v>
      </c>
      <c r="D12" s="328">
        <f>0.06+882.47+1794.01+3.66</f>
        <v>2680.2</v>
      </c>
      <c r="E12" s="328">
        <f>65.019+3631.59</f>
        <v>3696.6090000000004</v>
      </c>
      <c r="F12" s="328">
        <f t="shared" ref="F12:F17" si="3">SUM(C12:D12)/E12</f>
        <v>2.9217534232048883</v>
      </c>
      <c r="G12" s="328">
        <f>25.49+265.24+135.73</f>
        <v>426.46000000000004</v>
      </c>
      <c r="H12" s="328">
        <f>1.89+5.11+0.01+21.3+57.52+0.12+11.41+30.8+0.05</f>
        <v>128.21000000000004</v>
      </c>
      <c r="I12" s="328">
        <f>62.355+116.441+10.337</f>
        <v>189.13299999999998</v>
      </c>
      <c r="J12" s="328">
        <f t="shared" ref="J12:J17" si="4">SUM(G12:H12)/I12</f>
        <v>2.9326981542089436</v>
      </c>
      <c r="K12" s="328"/>
      <c r="L12" s="328"/>
      <c r="M12" s="328"/>
      <c r="N12" s="328">
        <f t="shared" si="2"/>
        <v>11355.25</v>
      </c>
    </row>
    <row r="13" spans="1:14" ht="15.75">
      <c r="A13" s="327" t="s">
        <v>681</v>
      </c>
      <c r="B13" s="3"/>
      <c r="C13" s="328">
        <v>6257.24</v>
      </c>
      <c r="D13" s="328">
        <f>734.66+1493.42+3.05</f>
        <v>2231.13</v>
      </c>
      <c r="E13" s="328">
        <v>3023.1179999999999</v>
      </c>
      <c r="F13" s="328">
        <f t="shared" si="3"/>
        <v>2.8078196087615499</v>
      </c>
      <c r="G13" s="328">
        <f>341.85+59.3</f>
        <v>401.15000000000003</v>
      </c>
      <c r="H13" s="328">
        <f>5+13.51+0.03+29.22+78.89+0.17</f>
        <v>126.82000000000001</v>
      </c>
      <c r="I13" s="328">
        <f>159.689+27.34</f>
        <v>187.029</v>
      </c>
      <c r="J13" s="328">
        <f t="shared" si="4"/>
        <v>2.8229312031823945</v>
      </c>
      <c r="K13" s="328">
        <v>548.54999999999995</v>
      </c>
      <c r="L13" s="229"/>
      <c r="M13" s="328"/>
      <c r="N13" s="328">
        <f t="shared" si="2"/>
        <v>9564.8899999999976</v>
      </c>
    </row>
    <row r="14" spans="1:14" ht="15.75">
      <c r="A14" s="327" t="s">
        <v>559</v>
      </c>
      <c r="B14" s="3"/>
      <c r="C14" s="328">
        <f>7307.63+87.4</f>
        <v>7395.03</v>
      </c>
      <c r="D14" s="328">
        <f>841.08+1710.05+3.43+13.37+27.17+0.06</f>
        <v>2595.16</v>
      </c>
      <c r="E14" s="328">
        <f>3461.48+55</f>
        <v>3516.48</v>
      </c>
      <c r="F14" s="328">
        <f t="shared" si="3"/>
        <v>2.8409631222131217</v>
      </c>
      <c r="G14" s="328">
        <f>22.44+16.44+326.4+148.16</f>
        <v>513.43999999999994</v>
      </c>
      <c r="H14" s="328">
        <f>1.61+3.17+0.1+1.4+2.76+0.09+27.71+74.78+0.17+12.08+32.61+0.06</f>
        <v>156.54000000000002</v>
      </c>
      <c r="I14" s="328">
        <f>8.819+7.664+151.353+55+66.014</f>
        <v>288.85000000000002</v>
      </c>
      <c r="J14" s="328">
        <f t="shared" si="4"/>
        <v>2.3194737753159078</v>
      </c>
      <c r="K14" s="229">
        <f>561.72+68.53</f>
        <v>630.25</v>
      </c>
      <c r="L14" s="229"/>
      <c r="M14" s="328"/>
      <c r="N14" s="328">
        <f t="shared" si="2"/>
        <v>11290.42</v>
      </c>
    </row>
    <row r="15" spans="1:14" ht="15.75">
      <c r="A15" s="327" t="s">
        <v>682</v>
      </c>
      <c r="B15" s="3"/>
      <c r="C15" s="328">
        <f>367.13+7551.64</f>
        <v>7918.77</v>
      </c>
      <c r="D15" s="328">
        <f>0.13+860.82+1749.93+3.6</f>
        <v>2614.48</v>
      </c>
      <c r="E15" s="328">
        <f>129.314+3542.535</f>
        <v>3671.8489999999997</v>
      </c>
      <c r="F15" s="328">
        <f t="shared" si="3"/>
        <v>2.868650099718153</v>
      </c>
      <c r="G15" s="328">
        <f>18.87+336.72+179.45</f>
        <v>535.04</v>
      </c>
      <c r="H15" s="328">
        <f>1.34+2.63+0.08+26.58+71.78+0.16+14.4+38.86+0.08</f>
        <v>155.91</v>
      </c>
      <c r="I15" s="328">
        <f>7.297+145.351+78.682</f>
        <v>231.32999999999998</v>
      </c>
      <c r="J15" s="328">
        <f t="shared" si="4"/>
        <v>2.9868586002680151</v>
      </c>
      <c r="K15" s="328"/>
      <c r="L15" s="328"/>
      <c r="M15" s="328"/>
      <c r="N15" s="328">
        <f t="shared" si="2"/>
        <v>11224.2</v>
      </c>
    </row>
    <row r="16" spans="1:14" ht="15.75">
      <c r="A16" s="327" t="s">
        <v>683</v>
      </c>
      <c r="B16" s="3"/>
      <c r="C16" s="328">
        <v>8158.58</v>
      </c>
      <c r="D16" s="328">
        <f>891.95+1813.44+3.67</f>
        <v>2709.0600000000004</v>
      </c>
      <c r="E16" s="328">
        <v>3670.759</v>
      </c>
      <c r="F16" s="328">
        <f t="shared" si="3"/>
        <v>2.9605975222018115</v>
      </c>
      <c r="G16" s="328">
        <f>14.25+474.53+13.89</f>
        <v>502.66999999999996</v>
      </c>
      <c r="H16" s="328">
        <f>0.99+1.94+0.06+36.15+97.56+0.22+1.11+3.01+0.01</f>
        <v>141.04999999999998</v>
      </c>
      <c r="I16" s="328">
        <f>5.387+197.471+6.092</f>
        <v>208.95000000000002</v>
      </c>
      <c r="J16" s="328">
        <f t="shared" si="4"/>
        <v>3.0807370184254599</v>
      </c>
      <c r="K16" s="328">
        <v>572.22</v>
      </c>
      <c r="L16" s="229"/>
      <c r="M16" s="328"/>
      <c r="N16" s="328">
        <f t="shared" si="2"/>
        <v>12083.579999999998</v>
      </c>
    </row>
    <row r="17" spans="1:14" ht="15.75">
      <c r="A17" s="327" t="s">
        <v>684</v>
      </c>
      <c r="B17" s="3"/>
      <c r="C17" s="329">
        <f>7795.71+63.47</f>
        <v>7859.18</v>
      </c>
      <c r="D17" s="329">
        <f>809.01+1644.67+3.31+6.59+13.39+0.03</f>
        <v>2477.0000000000005</v>
      </c>
      <c r="E17" s="329">
        <v>3329.2730000000001</v>
      </c>
      <c r="F17" s="328">
        <f t="shared" si="3"/>
        <v>3.1046357568153766</v>
      </c>
      <c r="G17" s="329">
        <v>468.59</v>
      </c>
      <c r="H17" s="329">
        <f>34.69+93.65+0.2</f>
        <v>128.54</v>
      </c>
      <c r="I17" s="329">
        <v>189.58099999999999</v>
      </c>
      <c r="J17" s="328">
        <f t="shared" si="4"/>
        <v>3.1497354692717097</v>
      </c>
      <c r="K17" s="329"/>
      <c r="L17" s="328"/>
      <c r="M17" s="328"/>
      <c r="N17" s="329">
        <f t="shared" si="2"/>
        <v>10933.310000000001</v>
      </c>
    </row>
    <row r="19" spans="1:14" ht="15.75">
      <c r="A19" s="323" t="s">
        <v>685</v>
      </c>
      <c r="B19" s="3"/>
      <c r="C19" s="328">
        <f>SUM(C6:C17)</f>
        <v>108012.32</v>
      </c>
      <c r="D19" s="328">
        <f>SUM(D6:D17)</f>
        <v>31276.61</v>
      </c>
      <c r="E19" s="328">
        <f>SUM(E6:E17)</f>
        <v>42812.351000000002</v>
      </c>
      <c r="F19" s="229">
        <f>+(C19+D19)/E19</f>
        <v>3.2534753814384074</v>
      </c>
      <c r="G19" s="328">
        <f>SUM(G6:G17)</f>
        <v>6661.2199999999993</v>
      </c>
      <c r="H19" s="328">
        <f>SUM(H6:H17)</f>
        <v>1750.12</v>
      </c>
      <c r="I19" s="328">
        <f>SUM(I6:I17)</f>
        <v>2650.0169999999998</v>
      </c>
      <c r="J19" s="229">
        <f>+(G19+H19)/I19</f>
        <v>3.1740702040779363</v>
      </c>
      <c r="K19" s="328">
        <f>SUM(K6:K17)</f>
        <v>7381.9400000000005</v>
      </c>
      <c r="L19" s="328">
        <f>SUM(L6:L17)</f>
        <v>0</v>
      </c>
      <c r="M19" s="328">
        <f>SUM(M6:M17)</f>
        <v>0</v>
      </c>
      <c r="N19" s="328">
        <f>SUM(N6:N17)</f>
        <v>155082.21</v>
      </c>
    </row>
    <row r="20" spans="1:14" ht="15.75">
      <c r="A20" s="3"/>
      <c r="B20" s="3"/>
      <c r="C20" s="328"/>
      <c r="D20" s="328"/>
      <c r="E20" s="229"/>
      <c r="F20" s="229"/>
      <c r="G20" s="328"/>
      <c r="H20" s="328"/>
      <c r="I20" s="229"/>
      <c r="J20" s="229"/>
      <c r="K20" s="229"/>
      <c r="L20" s="229"/>
      <c r="M20" s="328"/>
      <c r="N20" s="328"/>
    </row>
    <row r="21" spans="1:14" ht="31.5">
      <c r="A21" s="330" t="s">
        <v>686</v>
      </c>
      <c r="B21" s="3"/>
      <c r="C21" s="328"/>
      <c r="D21" s="328"/>
      <c r="E21" s="229"/>
      <c r="F21" s="229"/>
      <c r="G21" s="328"/>
      <c r="H21" s="328"/>
      <c r="I21" s="229"/>
      <c r="J21" s="229"/>
      <c r="K21" s="229"/>
      <c r="L21" s="229"/>
      <c r="M21" s="328"/>
      <c r="N21" s="328"/>
    </row>
    <row r="22" spans="1:14" ht="15.75">
      <c r="A22" s="327" t="s">
        <v>687</v>
      </c>
      <c r="B22" s="3"/>
      <c r="C22" s="328">
        <v>9723.99</v>
      </c>
      <c r="D22" s="328">
        <f>1009.14+2051.5+4.13</f>
        <v>3064.77</v>
      </c>
      <c r="E22" s="328">
        <v>4152.8100000000004</v>
      </c>
      <c r="F22" s="328">
        <f>SUM(C22:D22)/E22</f>
        <v>3.0795437306305846</v>
      </c>
      <c r="G22" s="328">
        <f>27.26+486.43</f>
        <v>513.69000000000005</v>
      </c>
      <c r="H22" s="328">
        <f>1.84+3.63+0.11+37.14+100.23+0.21</f>
        <v>143.16</v>
      </c>
      <c r="I22" s="328">
        <f>10.08+202.91</f>
        <v>212.99</v>
      </c>
      <c r="J22" s="328">
        <f>SUM(G22:H22)/I22</f>
        <v>3.0839476031738577</v>
      </c>
      <c r="K22" s="328">
        <f>167.33+524.89</f>
        <v>692.22</v>
      </c>
      <c r="L22" s="328"/>
      <c r="M22" s="328"/>
      <c r="N22" s="328">
        <f>+C22+D22+G22+H22+K22+L22</f>
        <v>14137.83</v>
      </c>
    </row>
    <row r="23" spans="1:14" ht="15.75">
      <c r="A23" s="327" t="s">
        <v>688</v>
      </c>
      <c r="B23" s="3"/>
      <c r="C23" s="329">
        <v>7251.15</v>
      </c>
      <c r="D23" s="329">
        <f>813.83+1654.38+3.39</f>
        <v>2471.6</v>
      </c>
      <c r="E23" s="329">
        <v>3348.9259999999999</v>
      </c>
      <c r="F23" s="328">
        <f>SUM(C23:D23)/E23</f>
        <v>2.9032442042613065</v>
      </c>
      <c r="G23" s="329">
        <f>20.92+613.28+94.82</f>
        <v>729.02</v>
      </c>
      <c r="H23" s="329">
        <f>1.48+2.91+0.09+49.69+134.12+0.28+7.52+20.31+0.04</f>
        <v>216.44000000000003</v>
      </c>
      <c r="I23" s="329">
        <f>8.093+271.491+41.124</f>
        <v>320.70800000000003</v>
      </c>
      <c r="J23" s="328">
        <f>SUM(G23:H23)/I23</f>
        <v>2.948039961584993</v>
      </c>
      <c r="K23" s="328">
        <v>21.6</v>
      </c>
      <c r="L23" s="328"/>
      <c r="M23" s="328"/>
      <c r="N23" s="328">
        <f>+C23+D23+G23+H23+K23+L23</f>
        <v>10689.810000000001</v>
      </c>
    </row>
    <row r="24" spans="1:14" ht="15.75">
      <c r="A24" s="327"/>
      <c r="B24" s="3"/>
      <c r="C24" s="229">
        <f>SUM(C22:C23)</f>
        <v>16975.14</v>
      </c>
      <c r="D24" s="229">
        <f>SUM(D22:D23)</f>
        <v>5536.37</v>
      </c>
      <c r="E24" s="229">
        <f>SUM(E22:E23)</f>
        <v>7501.7360000000008</v>
      </c>
      <c r="F24" s="328"/>
      <c r="G24" s="229">
        <f>SUM(G22:G23)</f>
        <v>1242.71</v>
      </c>
      <c r="H24" s="328">
        <f>SUM(H22:H23)</f>
        <v>359.6</v>
      </c>
      <c r="I24" s="229">
        <f>SUM(I22:I23)</f>
        <v>533.69800000000009</v>
      </c>
      <c r="J24" s="328"/>
      <c r="K24" s="328"/>
      <c r="L24" s="229"/>
      <c r="M24" s="328"/>
      <c r="N24" s="328"/>
    </row>
    <row r="25" spans="1:14" ht="15.75">
      <c r="A25" s="327"/>
      <c r="B25" s="3"/>
      <c r="C25" s="328"/>
      <c r="D25" s="328"/>
      <c r="E25" s="328"/>
      <c r="F25" s="328"/>
      <c r="G25" s="328"/>
      <c r="H25" s="328"/>
      <c r="I25" s="328"/>
      <c r="J25" s="328"/>
      <c r="K25" s="328"/>
      <c r="L25" s="229"/>
      <c r="M25" s="328"/>
      <c r="N25" s="328"/>
    </row>
    <row r="26" spans="1:14" ht="31.5">
      <c r="A26" s="331" t="s">
        <v>689</v>
      </c>
      <c r="B26" s="3"/>
      <c r="C26" s="328">
        <f>-C6-C7</f>
        <v>-19690.789999999997</v>
      </c>
      <c r="D26" s="328">
        <f>-D6-D7</f>
        <v>-5012.0599999999995</v>
      </c>
      <c r="E26" s="328">
        <f>-E6-E7</f>
        <v>-6791.4570000000003</v>
      </c>
      <c r="F26" s="328"/>
      <c r="G26" s="328">
        <f>-G6-G7</f>
        <v>-1489.6100000000001</v>
      </c>
      <c r="H26" s="328">
        <f>-H6-H7</f>
        <v>-345.53999999999996</v>
      </c>
      <c r="I26" s="328">
        <f>-I6-I7</f>
        <v>-509.63900000000001</v>
      </c>
      <c r="J26" s="328"/>
      <c r="K26" s="328">
        <f>-K6-K7</f>
        <v>-3787.71</v>
      </c>
      <c r="L26" s="229"/>
      <c r="M26" s="328"/>
      <c r="N26" s="328"/>
    </row>
    <row r="27" spans="1:14" ht="15.75">
      <c r="A27" s="327"/>
      <c r="B27" s="3"/>
      <c r="C27" s="328"/>
      <c r="D27" s="328"/>
      <c r="E27" s="328"/>
      <c r="F27" s="328"/>
      <c r="G27" s="328"/>
      <c r="H27" s="328"/>
      <c r="I27" s="328"/>
      <c r="J27" s="328"/>
      <c r="K27" s="328"/>
      <c r="L27" s="229"/>
      <c r="M27" s="328"/>
      <c r="N27" s="328"/>
    </row>
    <row r="28" spans="1:14" ht="31.5">
      <c r="A28" s="331" t="s">
        <v>690</v>
      </c>
      <c r="B28" s="3"/>
      <c r="C28" s="329">
        <f>+C24</f>
        <v>16975.14</v>
      </c>
      <c r="D28" s="329">
        <f>+D24</f>
        <v>5536.37</v>
      </c>
      <c r="E28" s="329">
        <f>+E24</f>
        <v>7501.7360000000008</v>
      </c>
      <c r="F28" s="328"/>
      <c r="G28" s="329">
        <f>+G24</f>
        <v>1242.71</v>
      </c>
      <c r="H28" s="329">
        <f>+H24</f>
        <v>359.6</v>
      </c>
      <c r="I28" s="329">
        <f>+I24</f>
        <v>533.69800000000009</v>
      </c>
      <c r="J28" s="328"/>
      <c r="K28" s="329">
        <f>+K24</f>
        <v>0</v>
      </c>
      <c r="L28" s="229"/>
      <c r="M28" s="328"/>
      <c r="N28" s="328"/>
    </row>
    <row r="29" spans="1:14" ht="15.75">
      <c r="A29" s="327"/>
      <c r="B29" s="3"/>
      <c r="C29" s="328">
        <f>+C19+C26+C28</f>
        <v>105296.67000000001</v>
      </c>
      <c r="D29" s="328">
        <f>+D19+D26+D28</f>
        <v>31800.920000000002</v>
      </c>
      <c r="E29" s="328">
        <f>+E19+E26+E28</f>
        <v>43522.630000000005</v>
      </c>
      <c r="F29" s="328">
        <f>(C29+D29)/E29</f>
        <v>3.1500299958894948</v>
      </c>
      <c r="G29" s="328">
        <f>+G19+G26+G28</f>
        <v>6414.3199999999988</v>
      </c>
      <c r="H29" s="328">
        <f>+H19+H26+H28</f>
        <v>1764.1799999999998</v>
      </c>
      <c r="I29" s="328">
        <f>+I19+I26+I28</f>
        <v>2674.076</v>
      </c>
      <c r="J29" s="328">
        <f>(G29+H29)/I29</f>
        <v>3.0584396255005459</v>
      </c>
      <c r="K29" s="328">
        <f>+K19+K26+K28</f>
        <v>3594.2300000000005</v>
      </c>
      <c r="L29" s="229"/>
      <c r="M29" s="328"/>
      <c r="N29" s="328"/>
    </row>
    <row r="30" spans="1:14" ht="15.75">
      <c r="A30" s="327"/>
      <c r="B30" s="3"/>
      <c r="C30" s="328"/>
      <c r="D30" s="328"/>
      <c r="E30" s="328"/>
      <c r="F30" s="328"/>
      <c r="G30" s="328"/>
      <c r="H30" s="328"/>
      <c r="I30" s="328"/>
      <c r="J30" s="328"/>
      <c r="K30" s="229"/>
      <c r="L30" s="229"/>
      <c r="M30" s="328"/>
      <c r="N30" s="328"/>
    </row>
    <row r="31" spans="1:14" ht="15.75">
      <c r="A31" s="332"/>
      <c r="B31" s="3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328"/>
      <c r="N31" s="328"/>
    </row>
    <row r="32" spans="1:14" ht="15.75">
      <c r="A32" s="333" t="s">
        <v>691</v>
      </c>
      <c r="B32" s="3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328"/>
      <c r="N32" s="328"/>
    </row>
    <row r="33" spans="1:14" ht="15.75">
      <c r="A33" s="3" t="s">
        <v>692</v>
      </c>
      <c r="B33" s="3"/>
      <c r="C33" s="229"/>
      <c r="D33" s="229"/>
      <c r="E33" s="229">
        <f>+E29</f>
        <v>43522.630000000005</v>
      </c>
      <c r="F33" s="229"/>
      <c r="G33" s="229"/>
      <c r="H33" s="229"/>
      <c r="I33" s="229">
        <f>+I29</f>
        <v>2674.076</v>
      </c>
      <c r="J33" s="229"/>
      <c r="K33" s="229"/>
      <c r="L33" s="229"/>
      <c r="M33" s="328"/>
      <c r="N33" s="328"/>
    </row>
    <row r="34" spans="1:14" ht="15.75">
      <c r="A34" s="3" t="s">
        <v>693</v>
      </c>
      <c r="B34" s="3"/>
      <c r="C34" s="229"/>
      <c r="D34" s="229"/>
      <c r="E34" s="292">
        <f>+F29</f>
        <v>3.1500299958894948</v>
      </c>
      <c r="F34" s="229"/>
      <c r="G34" s="229"/>
      <c r="H34" s="229"/>
      <c r="I34" s="292">
        <f>+J29</f>
        <v>3.0584396255005459</v>
      </c>
      <c r="J34" s="229"/>
      <c r="K34" s="229"/>
      <c r="L34" s="229"/>
      <c r="M34" s="328"/>
      <c r="N34" s="328"/>
    </row>
    <row r="35" spans="1:14" ht="15.75">
      <c r="A35" s="3" t="s">
        <v>694</v>
      </c>
      <c r="B35" s="3"/>
      <c r="C35" s="229"/>
      <c r="D35" s="229"/>
      <c r="E35" s="229">
        <f>E33*E34</f>
        <v>137097.59000000003</v>
      </c>
      <c r="F35" s="229"/>
      <c r="G35" s="229"/>
      <c r="H35" s="229"/>
      <c r="I35" s="229">
        <f>I33*I34</f>
        <v>8178.4999999999982</v>
      </c>
      <c r="J35" s="229"/>
      <c r="K35" s="229"/>
      <c r="L35" s="229"/>
      <c r="M35" s="328"/>
      <c r="N35" s="328"/>
    </row>
    <row r="36" spans="1:14" ht="15.75">
      <c r="A36" s="332" t="s">
        <v>695</v>
      </c>
      <c r="B36" s="3"/>
      <c r="C36" s="229"/>
      <c r="D36" s="229"/>
      <c r="E36" s="292">
        <f>+C19+D19</f>
        <v>139288.93</v>
      </c>
      <c r="F36" s="229"/>
      <c r="G36" s="229"/>
      <c r="H36" s="229"/>
      <c r="I36" s="292">
        <f>+G19+H19</f>
        <v>8411.34</v>
      </c>
      <c r="J36" s="229"/>
      <c r="K36" s="229"/>
      <c r="L36" s="229"/>
      <c r="M36" s="328"/>
      <c r="N36" s="328"/>
    </row>
    <row r="37" spans="1:14" ht="15.75">
      <c r="A37" s="3" t="s">
        <v>210</v>
      </c>
      <c r="B37" s="3"/>
      <c r="C37" s="229"/>
      <c r="D37" s="229"/>
      <c r="E37" s="229">
        <f>+E35-E36</f>
        <v>-2191.3399999999674</v>
      </c>
      <c r="F37" s="229"/>
      <c r="G37" s="229"/>
      <c r="H37" s="229"/>
      <c r="I37" s="229">
        <f>+I35-I36</f>
        <v>-232.84000000000196</v>
      </c>
      <c r="J37" s="229"/>
      <c r="K37" s="229"/>
      <c r="L37" s="229"/>
      <c r="M37" s="328"/>
      <c r="N37" s="328"/>
    </row>
    <row r="38" spans="1:14">
      <c r="E38" s="8"/>
      <c r="F38" s="8"/>
      <c r="G38" s="8"/>
      <c r="H38" s="8"/>
      <c r="I38" s="334"/>
      <c r="J38" s="8"/>
      <c r="K38" s="8"/>
      <c r="L38" s="8"/>
      <c r="M38" s="334"/>
      <c r="N38" s="334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6C78C-0EAF-4B6E-A8F1-2947963E62D1}">
  <dimension ref="A1:AH38"/>
  <sheetViews>
    <sheetView workbookViewId="0">
      <selection sqref="A1:A3"/>
    </sheetView>
  </sheetViews>
  <sheetFormatPr defaultRowHeight="15"/>
  <cols>
    <col min="1" max="1" width="25.85546875" bestFit="1" customWidth="1"/>
    <col min="2" max="2" width="17.42578125" customWidth="1"/>
    <col min="3" max="3" width="9.5703125" bestFit="1" customWidth="1"/>
    <col min="4" max="4" width="2.7109375" customWidth="1"/>
    <col min="5" max="5" width="10.140625" bestFit="1" customWidth="1"/>
    <col min="6" max="6" width="9.28515625" customWidth="1"/>
    <col min="7" max="7" width="10.140625" customWidth="1"/>
    <col min="8" max="8" width="9.28515625" customWidth="1"/>
    <col min="9" max="9" width="10.140625" customWidth="1"/>
    <col min="10" max="10" width="9.28515625" customWidth="1"/>
    <col min="11" max="11" width="10.140625" customWidth="1"/>
    <col min="12" max="12" width="9.28515625" customWidth="1"/>
    <col min="13" max="13" width="10.140625" customWidth="1"/>
    <col min="14" max="14" width="9.28515625" customWidth="1"/>
    <col min="15" max="15" width="10.140625" customWidth="1"/>
    <col min="16" max="16" width="9.28515625" customWidth="1"/>
    <col min="17" max="17" width="10.140625" customWidth="1"/>
    <col min="18" max="18" width="9.28515625" customWidth="1"/>
    <col min="19" max="19" width="10.140625" customWidth="1"/>
    <col min="20" max="20" width="9.28515625" customWidth="1"/>
    <col min="21" max="21" width="10.140625" customWidth="1"/>
    <col min="22" max="22" width="9.28515625" customWidth="1"/>
    <col min="23" max="23" width="10.140625" customWidth="1"/>
    <col min="24" max="24" width="9.28515625" customWidth="1"/>
    <col min="25" max="25" width="10.140625" customWidth="1"/>
    <col min="26" max="26" width="9.28515625" customWidth="1"/>
    <col min="27" max="27" width="10.140625" customWidth="1"/>
    <col min="28" max="28" width="9.28515625" customWidth="1"/>
    <col min="29" max="29" width="11.28515625" bestFit="1" customWidth="1"/>
    <col min="30" max="30" width="10.140625" customWidth="1"/>
    <col min="34" max="34" width="13.7109375" customWidth="1"/>
  </cols>
  <sheetData>
    <row r="1" spans="1:34" ht="18.75">
      <c r="A1" s="335" t="s">
        <v>0</v>
      </c>
      <c r="B1" s="335"/>
      <c r="C1" s="335"/>
      <c r="D1" s="335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336"/>
      <c r="AD1" s="336"/>
    </row>
    <row r="2" spans="1:34" ht="18.75">
      <c r="A2" s="337" t="s">
        <v>698</v>
      </c>
      <c r="B2" s="337"/>
      <c r="C2" s="335"/>
      <c r="D2" s="335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6"/>
      <c r="AD2" s="336"/>
    </row>
    <row r="3" spans="1:34" ht="18.75">
      <c r="A3" s="337" t="s">
        <v>206</v>
      </c>
      <c r="B3" s="337"/>
      <c r="C3" s="335"/>
      <c r="D3" s="335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</row>
    <row r="4" spans="1:34" ht="15.75">
      <c r="A4" s="322"/>
      <c r="B4" s="322"/>
      <c r="C4" s="321"/>
      <c r="D4" s="321"/>
    </row>
    <row r="5" spans="1:34" ht="60">
      <c r="A5" s="338"/>
      <c r="B5" s="338"/>
      <c r="C5" s="339"/>
      <c r="D5" s="339"/>
      <c r="E5" s="386" t="s">
        <v>699</v>
      </c>
      <c r="F5" s="387"/>
      <c r="G5" s="386" t="s">
        <v>700</v>
      </c>
      <c r="H5" s="387"/>
      <c r="I5" s="386" t="s">
        <v>701</v>
      </c>
      <c r="J5" s="387"/>
      <c r="K5" s="386" t="s">
        <v>702</v>
      </c>
      <c r="L5" s="387"/>
      <c r="M5" s="386" t="s">
        <v>703</v>
      </c>
      <c r="N5" s="387"/>
      <c r="O5" s="386" t="s">
        <v>704</v>
      </c>
      <c r="P5" s="387"/>
      <c r="Q5" s="386" t="s">
        <v>705</v>
      </c>
      <c r="R5" s="387"/>
      <c r="S5" s="386" t="s">
        <v>681</v>
      </c>
      <c r="T5" s="387"/>
      <c r="U5" s="386" t="s">
        <v>706</v>
      </c>
      <c r="V5" s="387"/>
      <c r="W5" s="386" t="s">
        <v>707</v>
      </c>
      <c r="X5" s="387"/>
      <c r="Y5" s="386" t="s">
        <v>708</v>
      </c>
      <c r="Z5" s="387"/>
      <c r="AA5" s="386" t="s">
        <v>709</v>
      </c>
      <c r="AB5" s="387"/>
      <c r="AC5" s="384" t="s">
        <v>2</v>
      </c>
      <c r="AD5" s="385"/>
      <c r="AF5" s="340" t="s">
        <v>710</v>
      </c>
      <c r="AG5" s="340" t="s">
        <v>711</v>
      </c>
      <c r="AH5" s="340" t="s">
        <v>712</v>
      </c>
    </row>
    <row r="6" spans="1:34" ht="15.75">
      <c r="A6" s="341" t="s">
        <v>713</v>
      </c>
      <c r="B6" s="341" t="s">
        <v>722</v>
      </c>
      <c r="C6" s="341" t="s">
        <v>714</v>
      </c>
      <c r="D6" s="342"/>
      <c r="E6" s="343" t="s">
        <v>715</v>
      </c>
      <c r="F6" s="343" t="s">
        <v>716</v>
      </c>
      <c r="G6" s="343" t="s">
        <v>715</v>
      </c>
      <c r="H6" s="343" t="s">
        <v>716</v>
      </c>
      <c r="I6" s="343" t="s">
        <v>715</v>
      </c>
      <c r="J6" s="343" t="s">
        <v>716</v>
      </c>
      <c r="K6" s="343" t="s">
        <v>715</v>
      </c>
      <c r="L6" s="343" t="s">
        <v>716</v>
      </c>
      <c r="M6" s="343" t="s">
        <v>715</v>
      </c>
      <c r="N6" s="343" t="s">
        <v>716</v>
      </c>
      <c r="O6" s="343" t="s">
        <v>715</v>
      </c>
      <c r="P6" s="343" t="s">
        <v>716</v>
      </c>
      <c r="Q6" s="343" t="s">
        <v>715</v>
      </c>
      <c r="R6" s="343" t="s">
        <v>716</v>
      </c>
      <c r="S6" s="343" t="s">
        <v>715</v>
      </c>
      <c r="T6" s="343" t="s">
        <v>716</v>
      </c>
      <c r="U6" s="343" t="s">
        <v>715</v>
      </c>
      <c r="V6" s="343" t="s">
        <v>716</v>
      </c>
      <c r="W6" s="343" t="s">
        <v>715</v>
      </c>
      <c r="X6" s="343" t="s">
        <v>716</v>
      </c>
      <c r="Y6" s="343" t="s">
        <v>715</v>
      </c>
      <c r="Z6" s="343" t="s">
        <v>716</v>
      </c>
      <c r="AA6" s="343" t="s">
        <v>715</v>
      </c>
      <c r="AB6" s="343" t="s">
        <v>716</v>
      </c>
      <c r="AC6" s="343" t="s">
        <v>715</v>
      </c>
      <c r="AD6" s="343" t="s">
        <v>716</v>
      </c>
    </row>
    <row r="7" spans="1:34" ht="15.75">
      <c r="A7" s="344" t="s">
        <v>723</v>
      </c>
      <c r="B7" s="351">
        <v>1</v>
      </c>
      <c r="C7" s="345" t="s">
        <v>717</v>
      </c>
      <c r="D7" s="338"/>
      <c r="E7" s="339">
        <v>6121</v>
      </c>
      <c r="F7" s="339">
        <v>227.2136474411048</v>
      </c>
      <c r="G7" s="339">
        <v>4807</v>
      </c>
      <c r="H7" s="339">
        <v>179.5288383428107</v>
      </c>
      <c r="I7" s="339">
        <v>3684</v>
      </c>
      <c r="J7" s="339">
        <v>149.63444354183591</v>
      </c>
      <c r="K7" s="339">
        <v>4415.1899999999996</v>
      </c>
      <c r="L7" s="339">
        <v>176.25006769564041</v>
      </c>
      <c r="M7" s="339">
        <v>4079.74</v>
      </c>
      <c r="N7" s="339">
        <v>163.16666666666666</v>
      </c>
      <c r="O7" s="339">
        <v>4333.12</v>
      </c>
      <c r="P7" s="339">
        <v>176</v>
      </c>
      <c r="Q7" s="339">
        <v>4258.2299999999996</v>
      </c>
      <c r="R7" s="339">
        <v>171.83319794205249</v>
      </c>
      <c r="S7" s="339">
        <v>4506.5</v>
      </c>
      <c r="T7" s="339">
        <v>180.33387489845654</v>
      </c>
      <c r="U7" s="339">
        <v>4453.1400000000003</v>
      </c>
      <c r="V7" s="339">
        <v>178.41659897102625</v>
      </c>
      <c r="W7" s="339">
        <v>4448.01</v>
      </c>
      <c r="X7" s="339">
        <v>179.33319794205249</v>
      </c>
      <c r="Y7" s="339">
        <v>4786.5300000000007</v>
      </c>
      <c r="Z7" s="339">
        <v>187.99972921743839</v>
      </c>
      <c r="AA7" s="339">
        <v>5062.4999999999991</v>
      </c>
      <c r="AB7" s="339">
        <v>196.87544002166257</v>
      </c>
      <c r="AC7" s="339">
        <v>54954.96</v>
      </c>
      <c r="AD7" s="339">
        <v>2166.5857026807471</v>
      </c>
      <c r="AF7" s="346">
        <f>(25.62/24.62)-1</f>
        <v>4.0617384240454912E-2</v>
      </c>
      <c r="AG7" s="297">
        <f>ROUND(AC7*AF7,2)</f>
        <v>2232.13</v>
      </c>
      <c r="AH7" s="297">
        <f>+AC7+AG7</f>
        <v>57187.09</v>
      </c>
    </row>
    <row r="8" spans="1:34" ht="15.75">
      <c r="A8" s="344" t="s">
        <v>723</v>
      </c>
      <c r="B8" s="351">
        <f>+B7+1</f>
        <v>2</v>
      </c>
      <c r="C8" s="345" t="s">
        <v>717</v>
      </c>
      <c r="D8" s="338"/>
      <c r="E8" s="339">
        <v>3989.54</v>
      </c>
      <c r="F8" s="339">
        <v>158.77471751412429</v>
      </c>
      <c r="G8" s="339">
        <v>3667.55</v>
      </c>
      <c r="H8" s="339">
        <v>155.03912429378531</v>
      </c>
      <c r="I8" s="339">
        <v>3733.67</v>
      </c>
      <c r="J8" s="339">
        <v>156.0135593220339</v>
      </c>
      <c r="K8" s="339">
        <v>2668.77</v>
      </c>
      <c r="L8" s="339">
        <v>113.08347457627117</v>
      </c>
      <c r="M8" s="339">
        <v>3492.63</v>
      </c>
      <c r="N8" s="339">
        <v>147.99279661016951</v>
      </c>
      <c r="O8" s="339">
        <v>4207.6000000000004</v>
      </c>
      <c r="P8" s="339">
        <v>178.28813559322035</v>
      </c>
      <c r="Q8" s="339">
        <v>3458.3</v>
      </c>
      <c r="R8" s="339">
        <v>146.53813559322035</v>
      </c>
      <c r="S8" s="339">
        <v>4009.95</v>
      </c>
      <c r="T8" s="339">
        <v>154.875</v>
      </c>
      <c r="U8" s="339">
        <v>4435.7299999999996</v>
      </c>
      <c r="V8" s="339">
        <v>186.7879943502825</v>
      </c>
      <c r="W8" s="339">
        <v>5544.93</v>
      </c>
      <c r="X8" s="339">
        <v>225.03799435028247</v>
      </c>
      <c r="Y8" s="339">
        <v>5294.5999999999995</v>
      </c>
      <c r="Z8" s="339">
        <v>213.84745762711862</v>
      </c>
      <c r="AA8" s="339">
        <v>4512.8500000000004</v>
      </c>
      <c r="AB8" s="339">
        <v>183.0141242937853</v>
      </c>
      <c r="AC8" s="339">
        <v>49016.12</v>
      </c>
      <c r="AD8" s="339">
        <v>2019.292514124294</v>
      </c>
      <c r="AF8" s="346">
        <f>(24.1/23.6)-1</f>
        <v>2.1186440677966045E-2</v>
      </c>
      <c r="AG8" s="297">
        <f t="shared" ref="AG8:AG22" si="0">ROUND(AC8*AF8,2)</f>
        <v>1038.48</v>
      </c>
      <c r="AH8" s="297">
        <f t="shared" ref="AH8:AH22" si="1">+AC8+AG8</f>
        <v>50054.600000000006</v>
      </c>
    </row>
    <row r="9" spans="1:34" ht="15.75">
      <c r="A9" s="344" t="s">
        <v>723</v>
      </c>
      <c r="B9" s="351">
        <f t="shared" ref="B9:B22" si="2">+B8+1</f>
        <v>3</v>
      </c>
      <c r="C9" s="345" t="s">
        <v>717</v>
      </c>
      <c r="D9" s="338"/>
      <c r="E9" s="339">
        <v>5757.92</v>
      </c>
      <c r="F9" s="339">
        <v>203.66679012345679</v>
      </c>
      <c r="G9" s="339">
        <v>4385.33</v>
      </c>
      <c r="H9" s="339">
        <v>157.28382716049381</v>
      </c>
      <c r="I9" s="339">
        <v>4355</v>
      </c>
      <c r="J9" s="339">
        <v>160.97530864197532</v>
      </c>
      <c r="K9" s="339">
        <v>5392.3</v>
      </c>
      <c r="L9" s="339">
        <v>195.04654320987655</v>
      </c>
      <c r="M9" s="339">
        <v>4214.38</v>
      </c>
      <c r="N9" s="339">
        <v>156.08814814814815</v>
      </c>
      <c r="O9" s="339">
        <v>4633.76</v>
      </c>
      <c r="P9" s="339">
        <v>171.02654320987654</v>
      </c>
      <c r="Q9" s="339">
        <v>4090.63</v>
      </c>
      <c r="R9" s="339">
        <v>151.50481481481481</v>
      </c>
      <c r="S9" s="339">
        <v>4730</v>
      </c>
      <c r="T9" s="339">
        <v>175.18518518518519</v>
      </c>
      <c r="U9" s="339">
        <v>4732.29</v>
      </c>
      <c r="V9" s="339">
        <v>175.10024691358024</v>
      </c>
      <c r="W9" s="339">
        <v>4895</v>
      </c>
      <c r="X9" s="339">
        <v>181.12654320987653</v>
      </c>
      <c r="Y9" s="339">
        <v>5192.92</v>
      </c>
      <c r="Z9" s="339">
        <v>188.93530864197533</v>
      </c>
      <c r="AA9" s="339">
        <v>5494.2800000000007</v>
      </c>
      <c r="AB9" s="339">
        <v>197.7627160493827</v>
      </c>
      <c r="AC9" s="339">
        <v>57873.81</v>
      </c>
      <c r="AD9" s="339">
        <v>2113.7019753086415</v>
      </c>
      <c r="AF9" s="346">
        <f>(28/27)-1</f>
        <v>3.7037037037036979E-2</v>
      </c>
      <c r="AG9" s="297">
        <f t="shared" si="0"/>
        <v>2143.4699999999998</v>
      </c>
      <c r="AH9" s="297">
        <f t="shared" si="1"/>
        <v>60017.279999999999</v>
      </c>
    </row>
    <row r="10" spans="1:34" ht="15.75">
      <c r="A10" s="344" t="s">
        <v>723</v>
      </c>
      <c r="B10" s="351">
        <f t="shared" si="2"/>
        <v>4</v>
      </c>
      <c r="C10" s="345" t="s">
        <v>717</v>
      </c>
      <c r="D10" s="338"/>
      <c r="E10" s="339">
        <v>5620.38</v>
      </c>
      <c r="F10" s="339">
        <v>222.89145958297632</v>
      </c>
      <c r="G10" s="339">
        <v>4222.1099999999997</v>
      </c>
      <c r="H10" s="339">
        <v>171.71593830334194</v>
      </c>
      <c r="I10" s="339">
        <v>4017.3</v>
      </c>
      <c r="J10" s="339">
        <v>169.4398743216224</v>
      </c>
      <c r="K10" s="339">
        <v>5164.95</v>
      </c>
      <c r="L10" s="339">
        <v>210.41673807483579</v>
      </c>
      <c r="M10" s="339">
        <v>4362.6400000000003</v>
      </c>
      <c r="N10" s="339">
        <v>181.91688089117395</v>
      </c>
      <c r="O10" s="339">
        <v>4733.16</v>
      </c>
      <c r="P10" s="339">
        <v>197.66680948300481</v>
      </c>
      <c r="Q10" s="339">
        <v>4196.34</v>
      </c>
      <c r="R10" s="339">
        <v>175.41673807483576</v>
      </c>
      <c r="S10" s="339">
        <v>4280.95</v>
      </c>
      <c r="T10" s="339">
        <v>180.87517852042271</v>
      </c>
      <c r="U10" s="339">
        <v>5015.1899999999996</v>
      </c>
      <c r="V10" s="339">
        <v>204.33361896600971</v>
      </c>
      <c r="W10" s="339">
        <v>4747.74</v>
      </c>
      <c r="X10" s="339">
        <v>188.58326192516427</v>
      </c>
      <c r="Y10" s="339">
        <v>4811.93</v>
      </c>
      <c r="Z10" s="339">
        <v>198</v>
      </c>
      <c r="AA10" s="339">
        <v>4974.34</v>
      </c>
      <c r="AB10" s="339">
        <v>203.87503570408455</v>
      </c>
      <c r="AC10" s="339">
        <v>56147.03</v>
      </c>
      <c r="AD10" s="339">
        <v>2305.1315338474719</v>
      </c>
      <c r="AF10" s="346">
        <f>+(23.84/23.34)-1</f>
        <v>2.1422450728363351E-2</v>
      </c>
      <c r="AG10" s="297">
        <f t="shared" si="0"/>
        <v>1202.81</v>
      </c>
      <c r="AH10" s="297">
        <f t="shared" si="1"/>
        <v>57349.84</v>
      </c>
    </row>
    <row r="11" spans="1:34" ht="15.75">
      <c r="A11" s="344" t="s">
        <v>723</v>
      </c>
      <c r="B11" s="351">
        <f t="shared" si="2"/>
        <v>5</v>
      </c>
      <c r="C11" s="345" t="s">
        <v>717</v>
      </c>
      <c r="D11" s="338"/>
      <c r="E11" s="339">
        <v>5073.55</v>
      </c>
      <c r="F11" s="339">
        <v>201.81519565838335</v>
      </c>
      <c r="G11" s="339">
        <v>4117.24</v>
      </c>
      <c r="H11" s="339">
        <v>168.25192802056554</v>
      </c>
      <c r="I11" s="339">
        <v>4393.63</v>
      </c>
      <c r="J11" s="339">
        <v>185.03570408454732</v>
      </c>
      <c r="K11" s="339">
        <v>4719.75</v>
      </c>
      <c r="L11" s="339">
        <v>194.37774921451012</v>
      </c>
      <c r="M11" s="339">
        <v>4498.9399999999996</v>
      </c>
      <c r="N11" s="339">
        <v>180.4895744073122</v>
      </c>
      <c r="O11" s="339">
        <v>4419.29</v>
      </c>
      <c r="P11" s="339">
        <v>179.92030848329051</v>
      </c>
      <c r="Q11" s="339">
        <v>3854.99</v>
      </c>
      <c r="R11" s="339">
        <v>165.16666666666666</v>
      </c>
      <c r="S11" s="339">
        <v>4224.55</v>
      </c>
      <c r="T11" s="339">
        <v>177.33376178234792</v>
      </c>
      <c r="U11" s="339">
        <v>4618.3999999999996</v>
      </c>
      <c r="V11" s="339">
        <v>188.58326192516424</v>
      </c>
      <c r="W11" s="339">
        <v>4478.3599999999997</v>
      </c>
      <c r="X11" s="339">
        <v>187.91659525849758</v>
      </c>
      <c r="Y11" s="339">
        <v>4450.17</v>
      </c>
      <c r="Z11" s="339">
        <v>185.41702370751213</v>
      </c>
      <c r="AA11" s="339">
        <v>4292.62</v>
      </c>
      <c r="AB11" s="339">
        <v>181.41688089117395</v>
      </c>
      <c r="AC11" s="339">
        <v>53141.490000000005</v>
      </c>
      <c r="AD11" s="339">
        <v>2195.7246500999713</v>
      </c>
      <c r="AF11" s="346">
        <f>(23.84/23.34)-1</f>
        <v>2.1422450728363351E-2</v>
      </c>
      <c r="AG11" s="297">
        <f t="shared" si="0"/>
        <v>1138.42</v>
      </c>
      <c r="AH11" s="297">
        <f t="shared" si="1"/>
        <v>54279.91</v>
      </c>
    </row>
    <row r="12" spans="1:34" ht="15.75">
      <c r="A12" s="344" t="s">
        <v>723</v>
      </c>
      <c r="B12" s="351">
        <f t="shared" si="2"/>
        <v>6</v>
      </c>
      <c r="C12" s="345" t="s">
        <v>717</v>
      </c>
      <c r="D12" s="338"/>
      <c r="E12" s="339">
        <v>5104.62</v>
      </c>
      <c r="F12" s="339">
        <v>210.21750928306199</v>
      </c>
      <c r="G12" s="339">
        <v>4963.46</v>
      </c>
      <c r="H12" s="339">
        <v>196.57369323050557</v>
      </c>
      <c r="I12" s="339">
        <v>4595.59</v>
      </c>
      <c r="J12" s="339">
        <v>187.79891459582976</v>
      </c>
      <c r="K12" s="339">
        <v>5392.51</v>
      </c>
      <c r="L12" s="339">
        <v>218.91659525849758</v>
      </c>
      <c r="M12" s="339">
        <v>4350.96</v>
      </c>
      <c r="N12" s="339">
        <v>178.99985718366179</v>
      </c>
      <c r="O12" s="339">
        <v>4402.51</v>
      </c>
      <c r="P12" s="339">
        <v>185.66680948300487</v>
      </c>
      <c r="Q12" s="339">
        <v>4231.3500000000004</v>
      </c>
      <c r="R12" s="339">
        <v>177.50014281633818</v>
      </c>
      <c r="S12" s="339">
        <v>4574.6499999999996</v>
      </c>
      <c r="T12" s="339">
        <v>187.50042844901458</v>
      </c>
      <c r="U12" s="339">
        <v>4813.87</v>
      </c>
      <c r="V12" s="339">
        <v>196.83319051699516</v>
      </c>
      <c r="W12" s="339">
        <v>5304.02</v>
      </c>
      <c r="X12" s="339">
        <v>212.16680948300487</v>
      </c>
      <c r="Y12" s="339">
        <v>4590.2</v>
      </c>
      <c r="Z12" s="339">
        <v>191.33333333333329</v>
      </c>
      <c r="AA12" s="339">
        <v>4668</v>
      </c>
      <c r="AB12" s="339">
        <v>194.58340474150245</v>
      </c>
      <c r="AC12" s="339">
        <v>56991.740000000005</v>
      </c>
      <c r="AD12" s="339">
        <v>2338.0906883747502</v>
      </c>
      <c r="AF12" s="346">
        <f>(23.84/23.34)-1</f>
        <v>2.1422450728363351E-2</v>
      </c>
      <c r="AG12" s="297">
        <f t="shared" si="0"/>
        <v>1220.9000000000001</v>
      </c>
      <c r="AH12" s="297">
        <f t="shared" si="1"/>
        <v>58212.640000000007</v>
      </c>
    </row>
    <row r="13" spans="1:34" ht="15.75">
      <c r="A13" s="344" t="s">
        <v>723</v>
      </c>
      <c r="B13" s="351">
        <f t="shared" si="2"/>
        <v>7</v>
      </c>
      <c r="C13" s="345" t="s">
        <v>717</v>
      </c>
      <c r="D13" s="338"/>
      <c r="E13" s="339">
        <v>5130.68</v>
      </c>
      <c r="F13" s="339">
        <v>199.15009997143676</v>
      </c>
      <c r="G13" s="339">
        <v>5167.29</v>
      </c>
      <c r="H13" s="339">
        <v>202.1790916880891</v>
      </c>
      <c r="I13" s="339">
        <v>5328.4</v>
      </c>
      <c r="J13" s="339">
        <v>212.73750357040845</v>
      </c>
      <c r="K13" s="339">
        <v>5434.58</v>
      </c>
      <c r="L13" s="339">
        <v>215.98700371322479</v>
      </c>
      <c r="M13" s="339">
        <v>4126.3500000000004</v>
      </c>
      <c r="N13" s="339">
        <v>169.84718651813768</v>
      </c>
      <c r="O13" s="339">
        <v>4331.08</v>
      </c>
      <c r="P13" s="339">
        <v>179.91859468723223</v>
      </c>
      <c r="Q13" s="339">
        <v>4022.26</v>
      </c>
      <c r="R13" s="339">
        <v>172.16666666666669</v>
      </c>
      <c r="S13" s="339">
        <v>4095.21</v>
      </c>
      <c r="T13" s="339">
        <v>174.583833190517</v>
      </c>
      <c r="U13" s="339">
        <v>4392.78</v>
      </c>
      <c r="V13" s="339">
        <v>184.58326192516424</v>
      </c>
      <c r="W13" s="339">
        <v>5165.92</v>
      </c>
      <c r="X13" s="339">
        <v>208.66666666666669</v>
      </c>
      <c r="Y13" s="339">
        <v>4922.8</v>
      </c>
      <c r="Z13" s="339">
        <v>199.75021422450729</v>
      </c>
      <c r="AA13" s="339">
        <v>4891.67</v>
      </c>
      <c r="AB13" s="339">
        <v>199.70808340474153</v>
      </c>
      <c r="AC13" s="339">
        <v>57009.020000000004</v>
      </c>
      <c r="AD13" s="339">
        <v>2319.2782062267925</v>
      </c>
      <c r="AF13" s="346">
        <f>(23.84/23.34)-1</f>
        <v>2.1422450728363351E-2</v>
      </c>
      <c r="AG13" s="297">
        <f t="shared" si="0"/>
        <v>1221.27</v>
      </c>
      <c r="AH13" s="297">
        <f t="shared" si="1"/>
        <v>58230.29</v>
      </c>
    </row>
    <row r="14" spans="1:34" ht="15.75">
      <c r="A14" s="344" t="s">
        <v>723</v>
      </c>
      <c r="B14" s="351">
        <f t="shared" si="2"/>
        <v>8</v>
      </c>
      <c r="C14" s="345" t="s">
        <v>717</v>
      </c>
      <c r="D14" s="338"/>
      <c r="E14" s="339">
        <v>4618.3100000000004</v>
      </c>
      <c r="F14" s="339">
        <v>192.3467580691231</v>
      </c>
      <c r="G14" s="339">
        <v>3937.66</v>
      </c>
      <c r="H14" s="339">
        <v>167.16509568694659</v>
      </c>
      <c r="I14" s="339">
        <v>4262.8100000000004</v>
      </c>
      <c r="J14" s="339">
        <v>165.13496143958869</v>
      </c>
      <c r="K14" s="339">
        <v>4746.55</v>
      </c>
      <c r="L14" s="339">
        <v>197.67780634104543</v>
      </c>
      <c r="M14" s="339">
        <v>4062.15</v>
      </c>
      <c r="N14" s="339">
        <v>169.95572693516138</v>
      </c>
      <c r="O14" s="339">
        <v>4271.6000000000004</v>
      </c>
      <c r="P14" s="339">
        <v>181.0782633533276</v>
      </c>
      <c r="Q14" s="339">
        <v>4210.63</v>
      </c>
      <c r="R14" s="339">
        <v>179.30862610682664</v>
      </c>
      <c r="S14" s="339">
        <v>4135.8999999999996</v>
      </c>
      <c r="T14" s="339">
        <v>175.85404170237075</v>
      </c>
      <c r="U14" s="339">
        <v>4371.8999999999996</v>
      </c>
      <c r="V14" s="339">
        <v>184.70151385318482</v>
      </c>
      <c r="W14" s="339">
        <v>4567.58</v>
      </c>
      <c r="X14" s="339">
        <v>192.36918023421879</v>
      </c>
      <c r="Y14" s="339">
        <v>4385.67</v>
      </c>
      <c r="Z14" s="339">
        <v>184.61739502999143</v>
      </c>
      <c r="AA14" s="339">
        <v>4727.87</v>
      </c>
      <c r="AB14" s="339">
        <v>196.45615538417593</v>
      </c>
      <c r="AC14" s="339">
        <v>52298.630000000005</v>
      </c>
      <c r="AD14" s="339">
        <v>2186.6655241359613</v>
      </c>
      <c r="AF14" s="346">
        <f>(24.34/23.34)-1</f>
        <v>4.2844901456726703E-2</v>
      </c>
      <c r="AG14" s="297">
        <f t="shared" si="0"/>
        <v>2240.73</v>
      </c>
      <c r="AH14" s="297">
        <f t="shared" si="1"/>
        <v>54539.360000000008</v>
      </c>
    </row>
    <row r="15" spans="1:34" ht="15.75">
      <c r="A15" s="344" t="s">
        <v>723</v>
      </c>
      <c r="B15" s="351">
        <f t="shared" si="2"/>
        <v>9</v>
      </c>
      <c r="C15" s="345" t="s">
        <v>718</v>
      </c>
      <c r="D15" s="338"/>
      <c r="E15" s="339">
        <v>1801.83</v>
      </c>
      <c r="F15" s="339">
        <v>92.401538461538465</v>
      </c>
      <c r="G15" s="339">
        <v>1714.75</v>
      </c>
      <c r="H15" s="339">
        <v>87.935897435897445</v>
      </c>
      <c r="I15" s="339">
        <v>1657.75</v>
      </c>
      <c r="J15" s="339">
        <v>85.012820512820511</v>
      </c>
      <c r="K15" s="339">
        <v>1932.76</v>
      </c>
      <c r="L15" s="339">
        <v>99.115897435897438</v>
      </c>
      <c r="M15" s="339">
        <v>1768</v>
      </c>
      <c r="N15" s="339">
        <v>90.666666666666671</v>
      </c>
      <c r="O15" s="339">
        <v>1826.5</v>
      </c>
      <c r="P15" s="339">
        <v>93.666666666666671</v>
      </c>
      <c r="Q15" s="339">
        <v>1826.5</v>
      </c>
      <c r="R15" s="339">
        <v>93.666666666666671</v>
      </c>
      <c r="S15" s="339">
        <v>1894.75</v>
      </c>
      <c r="T15" s="339">
        <v>97.166666666666671</v>
      </c>
      <c r="U15" s="339">
        <v>1951.62</v>
      </c>
      <c r="V15" s="339">
        <v>100.08307692307692</v>
      </c>
      <c r="W15" s="339">
        <v>2024.75</v>
      </c>
      <c r="X15" s="339">
        <v>103.83333333333333</v>
      </c>
      <c r="Y15" s="339">
        <v>1958.13</v>
      </c>
      <c r="Z15" s="339">
        <v>100.41692307692308</v>
      </c>
      <c r="AA15" s="339">
        <v>2172.63</v>
      </c>
      <c r="AB15" s="339">
        <v>111.41692307692308</v>
      </c>
      <c r="AC15" s="339">
        <v>22529.97</v>
      </c>
      <c r="AD15" s="339">
        <v>1155.3830769230767</v>
      </c>
      <c r="AF15" s="346">
        <f>+(20.25/19.5)-1</f>
        <v>3.8461538461538547E-2</v>
      </c>
      <c r="AG15" s="297">
        <f t="shared" si="0"/>
        <v>866.54</v>
      </c>
      <c r="AH15" s="297">
        <f t="shared" si="1"/>
        <v>23396.510000000002</v>
      </c>
    </row>
    <row r="16" spans="1:34" ht="15.75">
      <c r="A16" s="344" t="s">
        <v>723</v>
      </c>
      <c r="B16" s="351">
        <f t="shared" si="2"/>
        <v>10</v>
      </c>
      <c r="C16" s="345" t="s">
        <v>718</v>
      </c>
      <c r="D16" s="338"/>
      <c r="E16" s="339">
        <v>2690</v>
      </c>
      <c r="F16" s="339">
        <v>110.9278350515464</v>
      </c>
      <c r="G16" s="339">
        <v>2316</v>
      </c>
      <c r="H16" s="339">
        <v>95.505154639175259</v>
      </c>
      <c r="I16" s="339">
        <v>2556</v>
      </c>
      <c r="J16" s="339">
        <v>105.4020618556701</v>
      </c>
      <c r="K16" s="339">
        <v>2831.19</v>
      </c>
      <c r="L16" s="339">
        <v>116.7501030927835</v>
      </c>
      <c r="M16" s="339">
        <v>2534.13</v>
      </c>
      <c r="N16" s="339">
        <v>104.50020618556701</v>
      </c>
      <c r="O16" s="339">
        <v>2716</v>
      </c>
      <c r="P16" s="339">
        <v>112</v>
      </c>
      <c r="Q16" s="339">
        <v>2619</v>
      </c>
      <c r="R16" s="339">
        <v>108</v>
      </c>
      <c r="S16" s="339">
        <v>2546.25</v>
      </c>
      <c r="T16" s="339">
        <v>105</v>
      </c>
      <c r="U16" s="339">
        <v>2673.56</v>
      </c>
      <c r="V16" s="339">
        <v>110.2498969072165</v>
      </c>
      <c r="W16" s="339">
        <v>2867.56</v>
      </c>
      <c r="X16" s="339">
        <v>118.2498969072165</v>
      </c>
      <c r="Y16" s="339">
        <v>2843.31</v>
      </c>
      <c r="Z16" s="339">
        <v>117.2498969072165</v>
      </c>
      <c r="AA16" s="339">
        <v>2724.08</v>
      </c>
      <c r="AB16" s="339">
        <v>106.33319587628866</v>
      </c>
      <c r="AC16" s="339">
        <v>31917.08</v>
      </c>
      <c r="AD16" s="339">
        <v>1310.1682474226805</v>
      </c>
      <c r="AF16" s="346">
        <f>(24.75/24.25)-1</f>
        <v>2.0618556701030855E-2</v>
      </c>
      <c r="AG16" s="297">
        <f t="shared" si="0"/>
        <v>658.08</v>
      </c>
      <c r="AH16" s="297">
        <f t="shared" si="1"/>
        <v>32575.160000000003</v>
      </c>
    </row>
    <row r="17" spans="1:34" ht="15.75">
      <c r="A17" s="344" t="s">
        <v>723</v>
      </c>
      <c r="B17" s="351">
        <f t="shared" si="2"/>
        <v>11</v>
      </c>
      <c r="C17" s="345" t="s">
        <v>719</v>
      </c>
      <c r="D17" s="338"/>
      <c r="E17" s="339">
        <v>10857.59</v>
      </c>
      <c r="F17" s="339">
        <v>173</v>
      </c>
      <c r="G17" s="339">
        <v>10857.59</v>
      </c>
      <c r="H17" s="339">
        <v>173</v>
      </c>
      <c r="I17" s="339">
        <v>10857.59</v>
      </c>
      <c r="J17" s="339">
        <v>173</v>
      </c>
      <c r="K17" s="339">
        <v>10857.59</v>
      </c>
      <c r="L17" s="339">
        <v>173</v>
      </c>
      <c r="M17" s="339">
        <v>10857.59</v>
      </c>
      <c r="N17" s="339">
        <v>173</v>
      </c>
      <c r="O17" s="339">
        <v>10857.59</v>
      </c>
      <c r="P17" s="339">
        <v>173</v>
      </c>
      <c r="Q17" s="339">
        <v>10857.59</v>
      </c>
      <c r="R17" s="339">
        <v>173</v>
      </c>
      <c r="S17" s="339">
        <v>10857.59</v>
      </c>
      <c r="T17" s="339">
        <v>173</v>
      </c>
      <c r="U17" s="339">
        <v>10857.59</v>
      </c>
      <c r="V17" s="339">
        <v>173</v>
      </c>
      <c r="W17" s="339">
        <v>10857.59</v>
      </c>
      <c r="X17" s="339">
        <v>173</v>
      </c>
      <c r="Y17" s="339">
        <v>10857.59</v>
      </c>
      <c r="Z17" s="339">
        <v>173</v>
      </c>
      <c r="AA17" s="339">
        <v>10857.59</v>
      </c>
      <c r="AB17" s="339">
        <v>173</v>
      </c>
      <c r="AC17" s="339">
        <v>130291.07999999997</v>
      </c>
      <c r="AD17" s="339">
        <v>2076</v>
      </c>
      <c r="AG17" s="297">
        <f>800*12</f>
        <v>9600</v>
      </c>
      <c r="AH17" s="297">
        <f t="shared" si="1"/>
        <v>139891.07999999996</v>
      </c>
    </row>
    <row r="18" spans="1:34" ht="15.75">
      <c r="A18" s="344" t="s">
        <v>723</v>
      </c>
      <c r="B18" s="351">
        <f t="shared" si="2"/>
        <v>12</v>
      </c>
      <c r="C18" s="345" t="s">
        <v>719</v>
      </c>
      <c r="D18" s="338"/>
      <c r="E18" s="339">
        <v>1666.67</v>
      </c>
      <c r="F18" s="339">
        <v>173</v>
      </c>
      <c r="G18" s="339">
        <v>1666.67</v>
      </c>
      <c r="H18" s="339">
        <v>173</v>
      </c>
      <c r="I18" s="339">
        <v>1666.67</v>
      </c>
      <c r="J18" s="339">
        <v>173</v>
      </c>
      <c r="K18" s="339">
        <v>1666.67</v>
      </c>
      <c r="L18" s="339">
        <v>173</v>
      </c>
      <c r="M18" s="339">
        <v>1666.67</v>
      </c>
      <c r="N18" s="339">
        <v>173</v>
      </c>
      <c r="O18" s="339">
        <v>1666.67</v>
      </c>
      <c r="P18" s="339">
        <v>173</v>
      </c>
      <c r="Q18" s="339">
        <v>1666.67</v>
      </c>
      <c r="R18" s="339">
        <v>173</v>
      </c>
      <c r="S18" s="339">
        <v>1666.67</v>
      </c>
      <c r="T18" s="339">
        <v>173</v>
      </c>
      <c r="U18" s="339">
        <v>1666.67</v>
      </c>
      <c r="V18" s="339">
        <v>173</v>
      </c>
      <c r="W18" s="339">
        <v>1666.67</v>
      </c>
      <c r="X18" s="339">
        <v>173</v>
      </c>
      <c r="Y18" s="339">
        <v>1666.67</v>
      </c>
      <c r="Z18" s="339">
        <v>173</v>
      </c>
      <c r="AA18" s="339">
        <v>1666.67</v>
      </c>
      <c r="AB18" s="339">
        <v>173</v>
      </c>
      <c r="AC18" s="339">
        <v>20000.04</v>
      </c>
      <c r="AD18" s="339">
        <v>2076</v>
      </c>
      <c r="AG18" s="297">
        <v>0</v>
      </c>
      <c r="AH18" s="297">
        <f t="shared" si="1"/>
        <v>20000.04</v>
      </c>
    </row>
    <row r="19" spans="1:34" ht="15.75">
      <c r="A19" s="344" t="s">
        <v>723</v>
      </c>
      <c r="B19" s="351">
        <f t="shared" si="2"/>
        <v>13</v>
      </c>
      <c r="C19" s="345" t="s">
        <v>719</v>
      </c>
      <c r="D19" s="338"/>
      <c r="E19" s="339">
        <v>4333.33</v>
      </c>
      <c r="F19" s="339">
        <v>173</v>
      </c>
      <c r="G19" s="339">
        <v>4333.33</v>
      </c>
      <c r="H19" s="339">
        <v>173</v>
      </c>
      <c r="I19" s="339">
        <v>4333.33</v>
      </c>
      <c r="J19" s="339">
        <v>173</v>
      </c>
      <c r="K19" s="339">
        <v>6700</v>
      </c>
      <c r="L19" s="339">
        <v>173</v>
      </c>
      <c r="M19" s="339">
        <v>6700</v>
      </c>
      <c r="N19" s="339">
        <v>173</v>
      </c>
      <c r="O19" s="339">
        <v>6700</v>
      </c>
      <c r="P19" s="339">
        <v>173</v>
      </c>
      <c r="Q19" s="339">
        <v>6700</v>
      </c>
      <c r="R19" s="339">
        <v>173</v>
      </c>
      <c r="S19" s="339">
        <v>6700</v>
      </c>
      <c r="T19" s="339">
        <v>173</v>
      </c>
      <c r="U19" s="339">
        <v>6700</v>
      </c>
      <c r="V19" s="339">
        <v>173</v>
      </c>
      <c r="W19" s="339">
        <v>6700</v>
      </c>
      <c r="X19" s="339">
        <v>173</v>
      </c>
      <c r="Y19" s="339">
        <v>6700</v>
      </c>
      <c r="Z19" s="339">
        <v>173</v>
      </c>
      <c r="AA19" s="339">
        <v>6700</v>
      </c>
      <c r="AB19" s="339">
        <v>173</v>
      </c>
      <c r="AC19" s="339">
        <v>73299.989999999991</v>
      </c>
      <c r="AD19" s="339">
        <v>2076</v>
      </c>
      <c r="AG19" s="297">
        <f>1216.66*12</f>
        <v>14599.920000000002</v>
      </c>
      <c r="AH19" s="297">
        <f t="shared" si="1"/>
        <v>87899.909999999989</v>
      </c>
    </row>
    <row r="20" spans="1:34" ht="15.75">
      <c r="A20" s="344" t="s">
        <v>723</v>
      </c>
      <c r="B20" s="351">
        <f t="shared" si="2"/>
        <v>14</v>
      </c>
      <c r="C20" s="345" t="s">
        <v>720</v>
      </c>
      <c r="D20" s="338"/>
      <c r="E20" s="339">
        <v>3380</v>
      </c>
      <c r="F20" s="339">
        <v>148.57142857142858</v>
      </c>
      <c r="G20" s="339">
        <v>3679.5</v>
      </c>
      <c r="H20" s="339">
        <v>161.17199589159742</v>
      </c>
      <c r="I20" s="339">
        <v>3499.83</v>
      </c>
      <c r="J20" s="339">
        <v>153.83868131868132</v>
      </c>
      <c r="K20" s="339">
        <v>3890.33</v>
      </c>
      <c r="L20" s="339">
        <v>170.84229709932612</v>
      </c>
      <c r="M20" s="339">
        <v>3525.5</v>
      </c>
      <c r="N20" s="339">
        <v>154.88642327493775</v>
      </c>
      <c r="O20" s="339">
        <v>3564.92</v>
      </c>
      <c r="P20" s="339">
        <v>156.57886568163744</v>
      </c>
      <c r="Q20" s="339">
        <v>3947.13</v>
      </c>
      <c r="R20" s="339">
        <v>173.33343099912102</v>
      </c>
      <c r="S20" s="339">
        <v>3822.01</v>
      </c>
      <c r="T20" s="339">
        <v>168.00043956043956</v>
      </c>
      <c r="U20" s="339">
        <v>3897.83</v>
      </c>
      <c r="V20" s="339">
        <v>171.33318681318681</v>
      </c>
      <c r="W20" s="339">
        <v>2710.1</v>
      </c>
      <c r="X20" s="339">
        <v>118.91686203043953</v>
      </c>
      <c r="Y20" s="339">
        <v>1143.19</v>
      </c>
      <c r="Z20" s="339">
        <v>50.25010989010989</v>
      </c>
      <c r="AA20" s="339">
        <v>2631.46</v>
      </c>
      <c r="AB20" s="339">
        <v>115.66857142857143</v>
      </c>
      <c r="AC20" s="339">
        <v>39691.800000000003</v>
      </c>
      <c r="AD20" s="339">
        <v>1743.3922925594768</v>
      </c>
      <c r="AF20" s="346">
        <f>+(23.75/22.75)-1</f>
        <v>4.3956043956044022E-2</v>
      </c>
      <c r="AG20" s="297">
        <f t="shared" si="0"/>
        <v>1744.69</v>
      </c>
      <c r="AH20" s="297">
        <f t="shared" si="1"/>
        <v>41436.490000000005</v>
      </c>
    </row>
    <row r="21" spans="1:34" ht="15.75">
      <c r="A21" s="344" t="s">
        <v>723</v>
      </c>
      <c r="B21" s="351">
        <f t="shared" si="2"/>
        <v>15</v>
      </c>
      <c r="C21" s="345" t="s">
        <v>720</v>
      </c>
      <c r="D21" s="338"/>
      <c r="E21" s="339">
        <v>4725.33</v>
      </c>
      <c r="F21" s="339">
        <v>154.62830142139759</v>
      </c>
      <c r="G21" s="339">
        <v>2434.33</v>
      </c>
      <c r="H21" s="339">
        <v>69.210084033613441</v>
      </c>
      <c r="I21" s="339">
        <v>3596.73</v>
      </c>
      <c r="J21" s="339">
        <v>120.89848739495798</v>
      </c>
      <c r="K21" s="339">
        <v>4378.7299999999996</v>
      </c>
      <c r="L21" s="339">
        <v>13.18420168067227</v>
      </c>
      <c r="M21" s="339">
        <v>4705.9799999999996</v>
      </c>
      <c r="N21" s="339">
        <v>158.18420168067226</v>
      </c>
      <c r="O21" s="339">
        <v>4698.54</v>
      </c>
      <c r="P21" s="339">
        <v>157.93411764705886</v>
      </c>
      <c r="Q21" s="339">
        <v>4810.1099999999997</v>
      </c>
      <c r="R21" s="339">
        <v>161.68436974789918</v>
      </c>
      <c r="S21" s="339">
        <v>5152.24</v>
      </c>
      <c r="T21" s="339">
        <v>160.00033613445379</v>
      </c>
      <c r="U21" s="339">
        <v>5092.7299999999996</v>
      </c>
      <c r="V21" s="339">
        <v>171.18420168067226</v>
      </c>
      <c r="W21" s="339">
        <v>5635.69</v>
      </c>
      <c r="X21" s="339">
        <v>187.68431371293755</v>
      </c>
      <c r="Y21" s="339">
        <v>5092.7299999999996</v>
      </c>
      <c r="Z21" s="339">
        <v>171.18420168067226</v>
      </c>
      <c r="AA21" s="339">
        <v>5754.67</v>
      </c>
      <c r="AB21" s="339">
        <v>193.43428571428572</v>
      </c>
      <c r="AC21" s="339">
        <v>56077.81</v>
      </c>
      <c r="AD21" s="339">
        <v>1719.2111025292934</v>
      </c>
      <c r="AF21" s="346">
        <f>(30.25/29.75)-1</f>
        <v>1.6806722689075571E-2</v>
      </c>
      <c r="AG21" s="297">
        <f t="shared" si="0"/>
        <v>942.48</v>
      </c>
      <c r="AH21" s="297">
        <f t="shared" si="1"/>
        <v>57020.29</v>
      </c>
    </row>
    <row r="22" spans="1:34" ht="15.75">
      <c r="A22" s="344" t="s">
        <v>723</v>
      </c>
      <c r="B22" s="351">
        <f t="shared" si="2"/>
        <v>16</v>
      </c>
      <c r="C22" s="345" t="s">
        <v>720</v>
      </c>
      <c r="D22" s="338"/>
      <c r="E22" s="347">
        <v>3949</v>
      </c>
      <c r="F22" s="347">
        <v>171.69565217391306</v>
      </c>
      <c r="G22" s="347">
        <v>3867.51</v>
      </c>
      <c r="H22" s="347">
        <v>167.16333333333333</v>
      </c>
      <c r="I22" s="347">
        <v>3831.48</v>
      </c>
      <c r="J22" s="347">
        <v>166.58608695652174</v>
      </c>
      <c r="K22" s="347">
        <v>4199.29</v>
      </c>
      <c r="L22" s="347">
        <v>181.34115942028984</v>
      </c>
      <c r="M22" s="347">
        <v>3622.94</v>
      </c>
      <c r="N22" s="347">
        <v>157.51913043478262</v>
      </c>
      <c r="O22" s="347">
        <v>3461.79</v>
      </c>
      <c r="P22" s="347">
        <v>150.51260869565218</v>
      </c>
      <c r="Q22" s="347">
        <v>3890.83</v>
      </c>
      <c r="R22" s="347">
        <v>169.16652173913045</v>
      </c>
      <c r="S22" s="347">
        <v>3992.42</v>
      </c>
      <c r="T22" s="347">
        <v>172.83347826086955</v>
      </c>
      <c r="U22" s="347">
        <v>3666.58</v>
      </c>
      <c r="V22" s="347">
        <v>159.41652173913045</v>
      </c>
      <c r="W22" s="347">
        <v>4289.5</v>
      </c>
      <c r="X22" s="347">
        <v>185.66666666666666</v>
      </c>
      <c r="Y22" s="347">
        <v>3825.67</v>
      </c>
      <c r="Z22" s="347">
        <v>166.33347826086955</v>
      </c>
      <c r="AA22" s="347">
        <v>3438.5</v>
      </c>
      <c r="AB22" s="347">
        <v>149.5</v>
      </c>
      <c r="AC22" s="347">
        <v>46035.509999999995</v>
      </c>
      <c r="AD22" s="347">
        <v>1997.7346376811595</v>
      </c>
      <c r="AF22" s="346">
        <f>(25/23)-1</f>
        <v>8.6956521739130377E-2</v>
      </c>
      <c r="AG22" s="299">
        <f t="shared" si="0"/>
        <v>4003.09</v>
      </c>
      <c r="AH22" s="299">
        <f t="shared" si="1"/>
        <v>50038.599999999991</v>
      </c>
    </row>
    <row r="23" spans="1:34" ht="15.75">
      <c r="A23" s="338"/>
      <c r="B23" s="338"/>
      <c r="C23" s="338"/>
      <c r="D23" s="338"/>
      <c r="E23" s="339">
        <f t="shared" ref="E23:V23" si="3">SUM(E7:E22)</f>
        <v>74819.75</v>
      </c>
      <c r="F23" s="339">
        <f t="shared" si="3"/>
        <v>2813.3009333234913</v>
      </c>
      <c r="G23" s="339">
        <f t="shared" si="3"/>
        <v>66137.319999999992</v>
      </c>
      <c r="H23" s="339">
        <f t="shared" si="3"/>
        <v>2497.7240020601553</v>
      </c>
      <c r="I23" s="339">
        <f t="shared" si="3"/>
        <v>66369.780000000013</v>
      </c>
      <c r="J23" s="339">
        <f t="shared" si="3"/>
        <v>2537.5084075564932</v>
      </c>
      <c r="K23" s="339">
        <f t="shared" si="3"/>
        <v>74391.16</v>
      </c>
      <c r="L23" s="339">
        <f t="shared" si="3"/>
        <v>2621.9896368128711</v>
      </c>
      <c r="M23" s="339">
        <f t="shared" si="3"/>
        <v>68568.599999999991</v>
      </c>
      <c r="N23" s="339">
        <f t="shared" si="3"/>
        <v>2533.213465603058</v>
      </c>
      <c r="O23" s="339">
        <f t="shared" si="3"/>
        <v>70824.12999999999</v>
      </c>
      <c r="P23" s="339">
        <f t="shared" si="3"/>
        <v>2639.2577229839721</v>
      </c>
      <c r="Q23" s="339">
        <f t="shared" si="3"/>
        <v>68640.559999999983</v>
      </c>
      <c r="R23" s="339">
        <f t="shared" si="3"/>
        <v>2564.2859778342395</v>
      </c>
      <c r="S23" s="339">
        <f t="shared" si="3"/>
        <v>71189.64</v>
      </c>
      <c r="T23" s="339">
        <f t="shared" si="3"/>
        <v>2628.5422243507442</v>
      </c>
      <c r="U23" s="339">
        <f t="shared" si="3"/>
        <v>73339.87999999999</v>
      </c>
      <c r="V23" s="339">
        <f t="shared" si="3"/>
        <v>2730.60657148469</v>
      </c>
      <c r="W23" s="339">
        <f t="shared" ref="W23:AB23" si="4">SUM(W7:W22)</f>
        <v>75903.420000000013</v>
      </c>
      <c r="X23" s="339">
        <f t="shared" si="4"/>
        <v>2808.551321720357</v>
      </c>
      <c r="Y23" s="339">
        <f t="shared" si="4"/>
        <v>72522.109999999986</v>
      </c>
      <c r="Z23" s="339">
        <f t="shared" si="4"/>
        <v>2674.3350715976676</v>
      </c>
      <c r="AA23" s="339">
        <f t="shared" si="4"/>
        <v>74569.73000000001</v>
      </c>
      <c r="AB23" s="339">
        <f t="shared" si="4"/>
        <v>2749.0448165865773</v>
      </c>
      <c r="AC23" s="339">
        <f>+E23+G23+I23+K23+M23+O23+Q23+S23+U23+W23+Y23+AA23</f>
        <v>857276.08</v>
      </c>
      <c r="AD23" s="339">
        <f>+F23+H23+J23+L23+N23+P23+R23+T23+V23+X23+Z23+AB23</f>
        <v>31798.360151914319</v>
      </c>
      <c r="AG23" s="297">
        <f>SUM(AG7:AG22)</f>
        <v>44853.010000000009</v>
      </c>
      <c r="AH23" s="297">
        <f>+AC23+AG23</f>
        <v>902129.09</v>
      </c>
    </row>
    <row r="24" spans="1:34" ht="15.75">
      <c r="A24" s="338"/>
      <c r="B24" s="338"/>
      <c r="C24" s="338"/>
      <c r="D24" s="338"/>
      <c r="E24" s="339"/>
      <c r="F24" s="339"/>
      <c r="G24" s="339"/>
      <c r="H24" s="339"/>
      <c r="I24" s="339"/>
      <c r="J24" s="339"/>
      <c r="K24" s="339"/>
      <c r="L24" s="339"/>
      <c r="M24" s="339"/>
      <c r="N24" s="339"/>
      <c r="O24" s="339"/>
      <c r="P24" s="339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39"/>
      <c r="AD24" s="339"/>
    </row>
    <row r="25" spans="1:34">
      <c r="A25" s="348"/>
      <c r="B25" s="348"/>
      <c r="C25" s="348"/>
      <c r="D25" s="348"/>
      <c r="E25" s="349"/>
      <c r="F25" s="349"/>
      <c r="G25" s="349"/>
      <c r="H25" s="349"/>
      <c r="I25" s="349"/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49"/>
      <c r="AD25" s="349"/>
    </row>
    <row r="26" spans="1:34">
      <c r="A26" s="348" t="s">
        <v>721</v>
      </c>
      <c r="B26" s="348"/>
      <c r="C26" s="348"/>
      <c r="D26" s="348"/>
      <c r="E26" s="349"/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  <c r="AA26" s="349"/>
      <c r="AB26" s="349"/>
      <c r="AC26" s="349"/>
      <c r="AD26" s="349"/>
    </row>
    <row r="27" spans="1:34">
      <c r="A27" s="348" t="s">
        <v>720</v>
      </c>
      <c r="B27" s="348"/>
      <c r="C27" s="348"/>
      <c r="D27" s="348"/>
      <c r="E27" s="349">
        <f t="shared" ref="E27:AD27" si="5">SUM(E20:E22)</f>
        <v>12054.33</v>
      </c>
      <c r="F27" s="349">
        <f t="shared" si="5"/>
        <v>474.89538216673924</v>
      </c>
      <c r="G27" s="349">
        <f t="shared" si="5"/>
        <v>9981.34</v>
      </c>
      <c r="H27" s="349">
        <f t="shared" si="5"/>
        <v>397.54541325854416</v>
      </c>
      <c r="I27" s="349">
        <f t="shared" si="5"/>
        <v>10928.039999999999</v>
      </c>
      <c r="J27" s="349">
        <f t="shared" si="5"/>
        <v>441.32325567016107</v>
      </c>
      <c r="K27" s="349">
        <f t="shared" si="5"/>
        <v>12468.349999999999</v>
      </c>
      <c r="L27" s="349">
        <f t="shared" si="5"/>
        <v>365.36765820028825</v>
      </c>
      <c r="M27" s="349">
        <f t="shared" si="5"/>
        <v>11854.42</v>
      </c>
      <c r="N27" s="349">
        <f t="shared" si="5"/>
        <v>470.58975539039261</v>
      </c>
      <c r="O27" s="349">
        <f t="shared" si="5"/>
        <v>11725.25</v>
      </c>
      <c r="P27" s="349">
        <f t="shared" si="5"/>
        <v>465.0255920243485</v>
      </c>
      <c r="Q27" s="349">
        <f t="shared" si="5"/>
        <v>12648.07</v>
      </c>
      <c r="R27" s="349">
        <f t="shared" si="5"/>
        <v>504.18432248615068</v>
      </c>
      <c r="S27" s="349">
        <f t="shared" si="5"/>
        <v>12966.67</v>
      </c>
      <c r="T27" s="349">
        <f t="shared" si="5"/>
        <v>500.83425395576296</v>
      </c>
      <c r="U27" s="349">
        <f t="shared" si="5"/>
        <v>12657.14</v>
      </c>
      <c r="V27" s="349">
        <f t="shared" si="5"/>
        <v>501.93391023298955</v>
      </c>
      <c r="W27" s="349">
        <f t="shared" si="5"/>
        <v>12635.289999999999</v>
      </c>
      <c r="X27" s="349">
        <f t="shared" si="5"/>
        <v>492.26784241004373</v>
      </c>
      <c r="Y27" s="349">
        <f t="shared" si="5"/>
        <v>10061.59</v>
      </c>
      <c r="Z27" s="349">
        <f t="shared" si="5"/>
        <v>387.76778983165173</v>
      </c>
      <c r="AA27" s="349">
        <f t="shared" si="5"/>
        <v>11824.630000000001</v>
      </c>
      <c r="AB27" s="349">
        <f t="shared" si="5"/>
        <v>458.60285714285715</v>
      </c>
      <c r="AC27" s="349">
        <f t="shared" si="5"/>
        <v>141805.12</v>
      </c>
      <c r="AD27" s="349">
        <f t="shared" si="5"/>
        <v>5460.3380327699297</v>
      </c>
      <c r="AG27" s="349">
        <f>SUM(AG20:AG22)</f>
        <v>6690.26</v>
      </c>
      <c r="AH27" s="349">
        <f>SUM(AH20:AH22)</f>
        <v>148495.38</v>
      </c>
    </row>
    <row r="28" spans="1:34">
      <c r="A28" s="348" t="s">
        <v>717</v>
      </c>
      <c r="B28" s="348"/>
      <c r="C28" s="348"/>
      <c r="D28" s="348"/>
      <c r="E28" s="349">
        <f t="shared" ref="E28:AD28" si="6">SUM(E7:E14)</f>
        <v>41416</v>
      </c>
      <c r="F28" s="349">
        <f t="shared" si="6"/>
        <v>1616.0761776436675</v>
      </c>
      <c r="G28" s="349">
        <f t="shared" si="6"/>
        <v>35267.64</v>
      </c>
      <c r="H28" s="349">
        <f t="shared" si="6"/>
        <v>1397.7375367265386</v>
      </c>
      <c r="I28" s="349">
        <f t="shared" si="6"/>
        <v>34370.400000000001</v>
      </c>
      <c r="J28" s="349">
        <f t="shared" si="6"/>
        <v>1386.7702695178418</v>
      </c>
      <c r="K28" s="349">
        <f t="shared" si="6"/>
        <v>37934.600000000006</v>
      </c>
      <c r="L28" s="349">
        <f t="shared" si="6"/>
        <v>1521.7559780839017</v>
      </c>
      <c r="M28" s="349">
        <f t="shared" si="6"/>
        <v>33187.79</v>
      </c>
      <c r="N28" s="349">
        <f t="shared" si="6"/>
        <v>1348.4568373604313</v>
      </c>
      <c r="O28" s="349">
        <f t="shared" si="6"/>
        <v>35332.120000000003</v>
      </c>
      <c r="P28" s="349">
        <f t="shared" si="6"/>
        <v>1449.5654642929569</v>
      </c>
      <c r="Q28" s="349">
        <f t="shared" si="6"/>
        <v>32322.73</v>
      </c>
      <c r="R28" s="349">
        <f t="shared" si="6"/>
        <v>1339.4349886814216</v>
      </c>
      <c r="S28" s="349">
        <f t="shared" si="6"/>
        <v>34557.71</v>
      </c>
      <c r="T28" s="349">
        <f t="shared" si="6"/>
        <v>1406.5413037283147</v>
      </c>
      <c r="U28" s="349">
        <f t="shared" si="6"/>
        <v>36833.299999999996</v>
      </c>
      <c r="V28" s="349">
        <f t="shared" si="6"/>
        <v>1499.339687421407</v>
      </c>
      <c r="W28" s="349">
        <f t="shared" si="6"/>
        <v>39151.560000000005</v>
      </c>
      <c r="X28" s="349">
        <f t="shared" si="6"/>
        <v>1575.2002490697637</v>
      </c>
      <c r="Y28" s="349">
        <f t="shared" si="6"/>
        <v>38434.82</v>
      </c>
      <c r="Z28" s="349">
        <f t="shared" si="6"/>
        <v>1549.9004617818766</v>
      </c>
      <c r="AA28" s="349">
        <f t="shared" si="6"/>
        <v>38624.130000000005</v>
      </c>
      <c r="AB28" s="349">
        <f t="shared" si="6"/>
        <v>1553.6918404905089</v>
      </c>
      <c r="AC28" s="349">
        <f t="shared" si="6"/>
        <v>437432.80000000005</v>
      </c>
      <c r="AD28" s="349">
        <f t="shared" si="6"/>
        <v>17644.470794798632</v>
      </c>
      <c r="AG28" s="349">
        <f>SUM(AG7:AG14)</f>
        <v>12438.21</v>
      </c>
      <c r="AH28" s="349">
        <f>SUM(AH7:AH14)</f>
        <v>449871.00999999995</v>
      </c>
    </row>
    <row r="29" spans="1:34">
      <c r="A29" s="348" t="s">
        <v>719</v>
      </c>
      <c r="B29" s="348"/>
      <c r="C29" s="348"/>
      <c r="D29" s="348"/>
      <c r="E29" s="349">
        <f t="shared" ref="E29:AD29" si="7">SUM(E17:E19)</f>
        <v>16857.59</v>
      </c>
      <c r="F29" s="349">
        <f t="shared" si="7"/>
        <v>519</v>
      </c>
      <c r="G29" s="349">
        <f t="shared" si="7"/>
        <v>16857.59</v>
      </c>
      <c r="H29" s="349">
        <f t="shared" si="7"/>
        <v>519</v>
      </c>
      <c r="I29" s="349">
        <f t="shared" si="7"/>
        <v>16857.59</v>
      </c>
      <c r="J29" s="349">
        <f t="shared" si="7"/>
        <v>519</v>
      </c>
      <c r="K29" s="349">
        <f t="shared" si="7"/>
        <v>19224.260000000002</v>
      </c>
      <c r="L29" s="349">
        <f t="shared" si="7"/>
        <v>519</v>
      </c>
      <c r="M29" s="349">
        <f t="shared" si="7"/>
        <v>19224.260000000002</v>
      </c>
      <c r="N29" s="349">
        <f t="shared" si="7"/>
        <v>519</v>
      </c>
      <c r="O29" s="349">
        <f t="shared" si="7"/>
        <v>19224.260000000002</v>
      </c>
      <c r="P29" s="349">
        <f t="shared" si="7"/>
        <v>519</v>
      </c>
      <c r="Q29" s="349">
        <f t="shared" si="7"/>
        <v>19224.260000000002</v>
      </c>
      <c r="R29" s="349">
        <f t="shared" si="7"/>
        <v>519</v>
      </c>
      <c r="S29" s="349">
        <f t="shared" si="7"/>
        <v>19224.260000000002</v>
      </c>
      <c r="T29" s="349">
        <f t="shared" si="7"/>
        <v>519</v>
      </c>
      <c r="U29" s="349">
        <f t="shared" si="7"/>
        <v>19224.260000000002</v>
      </c>
      <c r="V29" s="349">
        <f t="shared" si="7"/>
        <v>519</v>
      </c>
      <c r="W29" s="349">
        <f t="shared" si="7"/>
        <v>19224.260000000002</v>
      </c>
      <c r="X29" s="349">
        <f t="shared" si="7"/>
        <v>519</v>
      </c>
      <c r="Y29" s="349">
        <f t="shared" si="7"/>
        <v>19224.260000000002</v>
      </c>
      <c r="Z29" s="349">
        <f t="shared" si="7"/>
        <v>519</v>
      </c>
      <c r="AA29" s="349">
        <f t="shared" si="7"/>
        <v>19224.260000000002</v>
      </c>
      <c r="AB29" s="349">
        <f t="shared" si="7"/>
        <v>519</v>
      </c>
      <c r="AC29" s="349">
        <f t="shared" si="7"/>
        <v>223591.10999999996</v>
      </c>
      <c r="AD29" s="349">
        <f t="shared" si="7"/>
        <v>6228</v>
      </c>
      <c r="AG29" s="349">
        <f>SUM(AG17:AG19)</f>
        <v>24199.920000000002</v>
      </c>
      <c r="AH29" s="349">
        <f>SUM(AH17:AH19)</f>
        <v>247791.02999999997</v>
      </c>
    </row>
    <row r="30" spans="1:34">
      <c r="A30" s="348" t="s">
        <v>718</v>
      </c>
      <c r="B30" s="348"/>
      <c r="C30" s="348"/>
      <c r="D30" s="348"/>
      <c r="E30" s="350">
        <f t="shared" ref="E30:AD30" si="8">SUM(E15:E16)</f>
        <v>4491.83</v>
      </c>
      <c r="F30" s="350">
        <f t="shared" si="8"/>
        <v>203.32937351308487</v>
      </c>
      <c r="G30" s="350">
        <f t="shared" si="8"/>
        <v>4030.75</v>
      </c>
      <c r="H30" s="350">
        <f t="shared" si="8"/>
        <v>183.44105207507272</v>
      </c>
      <c r="I30" s="350">
        <f t="shared" si="8"/>
        <v>4213.75</v>
      </c>
      <c r="J30" s="350">
        <f t="shared" si="8"/>
        <v>190.41488236849062</v>
      </c>
      <c r="K30" s="350">
        <f t="shared" si="8"/>
        <v>4763.95</v>
      </c>
      <c r="L30" s="350">
        <f t="shared" si="8"/>
        <v>215.86600052868096</v>
      </c>
      <c r="M30" s="350">
        <f t="shared" si="8"/>
        <v>4302.13</v>
      </c>
      <c r="N30" s="350">
        <f t="shared" si="8"/>
        <v>195.16687285223367</v>
      </c>
      <c r="O30" s="350">
        <f t="shared" si="8"/>
        <v>4542.5</v>
      </c>
      <c r="P30" s="350">
        <f t="shared" si="8"/>
        <v>205.66666666666669</v>
      </c>
      <c r="Q30" s="350">
        <f t="shared" si="8"/>
        <v>4445.5</v>
      </c>
      <c r="R30" s="350">
        <f t="shared" si="8"/>
        <v>201.66666666666669</v>
      </c>
      <c r="S30" s="350">
        <f t="shared" si="8"/>
        <v>4441</v>
      </c>
      <c r="T30" s="350">
        <f t="shared" si="8"/>
        <v>202.16666666666669</v>
      </c>
      <c r="U30" s="350">
        <f t="shared" si="8"/>
        <v>4625.18</v>
      </c>
      <c r="V30" s="350">
        <f t="shared" si="8"/>
        <v>210.33297383029341</v>
      </c>
      <c r="W30" s="350">
        <f t="shared" si="8"/>
        <v>4892.3099999999995</v>
      </c>
      <c r="X30" s="350">
        <f t="shared" si="8"/>
        <v>222.08323024054982</v>
      </c>
      <c r="Y30" s="350">
        <f t="shared" si="8"/>
        <v>4801.4400000000005</v>
      </c>
      <c r="Z30" s="350">
        <f t="shared" si="8"/>
        <v>217.66681998413958</v>
      </c>
      <c r="AA30" s="350">
        <f t="shared" si="8"/>
        <v>4896.71</v>
      </c>
      <c r="AB30" s="350">
        <f t="shared" si="8"/>
        <v>217.75011895321174</v>
      </c>
      <c r="AC30" s="350">
        <f t="shared" si="8"/>
        <v>54447.05</v>
      </c>
      <c r="AD30" s="350">
        <f t="shared" si="8"/>
        <v>2465.5513243457572</v>
      </c>
      <c r="AG30" s="350">
        <f>SUM(AG15:AG16)</f>
        <v>1524.62</v>
      </c>
      <c r="AH30" s="350">
        <f>SUM(AH15:AH16)</f>
        <v>55971.670000000006</v>
      </c>
    </row>
    <row r="31" spans="1:34">
      <c r="A31" s="348"/>
      <c r="B31" s="348"/>
      <c r="C31" s="348"/>
      <c r="D31" s="348"/>
      <c r="E31" s="349">
        <f>SUM(E27:E30)</f>
        <v>74819.75</v>
      </c>
      <c r="F31" s="349">
        <f t="shared" ref="F31:AD31" si="9">SUM(F27:F30)</f>
        <v>2813.3009333234913</v>
      </c>
      <c r="G31" s="349">
        <f t="shared" si="9"/>
        <v>66137.319999999992</v>
      </c>
      <c r="H31" s="349">
        <f t="shared" si="9"/>
        <v>2497.7240020601553</v>
      </c>
      <c r="I31" s="349">
        <f t="shared" si="9"/>
        <v>66369.78</v>
      </c>
      <c r="J31" s="349">
        <f t="shared" si="9"/>
        <v>2537.5084075564932</v>
      </c>
      <c r="K31" s="349">
        <f t="shared" si="9"/>
        <v>74391.16</v>
      </c>
      <c r="L31" s="349">
        <f t="shared" si="9"/>
        <v>2621.9896368128711</v>
      </c>
      <c r="M31" s="349">
        <f t="shared" si="9"/>
        <v>68568.600000000006</v>
      </c>
      <c r="N31" s="349">
        <f t="shared" si="9"/>
        <v>2533.2134656030576</v>
      </c>
      <c r="O31" s="349">
        <f t="shared" si="9"/>
        <v>70824.13</v>
      </c>
      <c r="P31" s="349">
        <f t="shared" si="9"/>
        <v>2639.2577229839721</v>
      </c>
      <c r="Q31" s="349">
        <f t="shared" si="9"/>
        <v>68640.56</v>
      </c>
      <c r="R31" s="349">
        <f t="shared" si="9"/>
        <v>2564.2859778342386</v>
      </c>
      <c r="S31" s="349">
        <f t="shared" si="9"/>
        <v>71189.64</v>
      </c>
      <c r="T31" s="349">
        <f t="shared" si="9"/>
        <v>2628.5422243507442</v>
      </c>
      <c r="U31" s="349">
        <f t="shared" si="9"/>
        <v>73339.88</v>
      </c>
      <c r="V31" s="349">
        <f t="shared" si="9"/>
        <v>2730.6065714846895</v>
      </c>
      <c r="W31" s="349">
        <f t="shared" si="9"/>
        <v>75903.420000000013</v>
      </c>
      <c r="X31" s="349">
        <f t="shared" si="9"/>
        <v>2808.551321720357</v>
      </c>
      <c r="Y31" s="349">
        <f t="shared" si="9"/>
        <v>72522.110000000015</v>
      </c>
      <c r="Z31" s="349">
        <f t="shared" si="9"/>
        <v>2674.335071597668</v>
      </c>
      <c r="AA31" s="349">
        <f t="shared" si="9"/>
        <v>74569.730000000025</v>
      </c>
      <c r="AB31" s="349">
        <f t="shared" si="9"/>
        <v>2749.0448165865778</v>
      </c>
      <c r="AC31" s="349">
        <f t="shared" si="9"/>
        <v>857276.08000000007</v>
      </c>
      <c r="AD31" s="349">
        <f t="shared" si="9"/>
        <v>31798.360151914319</v>
      </c>
      <c r="AG31" s="349">
        <f>SUM(AG27:AG30)</f>
        <v>44853.01</v>
      </c>
      <c r="AH31" s="349">
        <f>SUM(AH27:AH30)</f>
        <v>902129.09</v>
      </c>
    </row>
    <row r="32" spans="1:34">
      <c r="A32" s="348"/>
      <c r="B32" s="348"/>
      <c r="C32" s="348"/>
      <c r="D32" s="348"/>
      <c r="E32" s="349"/>
      <c r="F32" s="349"/>
      <c r="G32" s="349"/>
      <c r="H32" s="349"/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49"/>
      <c r="Z32" s="349"/>
      <c r="AA32" s="349"/>
      <c r="AB32" s="349"/>
      <c r="AC32" s="349"/>
      <c r="AD32" s="349"/>
    </row>
    <row r="33" spans="1:30">
      <c r="A33" s="349"/>
      <c r="B33" s="349"/>
      <c r="C33" s="349"/>
      <c r="D33" s="349"/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49"/>
      <c r="P33" s="349"/>
      <c r="Q33" s="349"/>
      <c r="R33" s="349"/>
      <c r="S33" s="349"/>
      <c r="T33" s="349"/>
      <c r="U33" s="349"/>
      <c r="V33" s="349"/>
      <c r="W33" s="349"/>
      <c r="X33" s="349"/>
      <c r="Y33" s="349"/>
      <c r="Z33" s="349"/>
      <c r="AA33" s="349"/>
      <c r="AB33" s="349"/>
      <c r="AC33" s="349"/>
      <c r="AD33" s="349"/>
    </row>
    <row r="34" spans="1:30">
      <c r="A34" s="349" t="s">
        <v>724</v>
      </c>
      <c r="B34" s="349"/>
      <c r="C34" s="349"/>
      <c r="D34" s="349"/>
      <c r="E34" s="349"/>
      <c r="F34" s="349"/>
      <c r="G34" s="349"/>
      <c r="H34" s="349"/>
      <c r="I34" s="349"/>
      <c r="J34" s="349"/>
      <c r="K34" s="349"/>
      <c r="L34" s="349"/>
      <c r="M34" s="349"/>
      <c r="N34" s="349"/>
      <c r="O34" s="349"/>
      <c r="P34" s="349"/>
      <c r="Q34" s="349"/>
      <c r="R34" s="349"/>
      <c r="S34" s="349"/>
      <c r="T34" s="349"/>
      <c r="U34" s="349"/>
      <c r="V34" s="349"/>
      <c r="W34" s="349"/>
      <c r="X34" s="349"/>
      <c r="Y34" s="349"/>
      <c r="Z34" s="349"/>
      <c r="AA34" s="349"/>
      <c r="AB34" s="349"/>
      <c r="AC34" s="349"/>
      <c r="AD34" s="349"/>
    </row>
    <row r="35" spans="1:30">
      <c r="A35" s="349"/>
      <c r="B35" s="349"/>
      <c r="C35" s="349"/>
      <c r="D35" s="349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49"/>
      <c r="AA35" s="349"/>
      <c r="AB35" s="349"/>
      <c r="AC35" s="349"/>
      <c r="AD35" s="349"/>
    </row>
    <row r="36" spans="1:30">
      <c r="A36" s="349"/>
      <c r="B36" s="349"/>
      <c r="C36" s="349"/>
      <c r="D36" s="349"/>
      <c r="E36" s="349"/>
      <c r="F36" s="349"/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49"/>
      <c r="R36" s="349"/>
      <c r="S36" s="349"/>
      <c r="T36" s="349"/>
      <c r="U36" s="349"/>
      <c r="V36" s="349"/>
      <c r="W36" s="349"/>
      <c r="X36" s="349"/>
      <c r="Y36" s="349"/>
      <c r="Z36" s="349"/>
      <c r="AA36" s="349"/>
      <c r="AB36" s="349"/>
      <c r="AC36" s="349"/>
      <c r="AD36" s="349"/>
    </row>
    <row r="37" spans="1:30">
      <c r="A37" s="349"/>
      <c r="B37" s="349"/>
      <c r="C37" s="349"/>
      <c r="D37" s="349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  <c r="X37" s="349"/>
      <c r="Y37" s="349"/>
      <c r="Z37" s="349"/>
      <c r="AA37" s="349"/>
      <c r="AB37" s="349"/>
      <c r="AC37" s="349"/>
      <c r="AD37" s="349"/>
    </row>
    <row r="38" spans="1:30">
      <c r="A38" s="349"/>
      <c r="B38" s="349"/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49"/>
      <c r="Z38" s="349"/>
      <c r="AA38" s="349"/>
      <c r="AB38" s="349"/>
      <c r="AC38" s="349"/>
      <c r="AD38" s="349"/>
    </row>
  </sheetData>
  <mergeCells count="13">
    <mergeCell ref="O5:P5"/>
    <mergeCell ref="E5:F5"/>
    <mergeCell ref="G5:H5"/>
    <mergeCell ref="I5:J5"/>
    <mergeCell ref="K5:L5"/>
    <mergeCell ref="M5:N5"/>
    <mergeCell ref="AC5:AD5"/>
    <mergeCell ref="Q5:R5"/>
    <mergeCell ref="S5:T5"/>
    <mergeCell ref="U5:V5"/>
    <mergeCell ref="W5:X5"/>
    <mergeCell ref="Y5:Z5"/>
    <mergeCell ref="AA5:AB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A19A9-44FA-4537-B5B5-161396E3F254}">
  <dimension ref="A1:K13"/>
  <sheetViews>
    <sheetView workbookViewId="0">
      <selection activeCell="P9" sqref="P9"/>
    </sheetView>
  </sheetViews>
  <sheetFormatPr defaultRowHeight="15"/>
  <cols>
    <col min="11" max="11" width="10.140625" bestFit="1" customWidth="1"/>
  </cols>
  <sheetData>
    <row r="1" spans="1:11" ht="18.75">
      <c r="A1" s="335" t="s">
        <v>0</v>
      </c>
      <c r="B1" s="13"/>
      <c r="C1" s="13"/>
      <c r="D1" s="13"/>
      <c r="E1" s="13"/>
      <c r="F1" s="13"/>
      <c r="G1" s="13"/>
      <c r="H1" s="13"/>
    </row>
    <row r="2" spans="1:11" ht="18.75">
      <c r="A2" s="337" t="s">
        <v>754</v>
      </c>
      <c r="B2" s="13"/>
      <c r="C2" s="13"/>
      <c r="D2" s="13"/>
      <c r="E2" s="13"/>
      <c r="F2" s="13"/>
      <c r="G2" s="13"/>
      <c r="H2" s="13"/>
    </row>
    <row r="3" spans="1:11" ht="18.75">
      <c r="A3" s="337" t="s">
        <v>206</v>
      </c>
      <c r="B3" s="13"/>
      <c r="C3" s="13"/>
      <c r="D3" s="13"/>
      <c r="E3" s="13"/>
      <c r="F3" s="13"/>
      <c r="G3" s="13"/>
      <c r="H3" s="13"/>
    </row>
    <row r="5" spans="1:11">
      <c r="K5" s="297"/>
    </row>
    <row r="6" spans="1:11">
      <c r="A6" t="s">
        <v>755</v>
      </c>
      <c r="K6" s="297">
        <v>113711.73</v>
      </c>
    </row>
    <row r="7" spans="1:11">
      <c r="K7" s="297"/>
    </row>
    <row r="8" spans="1:11">
      <c r="A8" t="s">
        <v>756</v>
      </c>
      <c r="K8" s="299">
        <v>124236</v>
      </c>
    </row>
    <row r="9" spans="1:11">
      <c r="K9" s="297"/>
    </row>
    <row r="10" spans="1:11">
      <c r="A10" t="s">
        <v>711</v>
      </c>
      <c r="K10" s="297">
        <f>+K8-K6</f>
        <v>10524.270000000004</v>
      </c>
    </row>
    <row r="11" spans="1:11">
      <c r="K11" s="297"/>
    </row>
    <row r="12" spans="1:11">
      <c r="K12" s="297"/>
    </row>
    <row r="13" spans="1:11">
      <c r="K13" s="297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25601" r:id="rId4">
          <objectPr defaultSize="0" autoPict="0" r:id="rId5">
            <anchor moveWithCells="1">
              <from>
                <xdr:col>0</xdr:col>
                <xdr:colOff>428625</xdr:colOff>
                <xdr:row>12</xdr:row>
                <xdr:rowOff>114300</xdr:rowOff>
              </from>
              <to>
                <xdr:col>11</xdr:col>
                <xdr:colOff>171450</xdr:colOff>
                <xdr:row>53</xdr:row>
                <xdr:rowOff>114300</xdr:rowOff>
              </to>
            </anchor>
          </objectPr>
        </oleObject>
      </mc:Choice>
      <mc:Fallback>
        <oleObject progId="AcroExch.Document.DC" shapeId="2560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683FD-6FBE-44FB-A1E1-B0548692241B}">
  <dimension ref="L70:M78"/>
  <sheetViews>
    <sheetView topLeftCell="A55" workbookViewId="0">
      <selection activeCell="K85" sqref="K85"/>
    </sheetView>
  </sheetViews>
  <sheetFormatPr defaultRowHeight="15"/>
  <sheetData>
    <row r="70" spans="12:13">
      <c r="L70" s="374">
        <v>646677</v>
      </c>
      <c r="M70" s="186">
        <f>+L70/L77</f>
        <v>0.28992338075148733</v>
      </c>
    </row>
    <row r="71" spans="12:13">
      <c r="L71" s="374"/>
      <c r="M71" s="186"/>
    </row>
    <row r="72" spans="12:13">
      <c r="L72" s="374"/>
      <c r="M72" s="186"/>
    </row>
    <row r="73" spans="12:13">
      <c r="L73" s="374"/>
      <c r="M73" s="186"/>
    </row>
    <row r="74" spans="12:13">
      <c r="L74" s="374"/>
      <c r="M74" s="186"/>
    </row>
    <row r="75" spans="12:13">
      <c r="L75" s="375">
        <v>1583894</v>
      </c>
      <c r="M75" s="186">
        <f>+L75/L77</f>
        <v>0.71010396725412572</v>
      </c>
    </row>
    <row r="76" spans="12:13">
      <c r="L76" s="374"/>
      <c r="M76" s="186"/>
    </row>
    <row r="77" spans="12:13" ht="15.75" thickBot="1">
      <c r="L77" s="376">
        <v>2230510</v>
      </c>
      <c r="M77" s="186">
        <f>+L77/L77</f>
        <v>1</v>
      </c>
    </row>
    <row r="78" spans="12:13" ht="15.75" thickTop="1">
      <c r="L78" s="374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26625" r:id="rId4">
          <objectPr defaultSize="0" autoPict="0" r:id="rId5">
            <anchor moveWithCells="1">
              <from>
                <xdr:col>0</xdr:col>
                <xdr:colOff>142875</xdr:colOff>
                <xdr:row>0</xdr:row>
                <xdr:rowOff>0</xdr:rowOff>
              </from>
              <to>
                <xdr:col>9</xdr:col>
                <xdr:colOff>485775</xdr:colOff>
                <xdr:row>39</xdr:row>
                <xdr:rowOff>114300</xdr:rowOff>
              </to>
            </anchor>
          </objectPr>
        </oleObject>
      </mc:Choice>
      <mc:Fallback>
        <oleObject progId="AcroExch.Document.DC" shapeId="26625" r:id="rId4"/>
      </mc:Fallback>
    </mc:AlternateContent>
    <mc:AlternateContent xmlns:mc="http://schemas.openxmlformats.org/markup-compatibility/2006">
      <mc:Choice Requires="x14">
        <oleObject progId="AcroExch.Document.DC" shapeId="26626" r:id="rId6">
          <objectPr defaultSize="0" autoPict="0" r:id="rId7">
            <anchor moveWithCells="1">
              <from>
                <xdr:col>0</xdr:col>
                <xdr:colOff>142875</xdr:colOff>
                <xdr:row>40</xdr:row>
                <xdr:rowOff>171450</xdr:rowOff>
              </from>
              <to>
                <xdr:col>9</xdr:col>
                <xdr:colOff>485775</xdr:colOff>
                <xdr:row>80</xdr:row>
                <xdr:rowOff>76200</xdr:rowOff>
              </to>
            </anchor>
          </objectPr>
        </oleObject>
      </mc:Choice>
      <mc:Fallback>
        <oleObject progId="AcroExch.Document.DC" shapeId="26626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51ECE-CD5F-43BC-9BD2-9D0DEADD3195}">
  <dimension ref="A1:H21"/>
  <sheetViews>
    <sheetView topLeftCell="A7" workbookViewId="0">
      <selection activeCell="H9" sqref="H9"/>
    </sheetView>
  </sheetViews>
  <sheetFormatPr defaultRowHeight="15"/>
  <sheetData>
    <row r="1" spans="1:8" ht="18.75">
      <c r="A1" s="335" t="s">
        <v>0</v>
      </c>
      <c r="B1" s="13"/>
      <c r="C1" s="13"/>
      <c r="D1" s="13"/>
      <c r="E1" s="13"/>
      <c r="F1" s="13"/>
      <c r="G1" s="13"/>
      <c r="H1" s="13"/>
    </row>
    <row r="2" spans="1:8" ht="18.75">
      <c r="A2" s="337" t="s">
        <v>771</v>
      </c>
      <c r="B2" s="13"/>
      <c r="C2" s="13"/>
      <c r="D2" s="13"/>
      <c r="E2" s="13"/>
      <c r="F2" s="13"/>
      <c r="G2" s="13"/>
      <c r="H2" s="13"/>
    </row>
    <row r="3" spans="1:8" ht="18.75">
      <c r="A3" s="337" t="s">
        <v>206</v>
      </c>
      <c r="B3" s="13"/>
      <c r="C3" s="13"/>
      <c r="D3" s="13"/>
      <c r="E3" s="13"/>
      <c r="F3" s="13"/>
      <c r="G3" s="13"/>
      <c r="H3" s="13"/>
    </row>
    <row r="6" spans="1:8">
      <c r="A6" t="s">
        <v>772</v>
      </c>
    </row>
    <row r="7" spans="1:8">
      <c r="A7" t="s">
        <v>773</v>
      </c>
      <c r="H7" s="297">
        <v>25697.84</v>
      </c>
    </row>
    <row r="8" spans="1:8">
      <c r="A8" t="s">
        <v>774</v>
      </c>
      <c r="H8" s="297">
        <v>12000</v>
      </c>
    </row>
    <row r="9" spans="1:8">
      <c r="H9" s="297"/>
    </row>
    <row r="10" spans="1:8">
      <c r="A10" t="s">
        <v>775</v>
      </c>
      <c r="H10" s="297">
        <v>4000</v>
      </c>
    </row>
    <row r="11" spans="1:8">
      <c r="H11" s="297"/>
    </row>
    <row r="12" spans="1:8">
      <c r="A12" t="s">
        <v>776</v>
      </c>
      <c r="H12" s="297"/>
    </row>
    <row r="13" spans="1:8">
      <c r="A13" t="s">
        <v>777</v>
      </c>
      <c r="H13" s="299">
        <f>5648*1.5</f>
        <v>8472</v>
      </c>
    </row>
    <row r="14" spans="1:8">
      <c r="H14" s="297"/>
    </row>
    <row r="15" spans="1:8">
      <c r="A15" t="s">
        <v>2</v>
      </c>
      <c r="H15" s="297">
        <f>SUM(H7:H13)</f>
        <v>50169.84</v>
      </c>
    </row>
    <row r="16" spans="1:8">
      <c r="H16" s="297"/>
    </row>
    <row r="17" spans="1:8">
      <c r="A17" t="s">
        <v>778</v>
      </c>
      <c r="H17" s="297">
        <f>+H15/4</f>
        <v>12542.46</v>
      </c>
    </row>
    <row r="18" spans="1:8">
      <c r="H18" s="297"/>
    </row>
    <row r="19" spans="1:8">
      <c r="H19" s="297"/>
    </row>
    <row r="20" spans="1:8">
      <c r="H20" s="297"/>
    </row>
    <row r="21" spans="1:8">
      <c r="H21" s="297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FB695-EA0F-4593-A67B-C429D9301DC1}">
  <dimension ref="A1"/>
  <sheetViews>
    <sheetView topLeftCell="A19" workbookViewId="0">
      <selection activeCell="A42" sqref="A42"/>
    </sheetView>
  </sheetViews>
  <sheetFormatPr defaultRowHeight="1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45057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342900</xdr:colOff>
                <xdr:row>39</xdr:row>
                <xdr:rowOff>114300</xdr:rowOff>
              </to>
            </anchor>
          </objectPr>
        </oleObject>
      </mc:Choice>
      <mc:Fallback>
        <oleObject progId="AcroExch.Document.DC" shapeId="45057" r:id="rId4"/>
      </mc:Fallback>
    </mc:AlternateContent>
    <mc:AlternateContent xmlns:mc="http://schemas.openxmlformats.org/markup-compatibility/2006">
      <mc:Choice Requires="x14">
        <oleObject progId="AcroExch.Document.DC" shapeId="45058" r:id="rId6">
          <objectPr defaultSize="0" r:id="rId7">
            <anchor moveWithCells="1">
              <from>
                <xdr:col>0</xdr:col>
                <xdr:colOff>0</xdr:colOff>
                <xdr:row>41</xdr:row>
                <xdr:rowOff>0</xdr:rowOff>
              </from>
              <to>
                <xdr:col>9</xdr:col>
                <xdr:colOff>342900</xdr:colOff>
                <xdr:row>80</xdr:row>
                <xdr:rowOff>114300</xdr:rowOff>
              </to>
            </anchor>
          </objectPr>
        </oleObject>
      </mc:Choice>
      <mc:Fallback>
        <oleObject progId="AcroExch.Document.DC" shapeId="45058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08582-6F30-4C87-8E0E-0BFF025AB8DD}">
  <sheetPr>
    <pageSetUpPr fitToPage="1"/>
  </sheetPr>
  <dimension ref="A1:S66"/>
  <sheetViews>
    <sheetView workbookViewId="0">
      <selection activeCell="H7" sqref="H7"/>
    </sheetView>
  </sheetViews>
  <sheetFormatPr defaultRowHeight="15"/>
  <cols>
    <col min="1" max="1" width="2.85546875" customWidth="1"/>
    <col min="2" max="2" width="4.42578125" bestFit="1" customWidth="1"/>
    <col min="3" max="3" width="25.5703125" bestFit="1" customWidth="1"/>
    <col min="4" max="15" width="10.28515625" customWidth="1"/>
    <col min="16" max="16" width="13.85546875" customWidth="1"/>
    <col min="18" max="18" width="10.5703125" bestFit="1" customWidth="1"/>
  </cols>
  <sheetData>
    <row r="1" spans="1:16" ht="23.25">
      <c r="A1" s="15" t="s">
        <v>0</v>
      </c>
      <c r="B1" s="1"/>
      <c r="C1" s="2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</row>
    <row r="2" spans="1:16" ht="23.25">
      <c r="A2" s="15" t="s">
        <v>1</v>
      </c>
      <c r="B2" s="1"/>
      <c r="C2" s="1"/>
      <c r="D2" s="1"/>
      <c r="E2" s="1"/>
      <c r="F2" s="1"/>
      <c r="G2" s="1"/>
      <c r="H2" s="1"/>
      <c r="I2" s="2"/>
      <c r="J2" s="1"/>
      <c r="K2" s="1"/>
      <c r="L2" s="1"/>
      <c r="M2" s="1"/>
      <c r="N2" s="1"/>
      <c r="O2" s="1"/>
      <c r="P2" s="1"/>
    </row>
    <row r="3" spans="1:16" ht="18.75">
      <c r="A3" s="15" t="s">
        <v>45</v>
      </c>
      <c r="B3" s="13"/>
      <c r="C3" s="13"/>
      <c r="D3" s="5"/>
      <c r="E3" s="5"/>
      <c r="F3" s="5"/>
      <c r="G3" s="5"/>
      <c r="H3" s="5"/>
      <c r="I3" s="5"/>
      <c r="J3" s="13"/>
      <c r="K3" s="13"/>
      <c r="L3" s="13"/>
      <c r="M3" s="13"/>
      <c r="N3" s="13"/>
      <c r="O3" s="13"/>
      <c r="P3" s="13"/>
    </row>
    <row r="4" spans="1:16" ht="16.5" thickBot="1">
      <c r="A4" s="3"/>
      <c r="D4" s="4"/>
      <c r="E4" s="4"/>
      <c r="F4" s="4"/>
      <c r="G4" s="4"/>
      <c r="H4" s="4"/>
      <c r="I4" s="3"/>
    </row>
    <row r="5" spans="1:16" ht="16.5" thickTop="1" thickBot="1">
      <c r="A5" s="8"/>
      <c r="B5" s="16"/>
      <c r="C5" s="17"/>
      <c r="D5" s="18" t="s">
        <v>52</v>
      </c>
      <c r="E5" s="19" t="s">
        <v>53</v>
      </c>
      <c r="F5" s="19" t="s">
        <v>54</v>
      </c>
      <c r="G5" s="19" t="s">
        <v>55</v>
      </c>
      <c r="H5" s="19" t="s">
        <v>56</v>
      </c>
      <c r="I5" s="20" t="s">
        <v>57</v>
      </c>
      <c r="J5" s="19" t="s">
        <v>46</v>
      </c>
      <c r="K5" s="19" t="s">
        <v>47</v>
      </c>
      <c r="L5" s="19" t="s">
        <v>48</v>
      </c>
      <c r="M5" s="19" t="s">
        <v>49</v>
      </c>
      <c r="N5" s="19" t="s">
        <v>50</v>
      </c>
      <c r="O5" s="19" t="s">
        <v>51</v>
      </c>
      <c r="P5" s="21" t="s">
        <v>2</v>
      </c>
    </row>
    <row r="6" spans="1:16" ht="15.75" thickTop="1">
      <c r="A6" s="6" t="s">
        <v>3</v>
      </c>
      <c r="B6" s="16"/>
      <c r="C6" s="8"/>
      <c r="D6" s="22"/>
      <c r="E6" s="22"/>
      <c r="F6" s="22"/>
      <c r="G6" s="22"/>
      <c r="H6" s="22"/>
      <c r="I6" s="8"/>
      <c r="J6" s="16"/>
      <c r="K6" s="16"/>
      <c r="L6" s="16"/>
      <c r="M6" s="16"/>
      <c r="N6" s="16"/>
      <c r="O6" s="16"/>
      <c r="P6" s="16"/>
    </row>
    <row r="7" spans="1:16">
      <c r="A7" s="8"/>
      <c r="B7" s="8">
        <v>3100</v>
      </c>
      <c r="C7" s="9" t="s">
        <v>4</v>
      </c>
      <c r="D7" s="11">
        <v>128861.07</v>
      </c>
      <c r="E7" s="11">
        <v>142083.62</v>
      </c>
      <c r="F7" s="11">
        <v>118435.8</v>
      </c>
      <c r="G7" s="11">
        <v>139310.66</v>
      </c>
      <c r="H7" s="11">
        <v>175424.72</v>
      </c>
      <c r="I7" s="11">
        <v>33344.51</v>
      </c>
      <c r="J7" s="11">
        <v>146330.76</v>
      </c>
      <c r="K7" s="11">
        <v>188145.6</v>
      </c>
      <c r="L7" s="11">
        <v>76914.23</v>
      </c>
      <c r="M7" s="11">
        <v>140852.78</v>
      </c>
      <c r="N7" s="11">
        <v>136936.88</v>
      </c>
      <c r="O7" s="11">
        <v>141122.97</v>
      </c>
      <c r="P7" s="11">
        <f t="shared" ref="P7:P18" si="0">SUM(D7:O7)</f>
        <v>1567763.5999999999</v>
      </c>
    </row>
    <row r="8" spans="1:16">
      <c r="A8" s="8"/>
      <c r="B8" s="8">
        <v>3200</v>
      </c>
      <c r="C8" s="9" t="s">
        <v>5</v>
      </c>
      <c r="D8" s="11">
        <v>101794.63</v>
      </c>
      <c r="E8" s="11">
        <v>94519.8</v>
      </c>
      <c r="F8" s="11">
        <v>92204.12</v>
      </c>
      <c r="G8" s="11">
        <v>92051.47</v>
      </c>
      <c r="H8" s="11">
        <v>97042.07</v>
      </c>
      <c r="I8" s="11">
        <v>90922.81</v>
      </c>
      <c r="J8" s="11">
        <v>74363.12</v>
      </c>
      <c r="K8" s="11">
        <v>80085.210000000006</v>
      </c>
      <c r="L8" s="11">
        <v>93395.29</v>
      </c>
      <c r="M8" s="11">
        <v>110204.42</v>
      </c>
      <c r="N8" s="11">
        <v>118181.96</v>
      </c>
      <c r="O8" s="11">
        <v>118463.32</v>
      </c>
      <c r="P8" s="11">
        <f t="shared" si="0"/>
        <v>1163228.22</v>
      </c>
    </row>
    <row r="9" spans="1:16">
      <c r="A9" s="8"/>
      <c r="B9" s="8">
        <v>3300</v>
      </c>
      <c r="C9" s="9" t="s">
        <v>6</v>
      </c>
      <c r="D9" s="11">
        <v>31654.29</v>
      </c>
      <c r="E9" s="11">
        <v>31125.61</v>
      </c>
      <c r="F9" s="11">
        <v>28929.759999999998</v>
      </c>
      <c r="G9" s="11">
        <v>37101.18</v>
      </c>
      <c r="H9" s="11">
        <v>38310.81</v>
      </c>
      <c r="I9" s="11">
        <v>31557.85</v>
      </c>
      <c r="J9" s="11">
        <v>29759.9</v>
      </c>
      <c r="K9" s="11">
        <v>28136.07</v>
      </c>
      <c r="L9" s="11">
        <v>28356.52</v>
      </c>
      <c r="M9" s="11">
        <v>40667.06</v>
      </c>
      <c r="N9" s="11">
        <v>34603.08</v>
      </c>
      <c r="O9" s="11">
        <v>38341.449999999997</v>
      </c>
      <c r="P9" s="11">
        <f t="shared" si="0"/>
        <v>398543.58</v>
      </c>
    </row>
    <row r="10" spans="1:16">
      <c r="A10" s="8"/>
      <c r="B10" s="8">
        <v>3310</v>
      </c>
      <c r="C10" s="9" t="s">
        <v>7</v>
      </c>
      <c r="D10" s="23">
        <v>29066.99</v>
      </c>
      <c r="E10" s="11">
        <v>30490.59</v>
      </c>
      <c r="F10" s="11">
        <v>25103.040000000001</v>
      </c>
      <c r="G10" s="11">
        <v>25751.16</v>
      </c>
      <c r="H10" s="11">
        <v>34200.019999999997</v>
      </c>
      <c r="I10" s="11">
        <v>28729.77</v>
      </c>
      <c r="J10" s="11">
        <v>27355.15</v>
      </c>
      <c r="K10" s="11">
        <v>22857.64</v>
      </c>
      <c r="L10" s="11">
        <v>25510.82</v>
      </c>
      <c r="M10" s="11">
        <v>39184.089999999997</v>
      </c>
      <c r="N10" s="11">
        <v>35613.58</v>
      </c>
      <c r="O10" s="11">
        <v>46729.02</v>
      </c>
      <c r="P10" s="11">
        <f t="shared" si="0"/>
        <v>370591.87000000005</v>
      </c>
    </row>
    <row r="11" spans="1:16">
      <c r="A11" s="8"/>
      <c r="B11" s="8">
        <v>3400</v>
      </c>
      <c r="C11" s="9" t="s">
        <v>8</v>
      </c>
      <c r="D11" s="11">
        <v>2220.63</v>
      </c>
      <c r="E11" s="11">
        <v>2830.57</v>
      </c>
      <c r="F11" s="11">
        <v>3891.75</v>
      </c>
      <c r="G11" s="11">
        <v>2844</v>
      </c>
      <c r="H11" s="11">
        <v>2107.5</v>
      </c>
      <c r="I11" s="11">
        <v>2229.4499999999998</v>
      </c>
      <c r="J11" s="11">
        <v>3091.95</v>
      </c>
      <c r="K11" s="11">
        <v>2897.85</v>
      </c>
      <c r="L11" s="11">
        <v>3327.65</v>
      </c>
      <c r="M11" s="11">
        <v>2689.45</v>
      </c>
      <c r="N11" s="11">
        <v>2690.12</v>
      </c>
      <c r="O11" s="11">
        <v>2236.5500000000002</v>
      </c>
      <c r="P11" s="11">
        <f t="shared" si="0"/>
        <v>33057.47</v>
      </c>
    </row>
    <row r="12" spans="1:16">
      <c r="A12" s="8"/>
      <c r="B12" s="8">
        <v>3450</v>
      </c>
      <c r="C12" s="9" t="s">
        <v>9</v>
      </c>
      <c r="D12" s="11">
        <v>6267.36</v>
      </c>
      <c r="E12" s="11">
        <v>2156.42</v>
      </c>
      <c r="F12" s="11">
        <v>493.26</v>
      </c>
      <c r="G12" s="11">
        <v>5938.06</v>
      </c>
      <c r="H12" s="11">
        <v>545.26</v>
      </c>
      <c r="I12" s="11">
        <v>4106.01</v>
      </c>
      <c r="J12" s="11">
        <v>671.43</v>
      </c>
      <c r="K12" s="11">
        <v>879.27</v>
      </c>
      <c r="L12" s="11">
        <v>767.13</v>
      </c>
      <c r="M12" s="11">
        <v>6569.19</v>
      </c>
      <c r="N12" s="11">
        <v>7347.06</v>
      </c>
      <c r="O12" s="11">
        <v>7405.28</v>
      </c>
      <c r="P12" s="11">
        <f t="shared" si="0"/>
        <v>43145.729999999996</v>
      </c>
    </row>
    <row r="13" spans="1:16">
      <c r="A13" s="8"/>
      <c r="B13" s="8">
        <v>3475</v>
      </c>
      <c r="C13" s="9" t="s">
        <v>59</v>
      </c>
      <c r="D13" s="11">
        <v>300</v>
      </c>
      <c r="E13" s="11"/>
      <c r="F13" s="11">
        <v>20</v>
      </c>
      <c r="G13" s="11">
        <v>50</v>
      </c>
      <c r="H13" s="11">
        <v>80</v>
      </c>
      <c r="I13" s="11"/>
      <c r="J13" s="11">
        <v>75</v>
      </c>
      <c r="K13" s="11"/>
      <c r="L13" s="11"/>
      <c r="M13" s="11">
        <v>65</v>
      </c>
      <c r="N13" s="11"/>
      <c r="O13" s="11">
        <v>50</v>
      </c>
      <c r="P13" s="11">
        <f t="shared" si="0"/>
        <v>640</v>
      </c>
    </row>
    <row r="14" spans="1:16">
      <c r="A14" s="8"/>
      <c r="B14" s="8">
        <v>3500</v>
      </c>
      <c r="C14" s="9" t="s">
        <v>67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 t="s">
        <v>194</v>
      </c>
    </row>
    <row r="15" spans="1:16">
      <c r="A15" s="8"/>
      <c r="B15" s="8">
        <v>3510</v>
      </c>
      <c r="C15" s="9" t="s">
        <v>10</v>
      </c>
      <c r="D15" s="11"/>
      <c r="E15" s="11"/>
      <c r="F15" s="11">
        <v>1633.8</v>
      </c>
      <c r="G15" s="11"/>
      <c r="H15" s="11">
        <v>999.6</v>
      </c>
      <c r="I15" s="11"/>
      <c r="J15" s="11">
        <v>1064.7</v>
      </c>
      <c r="K15" s="11">
        <v>541.79999999999995</v>
      </c>
      <c r="L15" s="11">
        <v>531.29999999999995</v>
      </c>
      <c r="M15" s="11">
        <v>537.6</v>
      </c>
      <c r="N15" s="11">
        <v>541.79999999999995</v>
      </c>
      <c r="O15" s="11">
        <v>1635.9</v>
      </c>
      <c r="P15" s="11">
        <f t="shared" si="0"/>
        <v>7486.5000000000018</v>
      </c>
    </row>
    <row r="16" spans="1:16">
      <c r="A16" s="8"/>
      <c r="B16" s="8">
        <v>3530</v>
      </c>
      <c r="C16" s="9" t="s">
        <v>11</v>
      </c>
      <c r="D16" s="11"/>
      <c r="E16" s="11"/>
      <c r="F16" s="11"/>
      <c r="G16" s="11"/>
      <c r="H16" s="11"/>
      <c r="I16" s="11"/>
      <c r="J16" s="11">
        <v>1467.18</v>
      </c>
      <c r="K16" s="11"/>
      <c r="L16" s="11"/>
      <c r="M16" s="11">
        <v>1467.18</v>
      </c>
      <c r="N16" s="11"/>
      <c r="O16" s="11">
        <v>564.48</v>
      </c>
      <c r="P16" s="11">
        <f t="shared" si="0"/>
        <v>3498.84</v>
      </c>
    </row>
    <row r="17" spans="1:19">
      <c r="A17" s="8"/>
      <c r="B17" s="8">
        <v>3540</v>
      </c>
      <c r="C17" s="9" t="s">
        <v>58</v>
      </c>
      <c r="D17" s="11">
        <v>3123</v>
      </c>
      <c r="E17" s="11">
        <v>1801.5</v>
      </c>
      <c r="F17" s="11">
        <v>2240</v>
      </c>
      <c r="G17" s="11">
        <v>2746.25</v>
      </c>
      <c r="H17" s="11">
        <v>2864.5</v>
      </c>
      <c r="I17" s="11">
        <v>1771.76</v>
      </c>
      <c r="J17" s="11">
        <v>4835.26</v>
      </c>
      <c r="K17" s="11">
        <v>7130.85</v>
      </c>
      <c r="L17" s="11">
        <v>3295.63</v>
      </c>
      <c r="M17" s="11">
        <v>5551.51</v>
      </c>
      <c r="N17" s="11">
        <v>3952.28</v>
      </c>
      <c r="O17" s="11">
        <v>5463.75</v>
      </c>
      <c r="P17" s="11">
        <f t="shared" si="0"/>
        <v>44776.29</v>
      </c>
    </row>
    <row r="18" spans="1:19">
      <c r="A18" s="8"/>
      <c r="B18" s="8">
        <v>3550</v>
      </c>
      <c r="C18" s="9" t="s">
        <v>12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>
        <f t="shared" si="0"/>
        <v>0</v>
      </c>
    </row>
    <row r="19" spans="1:19">
      <c r="A19" s="8"/>
      <c r="B19" s="8"/>
      <c r="C19" s="9"/>
      <c r="D19" s="11">
        <f t="shared" ref="D19:P19" si="1">SUM(D7:D18)</f>
        <v>303287.96999999997</v>
      </c>
      <c r="E19" s="11">
        <f t="shared" si="1"/>
        <v>305008.11</v>
      </c>
      <c r="F19" s="11">
        <f t="shared" si="1"/>
        <v>272951.52999999997</v>
      </c>
      <c r="G19" s="11">
        <f t="shared" si="1"/>
        <v>305792.77999999997</v>
      </c>
      <c r="H19" s="11">
        <f t="shared" si="1"/>
        <v>351574.48000000004</v>
      </c>
      <c r="I19" s="11">
        <f t="shared" si="1"/>
        <v>192662.16000000003</v>
      </c>
      <c r="J19" s="11">
        <f t="shared" si="1"/>
        <v>289014.45</v>
      </c>
      <c r="K19" s="11">
        <f t="shared" si="1"/>
        <v>330674.28999999998</v>
      </c>
      <c r="L19" s="11">
        <f t="shared" si="1"/>
        <v>232098.56999999998</v>
      </c>
      <c r="M19" s="11">
        <f t="shared" si="1"/>
        <v>347788.27999999997</v>
      </c>
      <c r="N19" s="11">
        <f t="shared" si="1"/>
        <v>339866.76000000007</v>
      </c>
      <c r="O19" s="11">
        <f t="shared" si="1"/>
        <v>362012.72000000003</v>
      </c>
      <c r="P19" s="11">
        <f t="shared" si="1"/>
        <v>3632732.1</v>
      </c>
    </row>
    <row r="20" spans="1:19">
      <c r="A20" s="8"/>
      <c r="B20" s="8"/>
      <c r="C20" s="9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1:19">
      <c r="A21" s="6" t="s">
        <v>13</v>
      </c>
      <c r="B21" s="8"/>
      <c r="C21" s="9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1:19">
      <c r="A22" s="6"/>
      <c r="B22" s="8">
        <v>4100</v>
      </c>
      <c r="C22" s="9" t="s">
        <v>14</v>
      </c>
      <c r="D22" s="11">
        <v>7125.74</v>
      </c>
      <c r="E22" s="11">
        <v>8080.34</v>
      </c>
      <c r="F22" s="11">
        <v>8636.25</v>
      </c>
      <c r="G22" s="11">
        <v>6228.53</v>
      </c>
      <c r="H22" s="11">
        <v>9988.9</v>
      </c>
      <c r="I22" s="11">
        <v>17130.900000000001</v>
      </c>
      <c r="J22" s="11">
        <v>4552.76</v>
      </c>
      <c r="K22" s="11">
        <v>10456.9</v>
      </c>
      <c r="L22" s="11">
        <v>7561.98</v>
      </c>
      <c r="M22" s="11">
        <v>11073.79</v>
      </c>
      <c r="N22" s="11">
        <v>17277.830000000002</v>
      </c>
      <c r="O22" s="11">
        <v>7042.16</v>
      </c>
      <c r="P22" s="11">
        <f t="shared" ref="P22:P30" si="2">SUM(D22:O22)</f>
        <v>115156.08</v>
      </c>
    </row>
    <row r="23" spans="1:19">
      <c r="A23" s="6"/>
      <c r="B23" s="8">
        <v>4115</v>
      </c>
      <c r="C23" s="9" t="s">
        <v>15</v>
      </c>
      <c r="D23" s="11">
        <v>12054.33</v>
      </c>
      <c r="E23" s="11">
        <v>9981.34</v>
      </c>
      <c r="F23" s="11">
        <v>10928.04</v>
      </c>
      <c r="G23" s="11">
        <v>12468.35</v>
      </c>
      <c r="H23" s="11">
        <v>11854.42</v>
      </c>
      <c r="I23" s="11">
        <v>11725.25</v>
      </c>
      <c r="J23" s="11">
        <v>12648.07</v>
      </c>
      <c r="K23" s="11">
        <v>12966.67</v>
      </c>
      <c r="L23" s="11">
        <v>12657.14</v>
      </c>
      <c r="M23" s="11">
        <v>12635.29</v>
      </c>
      <c r="N23" s="11">
        <v>9431.36</v>
      </c>
      <c r="O23" s="11">
        <v>11824.63</v>
      </c>
      <c r="P23" s="11">
        <f t="shared" si="2"/>
        <v>141174.88999999998</v>
      </c>
      <c r="R23" s="11"/>
      <c r="S23" s="10"/>
    </row>
    <row r="24" spans="1:19">
      <c r="A24" s="6"/>
      <c r="B24" s="8">
        <v>4160</v>
      </c>
      <c r="C24" s="9" t="s">
        <v>16</v>
      </c>
      <c r="D24" s="11">
        <v>3281.59</v>
      </c>
      <c r="E24" s="11">
        <v>1594.47</v>
      </c>
      <c r="F24" s="11">
        <v>477.8</v>
      </c>
      <c r="G24" s="11">
        <v>5378.53</v>
      </c>
      <c r="H24" s="11">
        <v>790.21</v>
      </c>
      <c r="I24" s="11">
        <v>8839.58</v>
      </c>
      <c r="J24" s="11">
        <v>7365.92</v>
      </c>
      <c r="K24" s="11">
        <v>2507.19</v>
      </c>
      <c r="L24" s="11">
        <v>1982.39</v>
      </c>
      <c r="M24" s="11">
        <v>3404.38</v>
      </c>
      <c r="N24" s="11">
        <v>1075.21</v>
      </c>
      <c r="O24" s="11">
        <v>6362.38</v>
      </c>
      <c r="P24" s="11">
        <f t="shared" si="2"/>
        <v>43059.649999999994</v>
      </c>
    </row>
    <row r="25" spans="1:19">
      <c r="A25" s="6"/>
      <c r="B25" s="8">
        <v>4180</v>
      </c>
      <c r="C25" s="9" t="s">
        <v>17</v>
      </c>
      <c r="D25" s="11"/>
      <c r="E25" s="11">
        <v>1106.67</v>
      </c>
      <c r="F25" s="11"/>
      <c r="G25" s="11">
        <v>666.99</v>
      </c>
      <c r="H25" s="11">
        <v>107.24</v>
      </c>
      <c r="I25" s="11"/>
      <c r="J25" s="11">
        <v>193.83</v>
      </c>
      <c r="K25" s="11">
        <v>310.68</v>
      </c>
      <c r="L25" s="11">
        <v>42.48</v>
      </c>
      <c r="M25" s="11">
        <v>121.61</v>
      </c>
      <c r="N25" s="11">
        <v>686.68</v>
      </c>
      <c r="O25" s="11">
        <v>230.25</v>
      </c>
      <c r="P25" s="11">
        <f t="shared" si="2"/>
        <v>3466.43</v>
      </c>
    </row>
    <row r="26" spans="1:19">
      <c r="A26" s="6"/>
      <c r="B26" s="8">
        <v>4213</v>
      </c>
      <c r="C26" s="9" t="s">
        <v>18</v>
      </c>
      <c r="D26" s="11">
        <v>41416</v>
      </c>
      <c r="E26" s="11">
        <v>35267.64</v>
      </c>
      <c r="F26" s="11">
        <v>34188.400000000001</v>
      </c>
      <c r="G26" s="11">
        <v>37934.6</v>
      </c>
      <c r="H26" s="11">
        <v>33187.79</v>
      </c>
      <c r="I26" s="11">
        <v>35297.99</v>
      </c>
      <c r="J26" s="11">
        <v>32322.73</v>
      </c>
      <c r="K26" s="11">
        <v>34557.71</v>
      </c>
      <c r="L26" s="11">
        <v>36833.300000000003</v>
      </c>
      <c r="M26" s="11">
        <v>39151.56</v>
      </c>
      <c r="N26" s="11">
        <v>39065.050000000003</v>
      </c>
      <c r="O26" s="11">
        <v>38624.129999999997</v>
      </c>
      <c r="P26" s="11">
        <f t="shared" si="2"/>
        <v>437846.9</v>
      </c>
      <c r="R26" s="11"/>
      <c r="S26" s="10"/>
    </row>
    <row r="27" spans="1:19">
      <c r="A27" s="6"/>
      <c r="B27" s="8">
        <v>4240</v>
      </c>
      <c r="C27" s="9" t="s">
        <v>19</v>
      </c>
      <c r="D27" s="11">
        <v>12664.99</v>
      </c>
      <c r="E27" s="11">
        <v>14845.64</v>
      </c>
      <c r="F27" s="11">
        <v>15144.53</v>
      </c>
      <c r="G27" s="11">
        <v>14784.46</v>
      </c>
      <c r="H27" s="11">
        <v>14863.49</v>
      </c>
      <c r="I27" s="11">
        <v>15175.81</v>
      </c>
      <c r="J27" s="11">
        <v>13595.46</v>
      </c>
      <c r="K27" s="11">
        <v>10822.2</v>
      </c>
      <c r="L27" s="11">
        <v>9612.7000000000007</v>
      </c>
      <c r="M27" s="11">
        <v>11290.42</v>
      </c>
      <c r="N27" s="11">
        <v>11350.2</v>
      </c>
      <c r="O27" s="11">
        <v>11642.94</v>
      </c>
      <c r="P27" s="11">
        <f t="shared" si="2"/>
        <v>155792.84000000003</v>
      </c>
    </row>
    <row r="28" spans="1:19">
      <c r="A28" s="6"/>
      <c r="B28" s="8">
        <v>4362</v>
      </c>
      <c r="C28" s="9" t="s">
        <v>20</v>
      </c>
      <c r="D28" s="11">
        <v>119835.57</v>
      </c>
      <c r="E28" s="11">
        <v>102079.1</v>
      </c>
      <c r="F28" s="11">
        <v>100328.25</v>
      </c>
      <c r="G28" s="11">
        <v>104899.12</v>
      </c>
      <c r="H28" s="11">
        <v>102672.28</v>
      </c>
      <c r="I28" s="11">
        <v>105978.29</v>
      </c>
      <c r="J28" s="11">
        <v>100457.16</v>
      </c>
      <c r="K28" s="11">
        <v>104651.31</v>
      </c>
      <c r="L28" s="11">
        <v>111239.72</v>
      </c>
      <c r="M28" s="11">
        <v>141457.85999999999</v>
      </c>
      <c r="N28" s="11">
        <v>131054.7</v>
      </c>
      <c r="O28" s="11">
        <v>148562.97</v>
      </c>
      <c r="P28" s="11">
        <f t="shared" si="2"/>
        <v>1373216.33</v>
      </c>
    </row>
    <row r="29" spans="1:19">
      <c r="A29" s="6"/>
      <c r="B29" s="8">
        <v>4370</v>
      </c>
      <c r="C29" s="9" t="s">
        <v>68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>
        <f t="shared" si="2"/>
        <v>0</v>
      </c>
    </row>
    <row r="30" spans="1:19">
      <c r="A30" s="6"/>
      <c r="B30" s="8">
        <v>4380</v>
      </c>
      <c r="C30" s="9" t="s">
        <v>34</v>
      </c>
      <c r="D30" s="11"/>
      <c r="E30" s="11"/>
      <c r="F30" s="11"/>
      <c r="G30" s="11"/>
      <c r="H30" s="11"/>
      <c r="I30" s="11"/>
      <c r="J30" s="11"/>
      <c r="K30" s="11">
        <v>189</v>
      </c>
      <c r="L30" s="11"/>
      <c r="M30" s="11"/>
      <c r="N30" s="11"/>
      <c r="O30" s="11"/>
      <c r="P30" s="11">
        <f t="shared" si="2"/>
        <v>189</v>
      </c>
    </row>
    <row r="31" spans="1:19">
      <c r="A31" s="6"/>
      <c r="B31" s="8">
        <v>4450</v>
      </c>
      <c r="C31" s="9" t="s">
        <v>21</v>
      </c>
      <c r="D31" s="11">
        <v>1280</v>
      </c>
      <c r="E31" s="11">
        <v>1219</v>
      </c>
      <c r="F31" s="11">
        <v>1018.75</v>
      </c>
      <c r="G31" s="11">
        <v>2135</v>
      </c>
      <c r="H31" s="11">
        <v>1230</v>
      </c>
      <c r="I31" s="11">
        <v>780</v>
      </c>
      <c r="J31" s="11">
        <v>1162</v>
      </c>
      <c r="K31" s="11">
        <v>780</v>
      </c>
      <c r="L31" s="11">
        <v>1054</v>
      </c>
      <c r="M31" s="11">
        <v>780</v>
      </c>
      <c r="N31" s="11">
        <v>962</v>
      </c>
      <c r="O31" s="11">
        <v>861.01</v>
      </c>
      <c r="P31" s="11">
        <f t="shared" ref="P31:P50" si="3">SUM(D31:O31)</f>
        <v>13261.76</v>
      </c>
    </row>
    <row r="32" spans="1:19">
      <c r="A32" s="6"/>
      <c r="B32" s="8">
        <v>4500</v>
      </c>
      <c r="C32" s="9" t="s">
        <v>22</v>
      </c>
      <c r="D32" s="11">
        <v>9237.7999999999993</v>
      </c>
      <c r="E32" s="11">
        <v>8815.9599999999991</v>
      </c>
      <c r="F32" s="11">
        <v>-1803.45</v>
      </c>
      <c r="G32" s="11">
        <v>8427.0400000000009</v>
      </c>
      <c r="H32" s="11">
        <v>9235.61</v>
      </c>
      <c r="I32" s="11">
        <v>13781.03</v>
      </c>
      <c r="J32" s="11">
        <v>9306.56</v>
      </c>
      <c r="K32" s="11">
        <v>9190.01</v>
      </c>
      <c r="L32" s="11">
        <v>13731.22</v>
      </c>
      <c r="M32" s="11">
        <v>9628.36</v>
      </c>
      <c r="N32" s="11">
        <v>11317.17</v>
      </c>
      <c r="O32" s="11">
        <v>12844.42</v>
      </c>
      <c r="P32" s="11">
        <f t="shared" si="3"/>
        <v>113711.73</v>
      </c>
    </row>
    <row r="33" spans="1:19">
      <c r="A33" s="6"/>
      <c r="B33" s="8">
        <v>4611</v>
      </c>
      <c r="C33" s="9" t="s">
        <v>23</v>
      </c>
      <c r="D33" s="11">
        <v>16857.59</v>
      </c>
      <c r="E33" s="11">
        <v>16857.59</v>
      </c>
      <c r="F33" s="11">
        <v>16857.59</v>
      </c>
      <c r="G33" s="11">
        <v>19224.259999999998</v>
      </c>
      <c r="H33" s="11">
        <v>19224.259999999998</v>
      </c>
      <c r="I33" s="11">
        <v>19224.259999999998</v>
      </c>
      <c r="J33" s="11">
        <v>19224.259999999998</v>
      </c>
      <c r="K33" s="11">
        <v>19224.259999999998</v>
      </c>
      <c r="L33" s="11">
        <v>19224.259999999998</v>
      </c>
      <c r="M33" s="11">
        <v>19224.259999999998</v>
      </c>
      <c r="N33" s="11">
        <v>19224.259999999998</v>
      </c>
      <c r="O33" s="11">
        <v>19224.259999999998</v>
      </c>
      <c r="P33" s="11">
        <f t="shared" si="3"/>
        <v>223591.11000000002</v>
      </c>
    </row>
    <row r="34" spans="1:19">
      <c r="A34" s="6"/>
      <c r="B34" s="8">
        <v>4613</v>
      </c>
      <c r="C34" s="9" t="s">
        <v>24</v>
      </c>
      <c r="D34" s="11">
        <v>4491.83</v>
      </c>
      <c r="E34" s="11">
        <v>4030.75</v>
      </c>
      <c r="F34" s="11">
        <v>4395.75</v>
      </c>
      <c r="G34" s="11">
        <v>4763.95</v>
      </c>
      <c r="H34" s="11">
        <v>4302.13</v>
      </c>
      <c r="I34" s="11">
        <v>4576.63</v>
      </c>
      <c r="J34" s="11">
        <v>4445.5</v>
      </c>
      <c r="K34" s="11">
        <v>4441</v>
      </c>
      <c r="L34" s="11">
        <v>4625.18</v>
      </c>
      <c r="M34" s="11">
        <v>4892.3100000000004</v>
      </c>
      <c r="N34" s="11">
        <v>4801.4399999999996</v>
      </c>
      <c r="O34" s="11">
        <v>4896.71</v>
      </c>
      <c r="P34" s="11">
        <f t="shared" si="3"/>
        <v>54663.18</v>
      </c>
      <c r="R34" s="11"/>
      <c r="S34" s="10"/>
    </row>
    <row r="35" spans="1:19">
      <c r="A35" s="6"/>
      <c r="B35" s="8">
        <v>4620</v>
      </c>
      <c r="C35" s="9" t="s">
        <v>64</v>
      </c>
      <c r="D35" s="11">
        <v>6220.45</v>
      </c>
      <c r="E35" s="11">
        <v>7088.54</v>
      </c>
      <c r="F35" s="11">
        <v>5173.3100000000004</v>
      </c>
      <c r="G35" s="11">
        <v>8296.83</v>
      </c>
      <c r="H35" s="11">
        <v>8526.34</v>
      </c>
      <c r="I35" s="11">
        <v>8583.01</v>
      </c>
      <c r="J35" s="11">
        <v>6799.22</v>
      </c>
      <c r="K35" s="11">
        <v>5840.11</v>
      </c>
      <c r="L35" s="11">
        <v>9742.08</v>
      </c>
      <c r="M35" s="11">
        <v>7031.57</v>
      </c>
      <c r="N35" s="11">
        <v>9681.6200000000008</v>
      </c>
      <c r="O35" s="11">
        <v>4674.74</v>
      </c>
      <c r="P35" s="11">
        <f t="shared" si="3"/>
        <v>87657.819999999992</v>
      </c>
    </row>
    <row r="36" spans="1:19">
      <c r="A36" s="6"/>
      <c r="B36" s="8">
        <v>4625</v>
      </c>
      <c r="C36" s="9" t="s">
        <v>60</v>
      </c>
      <c r="D36" s="11">
        <v>4142.8599999999997</v>
      </c>
      <c r="E36" s="11">
        <v>4142.8599999999997</v>
      </c>
      <c r="F36" s="11">
        <v>4142.8599999999997</v>
      </c>
      <c r="G36" s="11">
        <v>4142.8599999999997</v>
      </c>
      <c r="H36" s="11">
        <v>4142.8599999999997</v>
      </c>
      <c r="I36" s="11">
        <v>4142.8599999999997</v>
      </c>
      <c r="J36" s="11">
        <v>4142.8599999999997</v>
      </c>
      <c r="K36" s="11">
        <v>4142.8599999999997</v>
      </c>
      <c r="L36" s="11">
        <v>4142.8599999999997</v>
      </c>
      <c r="M36" s="11">
        <v>4142.8599999999997</v>
      </c>
      <c r="N36" s="11">
        <v>4142.8599999999997</v>
      </c>
      <c r="O36" s="11">
        <v>4142.8599999999997</v>
      </c>
      <c r="P36" s="11">
        <f t="shared" si="3"/>
        <v>49714.32</v>
      </c>
    </row>
    <row r="37" spans="1:19">
      <c r="A37" s="6"/>
      <c r="B37" s="8">
        <v>4630</v>
      </c>
      <c r="C37" s="9" t="s">
        <v>65</v>
      </c>
      <c r="D37" s="11">
        <v>2202.15</v>
      </c>
      <c r="E37" s="11">
        <v>5784.18</v>
      </c>
      <c r="F37" s="11">
        <v>3574.5</v>
      </c>
      <c r="G37" s="11">
        <v>8283.9</v>
      </c>
      <c r="H37" s="11">
        <v>2409.1</v>
      </c>
      <c r="I37" s="11">
        <v>5620</v>
      </c>
      <c r="J37" s="11">
        <v>765</v>
      </c>
      <c r="K37" s="11">
        <v>6237</v>
      </c>
      <c r="L37" s="11">
        <v>765</v>
      </c>
      <c r="M37" s="11">
        <v>765</v>
      </c>
      <c r="N37" s="11">
        <v>2777.33</v>
      </c>
      <c r="O37" s="11">
        <v>2191.5</v>
      </c>
      <c r="P37" s="11">
        <f t="shared" si="3"/>
        <v>41374.660000000003</v>
      </c>
    </row>
    <row r="38" spans="1:19">
      <c r="A38" s="6"/>
      <c r="B38" s="8">
        <v>4640</v>
      </c>
      <c r="C38" s="9" t="s">
        <v>66</v>
      </c>
      <c r="D38" s="11">
        <v>987.92</v>
      </c>
      <c r="E38" s="11">
        <v>817.85</v>
      </c>
      <c r="F38" s="11">
        <v>800.16</v>
      </c>
      <c r="G38" s="11">
        <v>1853.14</v>
      </c>
      <c r="H38" s="11">
        <v>1571.13</v>
      </c>
      <c r="I38" s="11">
        <v>1267.99</v>
      </c>
      <c r="J38" s="11">
        <v>1426.19</v>
      </c>
      <c r="K38" s="11">
        <v>1308.32</v>
      </c>
      <c r="L38" s="11">
        <v>1285.44</v>
      </c>
      <c r="M38" s="11">
        <v>1923.02</v>
      </c>
      <c r="N38" s="11">
        <v>1510.66</v>
      </c>
      <c r="O38" s="11">
        <v>2645.76</v>
      </c>
      <c r="P38" s="11">
        <f t="shared" si="3"/>
        <v>17397.580000000002</v>
      </c>
    </row>
    <row r="39" spans="1:19">
      <c r="A39" s="6"/>
      <c r="B39" s="8">
        <v>4650</v>
      </c>
      <c r="C39" s="9" t="s">
        <v>25</v>
      </c>
      <c r="D39" s="11">
        <v>20083.04</v>
      </c>
      <c r="E39" s="11">
        <v>966.03</v>
      </c>
      <c r="F39" s="11">
        <v>11738.18</v>
      </c>
      <c r="G39" s="11">
        <v>12505.5</v>
      </c>
      <c r="H39" s="11">
        <v>14691.08</v>
      </c>
      <c r="I39" s="11">
        <v>13265.36</v>
      </c>
      <c r="J39" s="11">
        <v>10463.290000000001</v>
      </c>
      <c r="K39" s="11">
        <v>12735.42</v>
      </c>
      <c r="L39" s="11">
        <v>13248.66</v>
      </c>
      <c r="M39" s="11">
        <v>13047.86</v>
      </c>
      <c r="N39" s="11">
        <v>11593.97</v>
      </c>
      <c r="O39" s="11">
        <v>17006.91</v>
      </c>
      <c r="P39" s="11">
        <f t="shared" si="3"/>
        <v>151345.30000000002</v>
      </c>
    </row>
    <row r="40" spans="1:19">
      <c r="A40" s="6"/>
      <c r="B40" s="8">
        <v>4660</v>
      </c>
      <c r="C40" s="9" t="s">
        <v>26</v>
      </c>
      <c r="D40" s="11">
        <v>543.12</v>
      </c>
      <c r="E40" s="11">
        <v>273.76</v>
      </c>
      <c r="F40" s="11">
        <v>378.21</v>
      </c>
      <c r="G40" s="11">
        <v>68.39</v>
      </c>
      <c r="H40" s="11">
        <v>458.03</v>
      </c>
      <c r="I40" s="11">
        <v>-221.92</v>
      </c>
      <c r="J40" s="11">
        <v>-210.73</v>
      </c>
      <c r="K40" s="11">
        <v>-106.52</v>
      </c>
      <c r="L40" s="11">
        <v>124.59</v>
      </c>
      <c r="M40" s="11">
        <v>389.86</v>
      </c>
      <c r="N40" s="11">
        <v>-133.11000000000001</v>
      </c>
      <c r="O40" s="11">
        <v>350.47</v>
      </c>
      <c r="P40" s="11">
        <f t="shared" si="3"/>
        <v>1914.1499999999999</v>
      </c>
    </row>
    <row r="41" spans="1:19">
      <c r="A41" s="6"/>
      <c r="B41" s="8">
        <v>4685</v>
      </c>
      <c r="C41" s="9" t="s">
        <v>27</v>
      </c>
      <c r="D41" s="11">
        <v>2855.12</v>
      </c>
      <c r="E41" s="11">
        <v>2658.9470000000001</v>
      </c>
      <c r="F41" s="11">
        <v>3478.54</v>
      </c>
      <c r="G41" s="11">
        <v>1769.16</v>
      </c>
      <c r="H41" s="11">
        <v>2069.9899999999998</v>
      </c>
      <c r="I41" s="11">
        <v>2275.5500000000002</v>
      </c>
      <c r="J41" s="11">
        <v>1292.21</v>
      </c>
      <c r="K41" s="11">
        <v>1107.29</v>
      </c>
      <c r="L41" s="11">
        <v>4312.68</v>
      </c>
      <c r="M41" s="11">
        <v>4302.51</v>
      </c>
      <c r="N41" s="11"/>
      <c r="O41" s="11">
        <v>3102.55</v>
      </c>
      <c r="P41" s="11">
        <f t="shared" si="3"/>
        <v>29224.547000000002</v>
      </c>
    </row>
    <row r="42" spans="1:19">
      <c r="A42" s="6"/>
      <c r="B42" s="8">
        <v>4687</v>
      </c>
      <c r="C42" s="9" t="s">
        <v>28</v>
      </c>
      <c r="D42" s="11"/>
      <c r="E42" s="11"/>
      <c r="F42" s="11">
        <v>396.77</v>
      </c>
      <c r="G42" s="11">
        <v>75.28</v>
      </c>
      <c r="H42" s="11">
        <v>233.51</v>
      </c>
      <c r="I42" s="11">
        <v>72.540000000000006</v>
      </c>
      <c r="J42" s="11">
        <v>136.28</v>
      </c>
      <c r="K42" s="11">
        <v>47.52</v>
      </c>
      <c r="L42" s="11"/>
      <c r="M42" s="11">
        <v>41.66</v>
      </c>
      <c r="N42" s="11"/>
      <c r="O42" s="11"/>
      <c r="P42" s="11">
        <f t="shared" si="3"/>
        <v>1003.5599999999998</v>
      </c>
    </row>
    <row r="43" spans="1:19">
      <c r="A43" s="6"/>
      <c r="B43" s="8">
        <v>4688</v>
      </c>
      <c r="C43" s="9" t="s">
        <v>29</v>
      </c>
      <c r="D43" s="11"/>
      <c r="E43" s="11"/>
      <c r="F43" s="11"/>
      <c r="G43" s="11">
        <v>5774.41</v>
      </c>
      <c r="H43" s="11">
        <v>65</v>
      </c>
      <c r="I43" s="11">
        <v>12</v>
      </c>
      <c r="J43" s="11"/>
      <c r="K43" s="11"/>
      <c r="L43" s="11"/>
      <c r="M43" s="11"/>
      <c r="N43" s="11"/>
      <c r="O43" s="11">
        <v>89.65</v>
      </c>
      <c r="P43" s="11">
        <f t="shared" si="3"/>
        <v>5941.0599999999995</v>
      </c>
    </row>
    <row r="44" spans="1:19">
      <c r="A44" s="6"/>
      <c r="B44" s="8">
        <v>4690</v>
      </c>
      <c r="C44" s="9" t="s">
        <v>30</v>
      </c>
      <c r="D44" s="11">
        <v>977.1</v>
      </c>
      <c r="E44" s="11">
        <v>968.16</v>
      </c>
      <c r="F44" s="11">
        <v>736.03</v>
      </c>
      <c r="G44" s="11">
        <v>461.41</v>
      </c>
      <c r="H44" s="11">
        <v>1621.43</v>
      </c>
      <c r="I44" s="11">
        <v>714.85</v>
      </c>
      <c r="J44" s="11">
        <v>531.76</v>
      </c>
      <c r="K44" s="11">
        <v>467.18</v>
      </c>
      <c r="L44" s="11">
        <v>1017.42</v>
      </c>
      <c r="M44" s="11">
        <v>646.91</v>
      </c>
      <c r="N44" s="11">
        <v>970.77</v>
      </c>
      <c r="O44" s="11">
        <v>601.97</v>
      </c>
      <c r="P44" s="11">
        <f t="shared" si="3"/>
        <v>9714.99</v>
      </c>
    </row>
    <row r="45" spans="1:19">
      <c r="A45" s="6"/>
      <c r="B45" s="8">
        <v>5040</v>
      </c>
      <c r="C45" s="9" t="s">
        <v>31</v>
      </c>
      <c r="D45" s="11">
        <v>6602.5</v>
      </c>
      <c r="E45" s="11">
        <v>6602.5</v>
      </c>
      <c r="F45" s="11">
        <v>199729.5</v>
      </c>
      <c r="G45" s="11">
        <v>2846</v>
      </c>
      <c r="H45" s="11">
        <v>2846</v>
      </c>
      <c r="I45" s="11">
        <v>2846</v>
      </c>
      <c r="J45" s="11">
        <v>2846</v>
      </c>
      <c r="K45" s="11">
        <v>2846</v>
      </c>
      <c r="L45" s="11">
        <v>2846</v>
      </c>
      <c r="M45" s="11">
        <v>2846</v>
      </c>
      <c r="N45" s="11">
        <v>2846</v>
      </c>
      <c r="O45" s="11">
        <v>2846</v>
      </c>
      <c r="P45" s="11">
        <f t="shared" si="3"/>
        <v>238548.5</v>
      </c>
    </row>
    <row r="46" spans="1:19">
      <c r="A46" s="6"/>
      <c r="B46" s="8">
        <v>5200</v>
      </c>
      <c r="C46" s="9" t="s">
        <v>61</v>
      </c>
      <c r="D46" s="11">
        <v>5488.93</v>
      </c>
      <c r="E46" s="11">
        <v>4649.74</v>
      </c>
      <c r="F46" s="11">
        <v>7824.34</v>
      </c>
      <c r="G46" s="11">
        <v>4640.0600000000004</v>
      </c>
      <c r="H46" s="11">
        <v>5255.68</v>
      </c>
      <c r="I46" s="11">
        <v>5024.17</v>
      </c>
      <c r="J46" s="11">
        <v>22009.62</v>
      </c>
      <c r="K46" s="11">
        <v>5231.53</v>
      </c>
      <c r="L46" s="11">
        <v>5425.17</v>
      </c>
      <c r="M46" s="11">
        <v>6453.92</v>
      </c>
      <c r="N46" s="11">
        <v>8384.17</v>
      </c>
      <c r="O46" s="11">
        <v>6394.29</v>
      </c>
      <c r="P46" s="11">
        <f t="shared" si="3"/>
        <v>86781.62</v>
      </c>
    </row>
    <row r="47" spans="1:19">
      <c r="A47" s="6"/>
      <c r="B47" s="8">
        <v>5220</v>
      </c>
      <c r="C47" s="9" t="s">
        <v>62</v>
      </c>
      <c r="D47" s="11">
        <v>15249.22</v>
      </c>
      <c r="E47" s="11">
        <v>100</v>
      </c>
      <c r="F47" s="11">
        <v>792.5</v>
      </c>
      <c r="G47" s="11"/>
      <c r="H47" s="11"/>
      <c r="I47" s="11">
        <v>105.5</v>
      </c>
      <c r="J47" s="11">
        <v>152.75</v>
      </c>
      <c r="K47" s="11">
        <v>903.52</v>
      </c>
      <c r="L47" s="11"/>
      <c r="M47" s="11"/>
      <c r="N47" s="11">
        <v>47.25</v>
      </c>
      <c r="O47" s="11">
        <v>892.5</v>
      </c>
      <c r="P47" s="11">
        <f t="shared" si="3"/>
        <v>18243.240000000002</v>
      </c>
    </row>
    <row r="48" spans="1:19">
      <c r="A48" s="6"/>
      <c r="B48" s="8">
        <v>5230</v>
      </c>
      <c r="C48" s="9" t="s">
        <v>32</v>
      </c>
      <c r="D48" s="11">
        <v>10093.36</v>
      </c>
      <c r="E48" s="11"/>
      <c r="F48" s="11"/>
      <c r="G48" s="11"/>
      <c r="H48" s="11"/>
      <c r="I48" s="11"/>
      <c r="J48" s="11"/>
      <c r="K48" s="11"/>
      <c r="L48" s="11"/>
      <c r="M48" s="11"/>
      <c r="N48" s="11">
        <v>5593.99</v>
      </c>
      <c r="O48" s="11"/>
      <c r="P48" s="11">
        <f t="shared" si="3"/>
        <v>15687.35</v>
      </c>
    </row>
    <row r="49" spans="1:16">
      <c r="A49" s="6"/>
      <c r="B49" s="8">
        <v>5240</v>
      </c>
      <c r="C49" s="9" t="s">
        <v>33</v>
      </c>
      <c r="D49" s="11">
        <v>5993</v>
      </c>
      <c r="E49" s="11">
        <v>5200.6000000000004</v>
      </c>
      <c r="F49" s="11">
        <v>6121.62</v>
      </c>
      <c r="G49" s="11">
        <v>6044.55</v>
      </c>
      <c r="H49" s="11">
        <v>5379.7</v>
      </c>
      <c r="I49" s="11">
        <v>5427.47</v>
      </c>
      <c r="J49" s="11">
        <v>5351.35</v>
      </c>
      <c r="K49" s="11">
        <v>5550.85</v>
      </c>
      <c r="L49" s="11">
        <v>5738.21</v>
      </c>
      <c r="M49" s="11">
        <v>5920.06</v>
      </c>
      <c r="N49" s="11">
        <v>5657.35</v>
      </c>
      <c r="O49" s="11">
        <v>5693.26</v>
      </c>
      <c r="P49" s="11">
        <f t="shared" si="3"/>
        <v>68078.01999999999</v>
      </c>
    </row>
    <row r="50" spans="1:16">
      <c r="A50" s="6"/>
      <c r="B50" s="8">
        <v>5320</v>
      </c>
      <c r="C50" s="9" t="s">
        <v>63</v>
      </c>
      <c r="D50" s="11">
        <v>1781.19</v>
      </c>
      <c r="E50" s="11">
        <v>2812.38</v>
      </c>
      <c r="F50" s="11">
        <v>750</v>
      </c>
      <c r="G50" s="11">
        <v>2812.38</v>
      </c>
      <c r="H50" s="11">
        <v>1781.19</v>
      </c>
      <c r="I50" s="11">
        <v>1500</v>
      </c>
      <c r="J50" s="11">
        <v>2812.38</v>
      </c>
      <c r="K50" s="11">
        <v>1031.19</v>
      </c>
      <c r="L50" s="11">
        <v>2812.38</v>
      </c>
      <c r="M50" s="11">
        <v>2531.19</v>
      </c>
      <c r="N50" s="11">
        <v>1781.19</v>
      </c>
      <c r="O50" s="11">
        <v>1781.19</v>
      </c>
      <c r="P50" s="11">
        <f t="shared" si="3"/>
        <v>24186.659999999996</v>
      </c>
    </row>
    <row r="51" spans="1:16">
      <c r="A51" s="8"/>
      <c r="B51" s="8"/>
      <c r="C51" s="9" t="s">
        <v>35</v>
      </c>
      <c r="D51" s="25">
        <f t="shared" ref="D51:P51" si="4">SUM(D22:D50)</f>
        <v>311465.39999999997</v>
      </c>
      <c r="E51" s="25">
        <f t="shared" si="4"/>
        <v>245944.04700000002</v>
      </c>
      <c r="F51" s="25">
        <f t="shared" si="4"/>
        <v>435808.43</v>
      </c>
      <c r="G51" s="25">
        <f t="shared" si="4"/>
        <v>276484.7</v>
      </c>
      <c r="H51" s="25">
        <f t="shared" si="4"/>
        <v>258507.37</v>
      </c>
      <c r="I51" s="25">
        <f t="shared" si="4"/>
        <v>283145.11999999994</v>
      </c>
      <c r="J51" s="25">
        <f t="shared" si="4"/>
        <v>263792.43</v>
      </c>
      <c r="K51" s="25">
        <f t="shared" si="4"/>
        <v>257439.19999999998</v>
      </c>
      <c r="L51" s="25">
        <f t="shared" si="4"/>
        <v>270024.86000000004</v>
      </c>
      <c r="M51" s="25">
        <f t="shared" si="4"/>
        <v>303702.25999999989</v>
      </c>
      <c r="N51" s="25">
        <f t="shared" si="4"/>
        <v>301099.94999999995</v>
      </c>
      <c r="O51" s="25">
        <f t="shared" si="4"/>
        <v>314529.50999999995</v>
      </c>
      <c r="P51" s="25">
        <f t="shared" si="4"/>
        <v>3521943.2770000002</v>
      </c>
    </row>
    <row r="52" spans="1:16">
      <c r="A52" s="8"/>
      <c r="B52" s="6" t="s">
        <v>36</v>
      </c>
      <c r="C52" s="9"/>
      <c r="D52" s="11">
        <f t="shared" ref="D52:P52" si="5">+D19-D51</f>
        <v>-8177.429999999993</v>
      </c>
      <c r="E52" s="11">
        <f t="shared" si="5"/>
        <v>59064.062999999966</v>
      </c>
      <c r="F52" s="11">
        <f t="shared" si="5"/>
        <v>-162856.90000000002</v>
      </c>
      <c r="G52" s="11">
        <f t="shared" si="5"/>
        <v>29308.079999999958</v>
      </c>
      <c r="H52" s="11">
        <f t="shared" si="5"/>
        <v>93067.110000000044</v>
      </c>
      <c r="I52" s="11">
        <f t="shared" si="5"/>
        <v>-90482.959999999905</v>
      </c>
      <c r="J52" s="11">
        <f t="shared" si="5"/>
        <v>25222.020000000019</v>
      </c>
      <c r="K52" s="11">
        <f t="shared" si="5"/>
        <v>73235.09</v>
      </c>
      <c r="L52" s="11">
        <f t="shared" si="5"/>
        <v>-37926.290000000066</v>
      </c>
      <c r="M52" s="11">
        <f t="shared" si="5"/>
        <v>44086.020000000077</v>
      </c>
      <c r="N52" s="11">
        <f t="shared" si="5"/>
        <v>38766.810000000114</v>
      </c>
      <c r="O52" s="11">
        <f t="shared" si="5"/>
        <v>47483.210000000079</v>
      </c>
      <c r="P52" s="11">
        <f t="shared" si="5"/>
        <v>110788.82299999986</v>
      </c>
    </row>
    <row r="53" spans="1:16">
      <c r="A53" s="8"/>
      <c r="B53" s="6"/>
      <c r="C53" s="9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1:16">
      <c r="A54" s="8"/>
      <c r="B54" s="6" t="s">
        <v>37</v>
      </c>
      <c r="C54" s="9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1:16">
      <c r="A55" s="8"/>
      <c r="B55" s="8"/>
      <c r="C55" s="9" t="s">
        <v>38</v>
      </c>
      <c r="D55" s="11">
        <v>598.16999999999996</v>
      </c>
      <c r="E55" s="11">
        <v>173.75</v>
      </c>
      <c r="F55" s="11">
        <v>951.56</v>
      </c>
      <c r="G55" s="11">
        <v>428.89</v>
      </c>
      <c r="H55" s="11">
        <v>393.19</v>
      </c>
      <c r="I55" s="11">
        <v>87.83</v>
      </c>
      <c r="J55" s="11">
        <v>116.46</v>
      </c>
      <c r="K55" s="11">
        <v>8042.59</v>
      </c>
      <c r="L55" s="11">
        <v>903.48</v>
      </c>
      <c r="M55" s="11">
        <v>644.03</v>
      </c>
      <c r="N55" s="11">
        <v>282.95999999999998</v>
      </c>
      <c r="O55" s="11">
        <v>299.94</v>
      </c>
      <c r="P55" s="11">
        <f>SUM(D55:O55)</f>
        <v>12922.85</v>
      </c>
    </row>
    <row r="56" spans="1:16">
      <c r="A56" s="8"/>
      <c r="B56" s="8"/>
      <c r="C56" s="9" t="s">
        <v>39</v>
      </c>
      <c r="D56" s="11">
        <v>-1132.77</v>
      </c>
      <c r="E56" s="11">
        <v>-1113.54</v>
      </c>
      <c r="F56" s="11">
        <v>-1373.17</v>
      </c>
      <c r="G56" s="11">
        <v>-1075.95</v>
      </c>
      <c r="H56" s="11">
        <v>-1056.5999999999999</v>
      </c>
      <c r="I56" s="11">
        <v>-1109.98</v>
      </c>
      <c r="J56" s="11">
        <v>-976</v>
      </c>
      <c r="K56" s="11">
        <v>-999.3</v>
      </c>
      <c r="L56" s="11">
        <v>-979.79</v>
      </c>
      <c r="M56" s="11">
        <v>-943</v>
      </c>
      <c r="N56" s="11">
        <v>-959.37</v>
      </c>
      <c r="O56" s="11">
        <v>-922</v>
      </c>
      <c r="P56" s="11">
        <f>SUM(D56:O56)</f>
        <v>-12641.47</v>
      </c>
    </row>
    <row r="57" spans="1:16">
      <c r="A57" s="8"/>
      <c r="B57" s="8"/>
      <c r="C57" s="9" t="s">
        <v>40</v>
      </c>
      <c r="D57" s="11"/>
      <c r="E57" s="11"/>
      <c r="F57" s="11">
        <v>-187</v>
      </c>
      <c r="G57" s="11"/>
      <c r="H57" s="11">
        <v>-1404</v>
      </c>
      <c r="I57" s="11"/>
      <c r="J57" s="11"/>
      <c r="K57" s="11"/>
      <c r="L57" s="11"/>
      <c r="M57" s="11"/>
      <c r="N57" s="11"/>
      <c r="O57" s="11"/>
      <c r="P57" s="11">
        <f>SUM(D57:O57)</f>
        <v>-1591</v>
      </c>
    </row>
    <row r="58" spans="1:16">
      <c r="A58" s="8"/>
      <c r="B58" s="8"/>
      <c r="C58" s="9" t="s">
        <v>41</v>
      </c>
      <c r="D58" s="25">
        <f t="shared" ref="D58:P58" si="6">SUM(D55:D57)</f>
        <v>-534.6</v>
      </c>
      <c r="E58" s="25">
        <f t="shared" si="6"/>
        <v>-939.79</v>
      </c>
      <c r="F58" s="25">
        <f t="shared" si="6"/>
        <v>-608.61000000000013</v>
      </c>
      <c r="G58" s="25">
        <f t="shared" si="6"/>
        <v>-647.06000000000006</v>
      </c>
      <c r="H58" s="25">
        <f t="shared" si="6"/>
        <v>-2067.41</v>
      </c>
      <c r="I58" s="25">
        <f t="shared" si="6"/>
        <v>-1022.15</v>
      </c>
      <c r="J58" s="25">
        <f t="shared" si="6"/>
        <v>-859.54</v>
      </c>
      <c r="K58" s="25">
        <f t="shared" si="6"/>
        <v>7043.29</v>
      </c>
      <c r="L58" s="25">
        <f t="shared" si="6"/>
        <v>-76.309999999999945</v>
      </c>
      <c r="M58" s="25">
        <f t="shared" si="6"/>
        <v>-298.97000000000003</v>
      </c>
      <c r="N58" s="25">
        <f t="shared" si="6"/>
        <v>-676.41000000000008</v>
      </c>
      <c r="O58" s="25">
        <f t="shared" si="6"/>
        <v>-622.05999999999995</v>
      </c>
      <c r="P58" s="25">
        <f t="shared" si="6"/>
        <v>-1309.619999999999</v>
      </c>
    </row>
    <row r="59" spans="1:16">
      <c r="A59" s="8"/>
      <c r="B59" s="6" t="s">
        <v>42</v>
      </c>
      <c r="C59" s="9"/>
      <c r="D59" s="25">
        <f t="shared" ref="D59:P59" si="7">D52+D58</f>
        <v>-8712.0299999999934</v>
      </c>
      <c r="E59" s="25">
        <f t="shared" si="7"/>
        <v>58124.272999999965</v>
      </c>
      <c r="F59" s="25">
        <f t="shared" si="7"/>
        <v>-163465.51</v>
      </c>
      <c r="G59" s="25">
        <f t="shared" si="7"/>
        <v>28661.019999999957</v>
      </c>
      <c r="H59" s="25">
        <f t="shared" si="7"/>
        <v>90999.700000000041</v>
      </c>
      <c r="I59" s="25">
        <f t="shared" si="7"/>
        <v>-91505.109999999899</v>
      </c>
      <c r="J59" s="25">
        <f t="shared" si="7"/>
        <v>24362.480000000018</v>
      </c>
      <c r="K59" s="25">
        <f t="shared" si="7"/>
        <v>80278.37999999999</v>
      </c>
      <c r="L59" s="25">
        <f t="shared" si="7"/>
        <v>-38002.600000000064</v>
      </c>
      <c r="M59" s="25">
        <f t="shared" si="7"/>
        <v>43787.050000000076</v>
      </c>
      <c r="N59" s="25">
        <f t="shared" si="7"/>
        <v>38090.400000000111</v>
      </c>
      <c r="O59" s="25">
        <f t="shared" si="7"/>
        <v>46861.150000000081</v>
      </c>
      <c r="P59" s="25">
        <f t="shared" si="7"/>
        <v>109479.20299999986</v>
      </c>
    </row>
    <row r="60" spans="1:16">
      <c r="A60" s="8"/>
      <c r="B60" s="6" t="s">
        <v>43</v>
      </c>
      <c r="C60" s="9"/>
      <c r="D60" s="25">
        <v>-1830</v>
      </c>
      <c r="E60" s="25">
        <v>12206</v>
      </c>
      <c r="F60" s="25">
        <v>-34286</v>
      </c>
      <c r="G60" s="25">
        <v>6027</v>
      </c>
      <c r="H60" s="25">
        <v>19134</v>
      </c>
      <c r="I60" s="25">
        <v>-19208</v>
      </c>
      <c r="J60" s="25">
        <v>5130</v>
      </c>
      <c r="K60" s="25">
        <v>16863</v>
      </c>
      <c r="L60" s="25">
        <v>-7980</v>
      </c>
      <c r="M60" s="25">
        <v>9200</v>
      </c>
      <c r="N60" s="25">
        <v>7999</v>
      </c>
      <c r="O60" s="25">
        <v>9841</v>
      </c>
      <c r="P60" s="25">
        <f>SUM(D60:O60)</f>
        <v>23096</v>
      </c>
    </row>
    <row r="61" spans="1:16" ht="15.75" thickBot="1">
      <c r="A61" s="8"/>
      <c r="B61" s="6" t="s">
        <v>44</v>
      </c>
      <c r="C61" s="9"/>
      <c r="D61" s="26">
        <f t="shared" ref="D61:P61" si="8">D52+D58-D60</f>
        <v>-6882.0299999999934</v>
      </c>
      <c r="E61" s="26">
        <f t="shared" si="8"/>
        <v>45918.272999999965</v>
      </c>
      <c r="F61" s="26">
        <f t="shared" si="8"/>
        <v>-129179.51000000001</v>
      </c>
      <c r="G61" s="26">
        <f t="shared" si="8"/>
        <v>22634.019999999957</v>
      </c>
      <c r="H61" s="26">
        <f t="shared" si="8"/>
        <v>71865.700000000041</v>
      </c>
      <c r="I61" s="26">
        <f t="shared" si="8"/>
        <v>-72297.109999999899</v>
      </c>
      <c r="J61" s="26">
        <f t="shared" si="8"/>
        <v>19232.480000000018</v>
      </c>
      <c r="K61" s="26">
        <f t="shared" si="8"/>
        <v>63415.37999999999</v>
      </c>
      <c r="L61" s="26">
        <f t="shared" si="8"/>
        <v>-30022.600000000064</v>
      </c>
      <c r="M61" s="26">
        <f t="shared" si="8"/>
        <v>34587.050000000076</v>
      </c>
      <c r="N61" s="26">
        <f t="shared" si="8"/>
        <v>30091.400000000111</v>
      </c>
      <c r="O61" s="26">
        <f t="shared" si="8"/>
        <v>37020.150000000081</v>
      </c>
      <c r="P61" s="26">
        <f t="shared" si="8"/>
        <v>86383.202999999863</v>
      </c>
    </row>
    <row r="62" spans="1:16" ht="16.5" thickTop="1">
      <c r="A62" s="3"/>
      <c r="B62" s="8"/>
      <c r="C62" s="3"/>
      <c r="D62" s="7"/>
      <c r="E62" s="7"/>
      <c r="F62" s="7"/>
      <c r="G62" s="7"/>
      <c r="H62" s="7"/>
      <c r="I62" s="3"/>
      <c r="J62" s="14"/>
      <c r="K62" s="14"/>
      <c r="L62" s="14"/>
      <c r="M62" s="14"/>
      <c r="N62" s="14"/>
      <c r="O62" s="14"/>
      <c r="P62" s="14"/>
    </row>
    <row r="63" spans="1:16" ht="15.75">
      <c r="A63" s="3"/>
      <c r="B63" s="3"/>
      <c r="C63" s="3"/>
      <c r="D63" s="11">
        <f>+D23+D26+D33+D34</f>
        <v>74819.75</v>
      </c>
      <c r="E63" s="11">
        <f t="shared" ref="E63:O63" si="9">+E23+E26+E33+E34</f>
        <v>66137.319999999992</v>
      </c>
      <c r="F63" s="11">
        <f t="shared" si="9"/>
        <v>66369.78</v>
      </c>
      <c r="G63" s="11">
        <f t="shared" si="9"/>
        <v>74391.159999999989</v>
      </c>
      <c r="H63" s="11">
        <f t="shared" si="9"/>
        <v>68568.600000000006</v>
      </c>
      <c r="I63" s="11">
        <f t="shared" si="9"/>
        <v>70824.13</v>
      </c>
      <c r="J63" s="11">
        <f t="shared" si="9"/>
        <v>68640.56</v>
      </c>
      <c r="K63" s="11">
        <f t="shared" si="9"/>
        <v>71189.64</v>
      </c>
      <c r="L63" s="11">
        <f t="shared" si="9"/>
        <v>73339.88</v>
      </c>
      <c r="M63" s="11">
        <f t="shared" si="9"/>
        <v>75903.42</v>
      </c>
      <c r="N63" s="11">
        <f t="shared" si="9"/>
        <v>72522.11</v>
      </c>
      <c r="O63" s="11">
        <f t="shared" si="9"/>
        <v>74569.73</v>
      </c>
      <c r="P63" s="10">
        <f>SUM(D63:O63)</f>
        <v>857276.08</v>
      </c>
    </row>
    <row r="64" spans="1:16" ht="15.75">
      <c r="A64" s="3"/>
      <c r="B64" s="3"/>
      <c r="C64" s="3"/>
      <c r="D64" s="3"/>
      <c r="E64" s="3"/>
      <c r="F64" s="3"/>
      <c r="G64" s="3"/>
      <c r="H64" s="3"/>
      <c r="I64" s="3"/>
    </row>
    <row r="65" spans="1:9" ht="15.75">
      <c r="A65" s="3"/>
      <c r="B65" s="3"/>
      <c r="C65" s="3"/>
      <c r="D65" s="3"/>
      <c r="E65" s="3"/>
      <c r="F65" s="3"/>
      <c r="G65" s="3"/>
      <c r="H65" s="3"/>
      <c r="I65" s="3"/>
    </row>
    <row r="66" spans="1:9" ht="15.75">
      <c r="A66" s="3"/>
      <c r="B66" s="3"/>
      <c r="C66" s="3"/>
      <c r="D66" s="12"/>
      <c r="E66" s="12"/>
      <c r="F66" s="12"/>
      <c r="G66" s="12"/>
      <c r="H66" s="12"/>
      <c r="I66" s="3"/>
    </row>
  </sheetData>
  <sortState xmlns:xlrd2="http://schemas.microsoft.com/office/spreadsheetml/2017/richdata2" ref="B22:O50">
    <sortCondition ref="B22:B50"/>
  </sortState>
  <pageMargins left="0.2" right="0.2" top="0.75" bottom="0.75" header="0.3" footer="0.3"/>
  <pageSetup scale="79" fitToHeight="0" orientation="landscape" r:id="rId1"/>
  <headerFooter>
    <oddFooter>&amp;L&amp;D&amp;RPage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36EAE-9B5A-448B-B77F-B5B2927193BB}">
  <sheetPr>
    <pageSetUpPr fitToPage="1"/>
  </sheetPr>
  <dimension ref="A1:I64"/>
  <sheetViews>
    <sheetView workbookViewId="0">
      <selection activeCell="A23" sqref="A23"/>
    </sheetView>
  </sheetViews>
  <sheetFormatPr defaultRowHeight="15"/>
  <cols>
    <col min="1" max="1" width="8.5703125" bestFit="1" customWidth="1"/>
    <col min="2" max="2" width="6.140625" customWidth="1"/>
    <col min="3" max="3" width="26.140625" bestFit="1" customWidth="1"/>
    <col min="4" max="9" width="14.7109375" customWidth="1"/>
  </cols>
  <sheetData>
    <row r="1" spans="1:9" ht="18.75">
      <c r="A1" s="15" t="s">
        <v>0</v>
      </c>
      <c r="B1" s="13"/>
      <c r="C1" s="13"/>
      <c r="D1" s="13"/>
      <c r="E1" s="13"/>
      <c r="F1" s="13"/>
      <c r="G1" s="13"/>
      <c r="H1" s="13"/>
      <c r="I1" s="13"/>
    </row>
    <row r="2" spans="1:9" ht="18.75">
      <c r="A2" s="15" t="s">
        <v>195</v>
      </c>
      <c r="B2" s="13"/>
      <c r="C2" s="13"/>
      <c r="D2" s="13"/>
      <c r="E2" s="13"/>
      <c r="F2" s="13"/>
      <c r="G2" s="13"/>
      <c r="H2" s="13"/>
      <c r="I2" s="13"/>
    </row>
    <row r="3" spans="1:9" ht="18.75">
      <c r="A3" s="15" t="s">
        <v>45</v>
      </c>
      <c r="B3" s="13"/>
      <c r="C3" s="13"/>
      <c r="D3" s="13"/>
      <c r="E3" s="13"/>
      <c r="F3" s="13"/>
      <c r="G3" s="13"/>
      <c r="H3" s="13"/>
      <c r="I3" s="13"/>
    </row>
    <row r="7" spans="1:9" ht="30">
      <c r="D7" s="214" t="s">
        <v>196</v>
      </c>
      <c r="E7" s="214" t="s">
        <v>197</v>
      </c>
      <c r="F7" s="214" t="s">
        <v>198</v>
      </c>
      <c r="G7" s="214" t="s">
        <v>199</v>
      </c>
      <c r="H7" s="214" t="s">
        <v>200</v>
      </c>
      <c r="I7" s="214" t="s">
        <v>201</v>
      </c>
    </row>
    <row r="8" spans="1:9">
      <c r="A8" s="215" t="s">
        <v>3</v>
      </c>
      <c r="B8" s="16"/>
      <c r="C8" s="216"/>
    </row>
    <row r="9" spans="1:9">
      <c r="A9" s="216"/>
      <c r="B9" s="219">
        <v>3100</v>
      </c>
      <c r="C9" s="217" t="s">
        <v>4</v>
      </c>
      <c r="D9" s="10">
        <f>+'Monthly P&amp;L'!P7</f>
        <v>1567763.5999999999</v>
      </c>
      <c r="E9" s="297">
        <f>+'Restating Entries'!P9</f>
        <v>143341.21000000002</v>
      </c>
      <c r="F9" s="297">
        <f>+'Pro Forma Entries'!K9</f>
        <v>0</v>
      </c>
      <c r="G9" s="10">
        <f>SUM(D9:F9)</f>
        <v>1711104.8099999998</v>
      </c>
      <c r="H9" s="297">
        <f>+'Price Out'!Q36</f>
        <v>162810.44817185515</v>
      </c>
      <c r="I9" s="297">
        <f>+G9+H9</f>
        <v>1873915.258171855</v>
      </c>
    </row>
    <row r="10" spans="1:9">
      <c r="A10" s="216"/>
      <c r="B10" s="219">
        <v>3200</v>
      </c>
      <c r="C10" s="217" t="s">
        <v>5</v>
      </c>
      <c r="D10" s="10">
        <f>+'Monthly P&amp;L'!P8</f>
        <v>1163228.22</v>
      </c>
      <c r="E10" s="297">
        <f>+'Restating Entries'!P10</f>
        <v>-12566.56</v>
      </c>
      <c r="F10" s="297">
        <f>+'Pro Forma Entries'!K10</f>
        <v>0</v>
      </c>
      <c r="G10" s="10">
        <f t="shared" ref="G10:G20" si="0">SUM(D10:F10)</f>
        <v>1150661.6599999999</v>
      </c>
      <c r="H10" s="297">
        <f>+'Price Out'!Q71</f>
        <v>103901.90451970304</v>
      </c>
      <c r="I10" s="297">
        <f t="shared" ref="I10:I20" si="1">+G10+H10</f>
        <v>1254563.5645197029</v>
      </c>
    </row>
    <row r="11" spans="1:9">
      <c r="A11" s="216"/>
      <c r="B11" s="219">
        <v>3300</v>
      </c>
      <c r="C11" s="217" t="s">
        <v>6</v>
      </c>
      <c r="D11" s="10">
        <f>+'Monthly P&amp;L'!P9</f>
        <v>398543.58</v>
      </c>
      <c r="E11" s="297">
        <f>+'Restating Entries'!P11</f>
        <v>0</v>
      </c>
      <c r="F11" s="297">
        <f>+'Pro Forma Entries'!K11</f>
        <v>0</v>
      </c>
      <c r="G11" s="10">
        <f t="shared" si="0"/>
        <v>398543.58</v>
      </c>
      <c r="H11" s="297">
        <f>+'Price Out'!Q96</f>
        <v>41221.412967816221</v>
      </c>
      <c r="I11" s="297">
        <f t="shared" si="1"/>
        <v>439764.99296781624</v>
      </c>
    </row>
    <row r="12" spans="1:9">
      <c r="A12" s="216"/>
      <c r="B12" s="219">
        <v>3310</v>
      </c>
      <c r="C12" s="217" t="s">
        <v>7</v>
      </c>
      <c r="D12" s="10">
        <f>+'Monthly P&amp;L'!P10</f>
        <v>370591.87000000005</v>
      </c>
      <c r="E12" s="297">
        <f>+'Restating Entries'!P12</f>
        <v>0</v>
      </c>
      <c r="F12" s="297">
        <f>+'Pro Forma Entries'!K12</f>
        <v>0</v>
      </c>
      <c r="G12" s="10">
        <f t="shared" si="0"/>
        <v>370591.87000000005</v>
      </c>
      <c r="H12" s="297">
        <f>+'Price Out'!Q103+'Price Out'!Q105</f>
        <v>45157.257152317907</v>
      </c>
      <c r="I12" s="297">
        <f t="shared" si="1"/>
        <v>415749.12715231796</v>
      </c>
    </row>
    <row r="13" spans="1:9">
      <c r="A13" s="216"/>
      <c r="B13" s="219">
        <v>3400</v>
      </c>
      <c r="C13" s="217" t="s">
        <v>8</v>
      </c>
      <c r="D13" s="10">
        <f>+'Monthly P&amp;L'!P11</f>
        <v>33057.47</v>
      </c>
      <c r="E13" s="297">
        <f>+'Restating Entries'!P13</f>
        <v>0</v>
      </c>
      <c r="F13" s="297">
        <f>+'Pro Forma Entries'!K13</f>
        <v>0</v>
      </c>
      <c r="G13" s="10">
        <f t="shared" si="0"/>
        <v>33057.47</v>
      </c>
      <c r="H13" s="297"/>
      <c r="I13" s="297">
        <f t="shared" si="1"/>
        <v>33057.47</v>
      </c>
    </row>
    <row r="14" spans="1:9">
      <c r="A14" s="216"/>
      <c r="B14" s="219">
        <v>3450</v>
      </c>
      <c r="C14" s="217" t="s">
        <v>9</v>
      </c>
      <c r="D14" s="10">
        <f>+'Monthly P&amp;L'!P12</f>
        <v>43145.729999999996</v>
      </c>
      <c r="E14" s="297">
        <f>+'Restating Entries'!P14</f>
        <v>0</v>
      </c>
      <c r="F14" s="297">
        <f>+'Pro Forma Entries'!K14</f>
        <v>0</v>
      </c>
      <c r="G14" s="10">
        <f t="shared" si="0"/>
        <v>43145.729999999996</v>
      </c>
      <c r="H14" s="297"/>
      <c r="I14" s="297">
        <f t="shared" si="1"/>
        <v>43145.729999999996</v>
      </c>
    </row>
    <row r="15" spans="1:9">
      <c r="A15" s="216"/>
      <c r="B15" s="219">
        <v>3475</v>
      </c>
      <c r="C15" s="217" t="s">
        <v>59</v>
      </c>
      <c r="D15" s="10">
        <f>+'Monthly P&amp;L'!P13</f>
        <v>640</v>
      </c>
      <c r="E15" s="297">
        <f>+'Restating Entries'!P15</f>
        <v>0</v>
      </c>
      <c r="F15" s="297">
        <f>+'Pro Forma Entries'!K15</f>
        <v>0</v>
      </c>
      <c r="G15" s="10">
        <f t="shared" si="0"/>
        <v>640</v>
      </c>
      <c r="H15" s="297"/>
      <c r="I15" s="297">
        <f t="shared" si="1"/>
        <v>640</v>
      </c>
    </row>
    <row r="16" spans="1:9">
      <c r="A16" s="216"/>
      <c r="B16" s="219">
        <v>3500</v>
      </c>
      <c r="C16" s="217" t="s">
        <v>67</v>
      </c>
      <c r="D16" s="10"/>
      <c r="E16" s="297">
        <f>+'Restating Entries'!P16</f>
        <v>0</v>
      </c>
      <c r="F16" s="297">
        <f>+'Pro Forma Entries'!K16</f>
        <v>0</v>
      </c>
      <c r="G16" s="10">
        <f t="shared" si="0"/>
        <v>0</v>
      </c>
      <c r="H16" s="297"/>
      <c r="I16" s="297">
        <f t="shared" si="1"/>
        <v>0</v>
      </c>
    </row>
    <row r="17" spans="1:9">
      <c r="A17" s="216"/>
      <c r="B17" s="219">
        <v>3510</v>
      </c>
      <c r="C17" s="217" t="s">
        <v>10</v>
      </c>
      <c r="D17" s="10">
        <f>+'Monthly P&amp;L'!P15</f>
        <v>7486.5000000000018</v>
      </c>
      <c r="E17" s="297">
        <f>+'Restating Entries'!P17</f>
        <v>0</v>
      </c>
      <c r="F17" s="297">
        <f>+'Pro Forma Entries'!K17</f>
        <v>0</v>
      </c>
      <c r="G17" s="10">
        <f t="shared" si="0"/>
        <v>7486.5000000000018</v>
      </c>
      <c r="H17" s="297"/>
      <c r="I17" s="297">
        <f t="shared" si="1"/>
        <v>7486.5000000000018</v>
      </c>
    </row>
    <row r="18" spans="1:9">
      <c r="A18" s="216"/>
      <c r="B18" s="219">
        <v>3530</v>
      </c>
      <c r="C18" s="217" t="s">
        <v>11</v>
      </c>
      <c r="D18" s="10">
        <f>+'Monthly P&amp;L'!P16</f>
        <v>3498.84</v>
      </c>
      <c r="E18" s="297">
        <f>+'Restating Entries'!P18</f>
        <v>0</v>
      </c>
      <c r="F18" s="297">
        <f>+'Pro Forma Entries'!K18</f>
        <v>0</v>
      </c>
      <c r="G18" s="10">
        <f t="shared" si="0"/>
        <v>3498.84</v>
      </c>
      <c r="H18" s="297"/>
      <c r="I18" s="297">
        <f t="shared" si="1"/>
        <v>3498.84</v>
      </c>
    </row>
    <row r="19" spans="1:9">
      <c r="A19" s="216"/>
      <c r="B19" s="219">
        <v>3540</v>
      </c>
      <c r="C19" s="217" t="s">
        <v>58</v>
      </c>
      <c r="D19" s="10">
        <f>+'Monthly P&amp;L'!P17</f>
        <v>44776.29</v>
      </c>
      <c r="E19" s="297">
        <f>+'Restating Entries'!P19</f>
        <v>0</v>
      </c>
      <c r="F19" s="297">
        <f>+'Pro Forma Entries'!K19</f>
        <v>0</v>
      </c>
      <c r="G19" s="10">
        <f t="shared" si="0"/>
        <v>44776.29</v>
      </c>
      <c r="H19" s="297"/>
      <c r="I19" s="297">
        <f t="shared" si="1"/>
        <v>44776.29</v>
      </c>
    </row>
    <row r="20" spans="1:9">
      <c r="A20" s="216"/>
      <c r="B20" s="219">
        <v>3550</v>
      </c>
      <c r="C20" s="217" t="s">
        <v>12</v>
      </c>
      <c r="D20" s="211">
        <f>+'Monthly P&amp;L'!P18</f>
        <v>0</v>
      </c>
      <c r="E20" s="299">
        <f>+'Restating Entries'!P20</f>
        <v>0</v>
      </c>
      <c r="F20" s="299">
        <f>+'Pro Forma Entries'!K20</f>
        <v>0</v>
      </c>
      <c r="G20" s="211">
        <f t="shared" si="0"/>
        <v>0</v>
      </c>
      <c r="H20" s="299"/>
      <c r="I20" s="299">
        <f t="shared" si="1"/>
        <v>0</v>
      </c>
    </row>
    <row r="21" spans="1:9">
      <c r="A21" s="216"/>
      <c r="B21" s="219"/>
      <c r="C21" s="217"/>
      <c r="D21" s="10">
        <f t="shared" ref="D21:I21" si="2">SUM(D9:D20)</f>
        <v>3632732.1</v>
      </c>
      <c r="E21" s="10">
        <f t="shared" si="2"/>
        <v>130774.65000000002</v>
      </c>
      <c r="F21" s="10">
        <f t="shared" si="2"/>
        <v>0</v>
      </c>
      <c r="G21" s="10">
        <f t="shared" si="2"/>
        <v>3763506.75</v>
      </c>
      <c r="H21" s="297">
        <f t="shared" si="2"/>
        <v>353091.02281169232</v>
      </c>
      <c r="I21" s="10">
        <f t="shared" si="2"/>
        <v>4116597.7728116922</v>
      </c>
    </row>
    <row r="22" spans="1:9">
      <c r="A22" s="216"/>
      <c r="B22" s="219"/>
      <c r="C22" s="217"/>
    </row>
    <row r="23" spans="1:9">
      <c r="A23" s="215" t="s">
        <v>13</v>
      </c>
      <c r="B23" s="219"/>
      <c r="C23" s="217"/>
    </row>
    <row r="24" spans="1:9">
      <c r="A24" s="215"/>
      <c r="B24" s="219">
        <v>4100</v>
      </c>
      <c r="C24" s="217" t="s">
        <v>14</v>
      </c>
      <c r="D24" s="10">
        <f>+'Monthly P&amp;L'!P22</f>
        <v>115156.08</v>
      </c>
      <c r="E24" s="297">
        <f>+'Restating Entries'!P24</f>
        <v>0</v>
      </c>
      <c r="F24" s="297">
        <f>+'Pro Forma Entries'!K24</f>
        <v>0</v>
      </c>
      <c r="G24" s="10">
        <f t="shared" ref="G24:G52" si="3">SUM(D24:F24)</f>
        <v>115156.08</v>
      </c>
      <c r="I24" s="297">
        <f t="shared" ref="I24:I52" si="4">+G24+H24</f>
        <v>115156.08</v>
      </c>
    </row>
    <row r="25" spans="1:9">
      <c r="A25" s="215"/>
      <c r="B25" s="219">
        <v>4115</v>
      </c>
      <c r="C25" s="217" t="s">
        <v>15</v>
      </c>
      <c r="D25" s="10">
        <f>+'Monthly P&amp;L'!P23</f>
        <v>141174.88999999998</v>
      </c>
      <c r="E25" s="297">
        <f>+'Restating Entries'!P25</f>
        <v>0</v>
      </c>
      <c r="F25" s="297">
        <f>+'Pro Forma Entries'!K25</f>
        <v>6690.26</v>
      </c>
      <c r="G25" s="10">
        <f t="shared" si="3"/>
        <v>147865.15</v>
      </c>
      <c r="I25" s="297">
        <f t="shared" si="4"/>
        <v>147865.15</v>
      </c>
    </row>
    <row r="26" spans="1:9">
      <c r="A26" s="215"/>
      <c r="B26" s="219">
        <v>4160</v>
      </c>
      <c r="C26" s="217" t="s">
        <v>16</v>
      </c>
      <c r="D26" s="10">
        <f>+'Monthly P&amp;L'!P24</f>
        <v>43059.649999999994</v>
      </c>
      <c r="E26" s="297">
        <f>+'Restating Entries'!P26</f>
        <v>0</v>
      </c>
      <c r="F26" s="297">
        <f>+'Pro Forma Entries'!K26</f>
        <v>0</v>
      </c>
      <c r="G26" s="10">
        <f t="shared" si="3"/>
        <v>43059.649999999994</v>
      </c>
      <c r="I26" s="297">
        <f t="shared" si="4"/>
        <v>43059.649999999994</v>
      </c>
    </row>
    <row r="27" spans="1:9">
      <c r="A27" s="215"/>
      <c r="B27" s="219">
        <v>4180</v>
      </c>
      <c r="C27" s="217" t="s">
        <v>17</v>
      </c>
      <c r="D27" s="10">
        <f>+'Monthly P&amp;L'!P25</f>
        <v>3466.43</v>
      </c>
      <c r="E27" s="297">
        <f>+'Restating Entries'!P27</f>
        <v>0</v>
      </c>
      <c r="F27" s="297">
        <f>+'Pro Forma Entries'!K27</f>
        <v>0</v>
      </c>
      <c r="G27" s="10">
        <f t="shared" si="3"/>
        <v>3466.43</v>
      </c>
      <c r="I27" s="297">
        <f t="shared" si="4"/>
        <v>3466.43</v>
      </c>
    </row>
    <row r="28" spans="1:9">
      <c r="A28" s="215"/>
      <c r="B28" s="219">
        <v>4213</v>
      </c>
      <c r="C28" s="217" t="s">
        <v>18</v>
      </c>
      <c r="D28" s="10">
        <f>+'Monthly P&amp;L'!P26</f>
        <v>437846.9</v>
      </c>
      <c r="E28" s="297">
        <f>+'Restating Entries'!P28</f>
        <v>0</v>
      </c>
      <c r="F28" s="297">
        <f>+'Pro Forma Entries'!K28</f>
        <v>12438.21</v>
      </c>
      <c r="G28" s="10">
        <f t="shared" si="3"/>
        <v>450285.11000000004</v>
      </c>
      <c r="I28" s="297">
        <f t="shared" si="4"/>
        <v>450285.11000000004</v>
      </c>
    </row>
    <row r="29" spans="1:9">
      <c r="A29" s="215"/>
      <c r="B29" s="219">
        <v>4240</v>
      </c>
      <c r="C29" s="217" t="s">
        <v>19</v>
      </c>
      <c r="D29" s="10">
        <f>+'Monthly P&amp;L'!P27</f>
        <v>155792.84000000003</v>
      </c>
      <c r="E29" s="297">
        <f>+'Restating Entries'!P29</f>
        <v>-2424.1799999999694</v>
      </c>
      <c r="F29" s="297">
        <f>+'Pro Forma Entries'!K29</f>
        <v>0</v>
      </c>
      <c r="G29" s="10">
        <f t="shared" si="3"/>
        <v>153368.66000000006</v>
      </c>
      <c r="I29" s="297">
        <f t="shared" si="4"/>
        <v>153368.66000000006</v>
      </c>
    </row>
    <row r="30" spans="1:9">
      <c r="A30" s="215"/>
      <c r="B30" s="219">
        <v>4362</v>
      </c>
      <c r="C30" s="217" t="s">
        <v>20</v>
      </c>
      <c r="D30" s="10">
        <f>+'Monthly P&amp;L'!P28</f>
        <v>1373216.33</v>
      </c>
      <c r="E30" s="297">
        <f>+'Restating Entries'!P30</f>
        <v>588.06999999999994</v>
      </c>
      <c r="F30" s="297">
        <f>+'Pro Forma Entries'!K30</f>
        <v>72818.392500000002</v>
      </c>
      <c r="G30" s="10">
        <f t="shared" si="3"/>
        <v>1446622.7925000002</v>
      </c>
      <c r="I30" s="297">
        <f t="shared" si="4"/>
        <v>1446622.7925000002</v>
      </c>
    </row>
    <row r="31" spans="1:9">
      <c r="A31" s="215"/>
      <c r="B31" s="219">
        <v>4370</v>
      </c>
      <c r="C31" s="217" t="s">
        <v>68</v>
      </c>
      <c r="D31" s="10">
        <f>+'Monthly P&amp;L'!P29</f>
        <v>0</v>
      </c>
      <c r="E31" s="297">
        <f>+'Restating Entries'!P31</f>
        <v>0</v>
      </c>
      <c r="F31" s="297">
        <f>+'Pro Forma Entries'!K31</f>
        <v>0</v>
      </c>
      <c r="G31" s="10">
        <f t="shared" si="3"/>
        <v>0</v>
      </c>
      <c r="I31" s="297">
        <f t="shared" si="4"/>
        <v>0</v>
      </c>
    </row>
    <row r="32" spans="1:9">
      <c r="A32" s="215"/>
      <c r="B32" s="219">
        <v>4380</v>
      </c>
      <c r="C32" s="217" t="s">
        <v>34</v>
      </c>
      <c r="D32" s="10">
        <f>+'Monthly P&amp;L'!P30</f>
        <v>189</v>
      </c>
      <c r="E32" s="297">
        <f>+'Restating Entries'!P32</f>
        <v>0</v>
      </c>
      <c r="F32" s="297">
        <f>+'Pro Forma Entries'!K32</f>
        <v>0</v>
      </c>
      <c r="G32" s="10">
        <f t="shared" si="3"/>
        <v>189</v>
      </c>
      <c r="I32" s="297">
        <f t="shared" si="4"/>
        <v>189</v>
      </c>
    </row>
    <row r="33" spans="1:9">
      <c r="A33" s="215"/>
      <c r="B33" s="219">
        <v>4450</v>
      </c>
      <c r="C33" s="217" t="s">
        <v>21</v>
      </c>
      <c r="D33" s="10">
        <f>+'Monthly P&amp;L'!P31</f>
        <v>13261.76</v>
      </c>
      <c r="E33" s="297">
        <f>+'Restating Entries'!P33</f>
        <v>-7454.55</v>
      </c>
      <c r="F33" s="297">
        <f>+'Pro Forma Entries'!K33</f>
        <v>0</v>
      </c>
      <c r="G33" s="10">
        <f t="shared" si="3"/>
        <v>5807.21</v>
      </c>
      <c r="I33" s="297">
        <f t="shared" si="4"/>
        <v>5807.21</v>
      </c>
    </row>
    <row r="34" spans="1:9">
      <c r="A34" s="215"/>
      <c r="B34" s="219">
        <v>4500</v>
      </c>
      <c r="C34" s="217" t="s">
        <v>22</v>
      </c>
      <c r="D34" s="10">
        <f>+'Monthly P&amp;L'!P32</f>
        <v>113711.73</v>
      </c>
      <c r="E34" s="297">
        <f>+'Restating Entries'!P34</f>
        <v>0</v>
      </c>
      <c r="F34" s="297">
        <f>+'Pro Forma Entries'!K34</f>
        <v>10524.270000000004</v>
      </c>
      <c r="G34" s="10">
        <f t="shared" si="3"/>
        <v>124236</v>
      </c>
      <c r="I34" s="297">
        <f t="shared" si="4"/>
        <v>124236</v>
      </c>
    </row>
    <row r="35" spans="1:9">
      <c r="A35" s="215"/>
      <c r="B35" s="219">
        <v>4611</v>
      </c>
      <c r="C35" s="217" t="s">
        <v>23</v>
      </c>
      <c r="D35" s="10">
        <f>+'Monthly P&amp;L'!P33</f>
        <v>223591.11000000002</v>
      </c>
      <c r="E35" s="297">
        <f>+'Restating Entries'!P35</f>
        <v>0</v>
      </c>
      <c r="F35" s="297">
        <f>+'Pro Forma Entries'!K35</f>
        <v>24199.920000000002</v>
      </c>
      <c r="G35" s="10">
        <f t="shared" si="3"/>
        <v>247791.03000000003</v>
      </c>
      <c r="I35" s="297">
        <f t="shared" si="4"/>
        <v>247791.03000000003</v>
      </c>
    </row>
    <row r="36" spans="1:9">
      <c r="A36" s="215"/>
      <c r="B36" s="219">
        <v>4613</v>
      </c>
      <c r="C36" s="217" t="s">
        <v>24</v>
      </c>
      <c r="D36" s="10">
        <f>+'Monthly P&amp;L'!P34</f>
        <v>54663.18</v>
      </c>
      <c r="E36" s="297">
        <f>+'Restating Entries'!P36</f>
        <v>0</v>
      </c>
      <c r="F36" s="297">
        <f>+'Pro Forma Entries'!K36</f>
        <v>1524.62</v>
      </c>
      <c r="G36" s="10">
        <f t="shared" si="3"/>
        <v>56187.8</v>
      </c>
      <c r="I36" s="297">
        <f t="shared" si="4"/>
        <v>56187.8</v>
      </c>
    </row>
    <row r="37" spans="1:9">
      <c r="A37" s="215"/>
      <c r="B37" s="219">
        <v>4620</v>
      </c>
      <c r="C37" s="217" t="s">
        <v>64</v>
      </c>
      <c r="D37" s="10">
        <f>+'Monthly P&amp;L'!P35</f>
        <v>87657.819999999992</v>
      </c>
      <c r="E37" s="297">
        <f>+'Restating Entries'!P37</f>
        <v>0</v>
      </c>
      <c r="F37" s="297">
        <f>+'Pro Forma Entries'!K37</f>
        <v>0</v>
      </c>
      <c r="G37" s="10">
        <f t="shared" si="3"/>
        <v>87657.819999999992</v>
      </c>
      <c r="I37" s="297">
        <f t="shared" si="4"/>
        <v>87657.819999999992</v>
      </c>
    </row>
    <row r="38" spans="1:9">
      <c r="A38" s="215"/>
      <c r="B38" s="219">
        <v>4625</v>
      </c>
      <c r="C38" s="217" t="s">
        <v>60</v>
      </c>
      <c r="D38" s="10">
        <f>+'Monthly P&amp;L'!P36</f>
        <v>49714.32</v>
      </c>
      <c r="E38" s="297">
        <f>+'Restating Entries'!P38</f>
        <v>-49714.32</v>
      </c>
      <c r="F38" s="297">
        <f>+'Pro Forma Entries'!K38</f>
        <v>0</v>
      </c>
      <c r="G38" s="10">
        <f t="shared" si="3"/>
        <v>0</v>
      </c>
      <c r="I38" s="297">
        <f t="shared" si="4"/>
        <v>0</v>
      </c>
    </row>
    <row r="39" spans="1:9">
      <c r="A39" s="215"/>
      <c r="B39" s="219">
        <v>4630</v>
      </c>
      <c r="C39" s="217" t="s">
        <v>65</v>
      </c>
      <c r="D39" s="10">
        <f>+'Monthly P&amp;L'!P37</f>
        <v>41374.660000000003</v>
      </c>
      <c r="E39" s="297">
        <f>+'Restating Entries'!P39</f>
        <v>0</v>
      </c>
      <c r="F39" s="297">
        <f>+'Pro Forma Entries'!K39</f>
        <v>12542.46</v>
      </c>
      <c r="G39" s="10">
        <f t="shared" si="3"/>
        <v>53917.120000000003</v>
      </c>
      <c r="I39" s="297">
        <f t="shared" si="4"/>
        <v>53917.120000000003</v>
      </c>
    </row>
    <row r="40" spans="1:9">
      <c r="A40" s="215"/>
      <c r="B40" s="219">
        <v>4640</v>
      </c>
      <c r="C40" s="217" t="s">
        <v>66</v>
      </c>
      <c r="D40" s="10">
        <f>+'Monthly P&amp;L'!P38</f>
        <v>17397.580000000002</v>
      </c>
      <c r="E40" s="297">
        <f>+'Restating Entries'!P40</f>
        <v>0</v>
      </c>
      <c r="F40" s="297">
        <f>+'Pro Forma Entries'!K40</f>
        <v>0</v>
      </c>
      <c r="G40" s="10">
        <f t="shared" si="3"/>
        <v>17397.580000000002</v>
      </c>
      <c r="I40" s="297">
        <f t="shared" si="4"/>
        <v>17397.580000000002</v>
      </c>
    </row>
    <row r="41" spans="1:9">
      <c r="A41" s="215"/>
      <c r="B41" s="219">
        <v>4650</v>
      </c>
      <c r="C41" s="217" t="s">
        <v>25</v>
      </c>
      <c r="D41" s="10">
        <f>+'Monthly P&amp;L'!P39</f>
        <v>151345.30000000002</v>
      </c>
      <c r="E41" s="297">
        <f>+'Restating Entries'!P41</f>
        <v>0</v>
      </c>
      <c r="F41" s="297">
        <f>+'Pro Forma Entries'!K41</f>
        <v>0</v>
      </c>
      <c r="G41" s="10">
        <f t="shared" si="3"/>
        <v>151345.30000000002</v>
      </c>
      <c r="I41" s="297">
        <f t="shared" si="4"/>
        <v>151345.30000000002</v>
      </c>
    </row>
    <row r="42" spans="1:9">
      <c r="A42" s="215"/>
      <c r="B42" s="219">
        <v>4660</v>
      </c>
      <c r="C42" s="217" t="s">
        <v>26</v>
      </c>
      <c r="D42" s="10">
        <f>+'Monthly P&amp;L'!P40</f>
        <v>1914.1499999999999</v>
      </c>
      <c r="E42" s="297">
        <f>+'Restating Entries'!P42</f>
        <v>0</v>
      </c>
      <c r="F42" s="297">
        <f>+'Pro Forma Entries'!K42</f>
        <v>0</v>
      </c>
      <c r="G42" s="10">
        <f t="shared" si="3"/>
        <v>1914.1499999999999</v>
      </c>
      <c r="I42" s="297">
        <f t="shared" si="4"/>
        <v>1914.1499999999999</v>
      </c>
    </row>
    <row r="43" spans="1:9">
      <c r="A43" s="215"/>
      <c r="B43" s="219">
        <v>4685</v>
      </c>
      <c r="C43" s="217" t="s">
        <v>27</v>
      </c>
      <c r="D43" s="10">
        <f>+'Monthly P&amp;L'!P41</f>
        <v>29224.547000000002</v>
      </c>
      <c r="E43" s="297">
        <f>+'Restating Entries'!P43</f>
        <v>-29224.55</v>
      </c>
      <c r="F43" s="297">
        <f>+'Pro Forma Entries'!K43</f>
        <v>0</v>
      </c>
      <c r="G43" s="10">
        <f t="shared" si="3"/>
        <v>-2.9999999969732016E-3</v>
      </c>
      <c r="I43" s="297">
        <f t="shared" si="4"/>
        <v>-2.9999999969732016E-3</v>
      </c>
    </row>
    <row r="44" spans="1:9">
      <c r="A44" s="215"/>
      <c r="B44" s="219">
        <v>4687</v>
      </c>
      <c r="C44" s="217" t="s">
        <v>28</v>
      </c>
      <c r="D44" s="10">
        <f>+'Monthly P&amp;L'!P42</f>
        <v>1003.5599999999998</v>
      </c>
      <c r="E44" s="297">
        <f>+'Restating Entries'!P44</f>
        <v>-1003.56</v>
      </c>
      <c r="F44" s="297">
        <f>+'Pro Forma Entries'!K44</f>
        <v>0</v>
      </c>
      <c r="G44" s="10">
        <f t="shared" si="3"/>
        <v>-1.1368683772161603E-13</v>
      </c>
      <c r="I44" s="297">
        <f t="shared" si="4"/>
        <v>-1.1368683772161603E-13</v>
      </c>
    </row>
    <row r="45" spans="1:9">
      <c r="A45" s="215"/>
      <c r="B45" s="219">
        <v>4688</v>
      </c>
      <c r="C45" s="217" t="s">
        <v>29</v>
      </c>
      <c r="D45" s="10">
        <f>+'Monthly P&amp;L'!P43</f>
        <v>5941.0599999999995</v>
      </c>
      <c r="E45" s="297">
        <f>+'Restating Entries'!P45</f>
        <v>-5941.06</v>
      </c>
      <c r="F45" s="297">
        <f>+'Pro Forma Entries'!K45</f>
        <v>0</v>
      </c>
      <c r="G45" s="10">
        <f t="shared" si="3"/>
        <v>-9.0949470177292824E-13</v>
      </c>
      <c r="I45" s="297">
        <f t="shared" si="4"/>
        <v>-9.0949470177292824E-13</v>
      </c>
    </row>
    <row r="46" spans="1:9">
      <c r="A46" s="215"/>
      <c r="B46" s="219">
        <v>4690</v>
      </c>
      <c r="C46" s="217" t="s">
        <v>30</v>
      </c>
      <c r="D46" s="10">
        <f>+'Monthly P&amp;L'!P44</f>
        <v>9714.99</v>
      </c>
      <c r="E46" s="297">
        <f>+'Restating Entries'!P46</f>
        <v>0</v>
      </c>
      <c r="F46" s="297">
        <f>+'Pro Forma Entries'!K46</f>
        <v>0</v>
      </c>
      <c r="G46" s="10">
        <f t="shared" si="3"/>
        <v>9714.99</v>
      </c>
      <c r="I46" s="297">
        <f t="shared" si="4"/>
        <v>9714.99</v>
      </c>
    </row>
    <row r="47" spans="1:9">
      <c r="A47" s="215"/>
      <c r="B47" s="219">
        <v>5040</v>
      </c>
      <c r="C47" s="217" t="s">
        <v>31</v>
      </c>
      <c r="D47" s="10">
        <f>+'Monthly P&amp;L'!P45</f>
        <v>238548.5</v>
      </c>
      <c r="E47" s="297">
        <f>+'Restating Entries'!P47</f>
        <v>199757.84761904582</v>
      </c>
      <c r="F47" s="297">
        <f>+'Pro Forma Entries'!K47</f>
        <v>0</v>
      </c>
      <c r="G47" s="10">
        <f t="shared" si="3"/>
        <v>438306.34761904582</v>
      </c>
      <c r="I47" s="297">
        <f t="shared" si="4"/>
        <v>438306.34761904582</v>
      </c>
    </row>
    <row r="48" spans="1:9">
      <c r="A48" s="215"/>
      <c r="B48" s="219">
        <v>5200</v>
      </c>
      <c r="C48" s="217" t="s">
        <v>61</v>
      </c>
      <c r="D48" s="10">
        <f>+'Monthly P&amp;L'!P46</f>
        <v>86781.62</v>
      </c>
      <c r="E48" s="297">
        <f>+'Restating Entries'!P48</f>
        <v>-5000</v>
      </c>
      <c r="F48" s="297">
        <f>+'Pro Forma Entries'!K48</f>
        <v>0</v>
      </c>
      <c r="G48" s="10">
        <f t="shared" si="3"/>
        <v>81781.62</v>
      </c>
      <c r="H48" s="297">
        <v>8466</v>
      </c>
      <c r="I48" s="297">
        <f t="shared" si="4"/>
        <v>90247.62</v>
      </c>
    </row>
    <row r="49" spans="1:9">
      <c r="A49" s="215"/>
      <c r="B49" s="219">
        <v>5220</v>
      </c>
      <c r="C49" s="217" t="s">
        <v>62</v>
      </c>
      <c r="D49" s="10">
        <f>+'Monthly P&amp;L'!P47</f>
        <v>18243.240000000002</v>
      </c>
      <c r="E49" s="297">
        <f>+'Restating Entries'!P49</f>
        <v>0</v>
      </c>
      <c r="F49" s="297">
        <f>+'Pro Forma Entries'!K49</f>
        <v>0</v>
      </c>
      <c r="G49" s="10">
        <f t="shared" si="3"/>
        <v>18243.240000000002</v>
      </c>
      <c r="I49" s="297">
        <f t="shared" si="4"/>
        <v>18243.240000000002</v>
      </c>
    </row>
    <row r="50" spans="1:9">
      <c r="A50" s="215"/>
      <c r="B50" s="219">
        <v>5230</v>
      </c>
      <c r="C50" s="217" t="s">
        <v>32</v>
      </c>
      <c r="D50" s="10">
        <f>+'Monthly P&amp;L'!P48</f>
        <v>15687.35</v>
      </c>
      <c r="E50" s="297">
        <f>+'Restating Entries'!P50</f>
        <v>0</v>
      </c>
      <c r="F50" s="297">
        <f>+'Pro Forma Entries'!K50</f>
        <v>0</v>
      </c>
      <c r="G50" s="10">
        <f t="shared" si="3"/>
        <v>15687.35</v>
      </c>
      <c r="I50" s="297">
        <f t="shared" si="4"/>
        <v>15687.35</v>
      </c>
    </row>
    <row r="51" spans="1:9">
      <c r="A51" s="215"/>
      <c r="B51" s="219">
        <v>5240</v>
      </c>
      <c r="C51" s="217" t="s">
        <v>33</v>
      </c>
      <c r="D51" s="10">
        <f>+'Monthly P&amp;L'!P49</f>
        <v>68078.01999999999</v>
      </c>
      <c r="E51" s="297">
        <f>+'Restating Entries'!P51</f>
        <v>0</v>
      </c>
      <c r="F51" s="297">
        <f>+'Pro Forma Entries'!K51</f>
        <v>0</v>
      </c>
      <c r="G51" s="10">
        <f t="shared" si="3"/>
        <v>68078.01999999999</v>
      </c>
      <c r="I51" s="297">
        <f t="shared" si="4"/>
        <v>68078.01999999999</v>
      </c>
    </row>
    <row r="52" spans="1:9">
      <c r="A52" s="215"/>
      <c r="B52" s="219">
        <v>5320</v>
      </c>
      <c r="C52" s="217" t="s">
        <v>63</v>
      </c>
      <c r="D52" s="211">
        <f>+'Monthly P&amp;L'!P50</f>
        <v>24186.659999999996</v>
      </c>
      <c r="E52" s="297">
        <f>+'Restating Entries'!P52</f>
        <v>-2812.38</v>
      </c>
      <c r="F52" s="297">
        <f>+'Pro Forma Entries'!K52</f>
        <v>0</v>
      </c>
      <c r="G52" s="10">
        <f t="shared" si="3"/>
        <v>21374.279999999995</v>
      </c>
      <c r="H52" s="165"/>
      <c r="I52" s="297">
        <f t="shared" si="4"/>
        <v>21374.279999999995</v>
      </c>
    </row>
    <row r="53" spans="1:9">
      <c r="A53" s="216"/>
      <c r="B53" s="219"/>
      <c r="C53" s="217" t="s">
        <v>35</v>
      </c>
      <c r="D53" s="220">
        <f t="shared" ref="D53:I53" si="5">SUM(D24:D52)</f>
        <v>3521943.2770000002</v>
      </c>
      <c r="E53" s="220">
        <f t="shared" si="5"/>
        <v>96771.317619045847</v>
      </c>
      <c r="F53" s="220">
        <f t="shared" si="5"/>
        <v>140738.13250000001</v>
      </c>
      <c r="G53" s="220">
        <f t="shared" si="5"/>
        <v>3759452.7271190467</v>
      </c>
      <c r="H53" s="220">
        <f t="shared" si="5"/>
        <v>8466</v>
      </c>
      <c r="I53" s="220">
        <f t="shared" si="5"/>
        <v>3767918.7271190467</v>
      </c>
    </row>
    <row r="54" spans="1:9">
      <c r="A54" s="216"/>
      <c r="B54" s="215" t="s">
        <v>36</v>
      </c>
      <c r="C54" s="217"/>
      <c r="D54" s="10">
        <f t="shared" ref="D54:I54" si="6">+D21-D53</f>
        <v>110788.82299999986</v>
      </c>
      <c r="E54" s="10">
        <f t="shared" si="6"/>
        <v>34003.332380954176</v>
      </c>
      <c r="F54" s="10">
        <f t="shared" si="6"/>
        <v>-140738.13250000001</v>
      </c>
      <c r="G54" s="10">
        <f t="shared" si="6"/>
        <v>4054.0228809532709</v>
      </c>
      <c r="H54" s="10">
        <f t="shared" si="6"/>
        <v>344625.02281169232</v>
      </c>
      <c r="I54" s="10">
        <f t="shared" si="6"/>
        <v>348679.04569264548</v>
      </c>
    </row>
    <row r="55" spans="1:9">
      <c r="A55" s="216"/>
      <c r="B55" s="215"/>
      <c r="C55" s="217"/>
      <c r="D55" s="186">
        <f>-D54/D21+1</f>
        <v>0.96950261677705329</v>
      </c>
      <c r="G55" s="186">
        <f>-G54/G21+1</f>
        <v>0.99892280706525816</v>
      </c>
      <c r="I55" s="186">
        <f>-I54/I21+1</f>
        <v>0.91529921917669088</v>
      </c>
    </row>
    <row r="56" spans="1:9">
      <c r="A56" s="216"/>
      <c r="B56" s="215" t="s">
        <v>37</v>
      </c>
      <c r="C56" s="217"/>
    </row>
    <row r="57" spans="1:9">
      <c r="A57" s="216"/>
      <c r="B57" s="216"/>
      <c r="C57" s="217" t="s">
        <v>38</v>
      </c>
      <c r="D57" s="10">
        <f>+'Monthly P&amp;L'!P55</f>
        <v>12922.85</v>
      </c>
      <c r="G57" s="10">
        <f t="shared" ref="G57:I59" si="7">SUM(D57:F57)</f>
        <v>12922.85</v>
      </c>
      <c r="I57" s="10">
        <f t="shared" si="7"/>
        <v>12922.85</v>
      </c>
    </row>
    <row r="58" spans="1:9">
      <c r="A58" s="216"/>
      <c r="B58" s="216"/>
      <c r="C58" s="217" t="s">
        <v>39</v>
      </c>
      <c r="D58" s="10">
        <f>+'Monthly P&amp;L'!P56</f>
        <v>-12641.47</v>
      </c>
      <c r="G58" s="10">
        <f t="shared" si="7"/>
        <v>-12641.47</v>
      </c>
      <c r="I58" s="10">
        <f t="shared" si="7"/>
        <v>-12641.47</v>
      </c>
    </row>
    <row r="59" spans="1:9">
      <c r="A59" s="216"/>
      <c r="B59" s="216"/>
      <c r="C59" s="217" t="s">
        <v>40</v>
      </c>
      <c r="D59" s="211">
        <f>+'Monthly P&amp;L'!P57</f>
        <v>-1591</v>
      </c>
      <c r="E59" s="165"/>
      <c r="F59" s="165"/>
      <c r="G59" s="10">
        <f t="shared" si="7"/>
        <v>-1591</v>
      </c>
      <c r="H59" s="165"/>
      <c r="I59" s="10">
        <f t="shared" si="7"/>
        <v>-1591</v>
      </c>
    </row>
    <row r="60" spans="1:9">
      <c r="A60" s="216"/>
      <c r="B60" s="216"/>
      <c r="C60" s="217" t="s">
        <v>41</v>
      </c>
      <c r="D60" s="220">
        <f>SUM(D57:D59)</f>
        <v>-1309.619999999999</v>
      </c>
      <c r="E60" s="221"/>
      <c r="F60" s="221"/>
      <c r="G60" s="220">
        <f>SUM(G57:G59)</f>
        <v>-1309.619999999999</v>
      </c>
      <c r="H60" s="221"/>
      <c r="I60" s="220">
        <f>SUM(I57:I59)</f>
        <v>-1309.619999999999</v>
      </c>
    </row>
    <row r="61" spans="1:9">
      <c r="A61" s="216"/>
      <c r="B61" s="215" t="s">
        <v>42</v>
      </c>
      <c r="C61" s="217"/>
      <c r="D61" s="220">
        <f>+D54+D60</f>
        <v>109479.20299999986</v>
      </c>
      <c r="E61" s="221"/>
      <c r="F61" s="221"/>
      <c r="G61" s="220">
        <f>+G54+G60</f>
        <v>2744.402880953272</v>
      </c>
      <c r="H61" s="221"/>
      <c r="I61" s="220">
        <f>+I54+I60</f>
        <v>347369.42569264548</v>
      </c>
    </row>
    <row r="62" spans="1:9">
      <c r="A62" s="216"/>
      <c r="B62" s="215" t="s">
        <v>43</v>
      </c>
      <c r="C62" s="217"/>
      <c r="D62" s="220">
        <f>+'Monthly P&amp;L'!P60</f>
        <v>23096</v>
      </c>
      <c r="E62" s="221"/>
      <c r="F62" s="221"/>
      <c r="G62" s="220">
        <f>+G61*0.21</f>
        <v>576.32460500018703</v>
      </c>
      <c r="H62" s="221"/>
      <c r="I62" s="220">
        <f>+I61*0.21</f>
        <v>72947.579395455556</v>
      </c>
    </row>
    <row r="63" spans="1:9" ht="15.75" thickBot="1">
      <c r="A63" s="216"/>
      <c r="B63" s="215" t="s">
        <v>44</v>
      </c>
      <c r="C63" s="217"/>
      <c r="D63" s="222">
        <f>+D61-D62</f>
        <v>86383.202999999863</v>
      </c>
      <c r="E63" s="223"/>
      <c r="F63" s="223"/>
      <c r="G63" s="222">
        <f>+G61-G62</f>
        <v>2168.0782759530848</v>
      </c>
      <c r="H63" s="223"/>
      <c r="I63" s="222">
        <f>+I61-I62</f>
        <v>274421.84629718994</v>
      </c>
    </row>
    <row r="64" spans="1:9" ht="15.75" thickTop="1">
      <c r="A64" s="218"/>
      <c r="B64" s="218"/>
      <c r="C64" s="218"/>
    </row>
  </sheetData>
  <pageMargins left="0.45" right="0.2" top="0.75" bottom="0.75" header="0.3" footer="0.3"/>
  <pageSetup scale="72" orientation="portrait" r:id="rId1"/>
  <headerFooter>
    <oddFooter>&amp;C&amp;A&amp;RPage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19CAE-F06A-4F31-8AAD-DE249B1BBB0E}">
  <dimension ref="A1:U64"/>
  <sheetViews>
    <sheetView workbookViewId="0">
      <pane ySplit="8" topLeftCell="A30" activePane="bottomLeft" state="frozen"/>
      <selection pane="bottomLeft" activeCell="O49" sqref="O49"/>
    </sheetView>
  </sheetViews>
  <sheetFormatPr defaultRowHeight="15"/>
  <cols>
    <col min="1" max="1" width="8.5703125" bestFit="1" customWidth="1"/>
    <col min="2" max="2" width="6.140625" customWidth="1"/>
    <col min="3" max="3" width="26.140625" bestFit="1" customWidth="1"/>
    <col min="4" max="4" width="10.140625" bestFit="1" customWidth="1"/>
    <col min="6" max="7" width="9.85546875" bestFit="1" customWidth="1"/>
    <col min="12" max="12" width="10.85546875" bestFit="1" customWidth="1"/>
    <col min="13" max="15" width="10.85546875" customWidth="1"/>
    <col min="16" max="16" width="10.140625" bestFit="1" customWidth="1"/>
  </cols>
  <sheetData>
    <row r="1" spans="1:21" ht="18.75">
      <c r="A1" s="15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</row>
    <row r="2" spans="1:21" ht="18.75">
      <c r="A2" s="15" t="s">
        <v>574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</row>
    <row r="3" spans="1:21" ht="18.75">
      <c r="A3" s="15" t="s">
        <v>45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</row>
    <row r="8" spans="1:21">
      <c r="A8" s="215" t="s">
        <v>3</v>
      </c>
      <c r="B8" s="16"/>
      <c r="C8" s="216"/>
      <c r="D8" s="42" t="s">
        <v>584</v>
      </c>
      <c r="E8" s="42" t="s">
        <v>585</v>
      </c>
      <c r="F8" s="42" t="s">
        <v>588</v>
      </c>
      <c r="G8" s="42" t="s">
        <v>589</v>
      </c>
      <c r="H8" s="42" t="s">
        <v>593</v>
      </c>
      <c r="I8" s="42" t="s">
        <v>643</v>
      </c>
      <c r="J8" s="42" t="s">
        <v>644</v>
      </c>
      <c r="K8" s="42" t="s">
        <v>655</v>
      </c>
      <c r="L8" s="42" t="s">
        <v>659</v>
      </c>
      <c r="M8" s="42" t="s">
        <v>696</v>
      </c>
      <c r="N8" s="42" t="s">
        <v>731</v>
      </c>
      <c r="O8" s="42" t="s">
        <v>785</v>
      </c>
      <c r="P8" s="42" t="s">
        <v>2</v>
      </c>
    </row>
    <row r="9" spans="1:21">
      <c r="A9" s="216"/>
      <c r="B9" s="219">
        <v>3100</v>
      </c>
      <c r="C9" s="217" t="s">
        <v>4</v>
      </c>
      <c r="D9" s="297">
        <f>+'Restating Entry Explanation'!M9</f>
        <v>102477.65</v>
      </c>
      <c r="E9" s="297">
        <f>+'Restating Entry Explanation'!M12</f>
        <v>57521.55</v>
      </c>
      <c r="F9" s="297">
        <v>-16657.990000000002</v>
      </c>
      <c r="G9" s="297"/>
      <c r="H9" s="297"/>
      <c r="I9" s="297"/>
      <c r="J9" s="297"/>
      <c r="K9" s="297"/>
      <c r="L9" s="297"/>
      <c r="M9" s="297"/>
      <c r="N9" s="297"/>
      <c r="O9" s="297"/>
      <c r="P9" s="297">
        <f>SUM(D9:O9)</f>
        <v>143341.21000000002</v>
      </c>
    </row>
    <row r="10" spans="1:21">
      <c r="A10" s="216"/>
      <c r="B10" s="219">
        <v>3200</v>
      </c>
      <c r="C10" s="217" t="s">
        <v>5</v>
      </c>
      <c r="F10" s="297">
        <v>-12566.56</v>
      </c>
      <c r="G10" s="297"/>
      <c r="H10" s="297"/>
      <c r="I10" s="297"/>
      <c r="J10" s="297"/>
      <c r="K10" s="297"/>
      <c r="L10" s="297"/>
      <c r="M10" s="297"/>
      <c r="N10" s="297"/>
      <c r="O10" s="297"/>
      <c r="P10" s="297">
        <f t="shared" ref="P10:P20" si="0">SUM(D10:O10)</f>
        <v>-12566.56</v>
      </c>
    </row>
    <row r="11" spans="1:21">
      <c r="A11" s="216"/>
      <c r="B11" s="219">
        <v>3300</v>
      </c>
      <c r="C11" s="217" t="s">
        <v>6</v>
      </c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>
        <f t="shared" si="0"/>
        <v>0</v>
      </c>
    </row>
    <row r="12" spans="1:21">
      <c r="A12" s="216"/>
      <c r="B12" s="219">
        <v>3310</v>
      </c>
      <c r="C12" s="217" t="s">
        <v>7</v>
      </c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>
        <f t="shared" si="0"/>
        <v>0</v>
      </c>
    </row>
    <row r="13" spans="1:21">
      <c r="A13" s="216"/>
      <c r="B13" s="219">
        <v>3400</v>
      </c>
      <c r="C13" s="217" t="s">
        <v>8</v>
      </c>
      <c r="F13" s="297"/>
      <c r="G13" s="297"/>
      <c r="H13" s="297"/>
      <c r="I13" s="297"/>
      <c r="J13" s="297"/>
      <c r="K13" s="297"/>
      <c r="L13" s="297"/>
      <c r="M13" s="297"/>
      <c r="N13" s="297"/>
      <c r="O13" s="297"/>
      <c r="P13" s="297">
        <f t="shared" si="0"/>
        <v>0</v>
      </c>
    </row>
    <row r="14" spans="1:21">
      <c r="A14" s="216"/>
      <c r="B14" s="219">
        <v>3450</v>
      </c>
      <c r="C14" s="217" t="s">
        <v>9</v>
      </c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>
        <f t="shared" si="0"/>
        <v>0</v>
      </c>
    </row>
    <row r="15" spans="1:21">
      <c r="A15" s="216"/>
      <c r="B15" s="219">
        <v>3475</v>
      </c>
      <c r="C15" s="217" t="s">
        <v>59</v>
      </c>
      <c r="F15" s="297"/>
      <c r="G15" s="297"/>
      <c r="H15" s="297"/>
      <c r="I15" s="297"/>
      <c r="J15" s="297"/>
      <c r="K15" s="297"/>
      <c r="L15" s="297"/>
      <c r="M15" s="297"/>
      <c r="N15" s="297"/>
      <c r="O15" s="297"/>
      <c r="P15" s="297">
        <f t="shared" si="0"/>
        <v>0</v>
      </c>
    </row>
    <row r="16" spans="1:21">
      <c r="A16" s="216"/>
      <c r="B16" s="219">
        <v>3500</v>
      </c>
      <c r="C16" s="217" t="s">
        <v>67</v>
      </c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>
        <f t="shared" si="0"/>
        <v>0</v>
      </c>
    </row>
    <row r="17" spans="1:16">
      <c r="A17" s="216"/>
      <c r="B17" s="219">
        <v>3510</v>
      </c>
      <c r="C17" s="217" t="s">
        <v>10</v>
      </c>
      <c r="F17" s="297"/>
      <c r="G17" s="297"/>
      <c r="H17" s="297"/>
      <c r="I17" s="297"/>
      <c r="J17" s="297"/>
      <c r="K17" s="297"/>
      <c r="L17" s="297"/>
      <c r="M17" s="297"/>
      <c r="N17" s="297"/>
      <c r="O17" s="297"/>
      <c r="P17" s="297">
        <f t="shared" si="0"/>
        <v>0</v>
      </c>
    </row>
    <row r="18" spans="1:16">
      <c r="A18" s="216"/>
      <c r="B18" s="219">
        <v>3530</v>
      </c>
      <c r="C18" s="217" t="s">
        <v>11</v>
      </c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>
        <f t="shared" si="0"/>
        <v>0</v>
      </c>
    </row>
    <row r="19" spans="1:16">
      <c r="A19" s="216"/>
      <c r="B19" s="219">
        <v>3540</v>
      </c>
      <c r="C19" s="217" t="s">
        <v>58</v>
      </c>
      <c r="F19" s="297"/>
      <c r="G19" s="297"/>
      <c r="H19" s="297"/>
      <c r="I19" s="297"/>
      <c r="J19" s="297"/>
      <c r="K19" s="297"/>
      <c r="L19" s="297"/>
      <c r="M19" s="297"/>
      <c r="N19" s="297"/>
      <c r="O19" s="297"/>
      <c r="P19" s="297">
        <f t="shared" si="0"/>
        <v>0</v>
      </c>
    </row>
    <row r="20" spans="1:16">
      <c r="A20" s="216"/>
      <c r="B20" s="219">
        <v>3550</v>
      </c>
      <c r="C20" s="217" t="s">
        <v>12</v>
      </c>
      <c r="D20" s="165"/>
      <c r="E20" s="165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>
        <f t="shared" si="0"/>
        <v>0</v>
      </c>
    </row>
    <row r="21" spans="1:16">
      <c r="A21" s="216"/>
      <c r="B21" s="219"/>
      <c r="C21" s="217"/>
      <c r="D21" s="297">
        <f>SUM(D9:D20)</f>
        <v>102477.65</v>
      </c>
      <c r="E21" s="297">
        <f t="shared" ref="E21:L21" si="1">SUM(E9:E20)</f>
        <v>57521.55</v>
      </c>
      <c r="F21" s="297">
        <f t="shared" si="1"/>
        <v>-29224.550000000003</v>
      </c>
      <c r="G21" s="297">
        <f t="shared" si="1"/>
        <v>0</v>
      </c>
      <c r="H21" s="297">
        <f t="shared" si="1"/>
        <v>0</v>
      </c>
      <c r="I21" s="297">
        <f t="shared" si="1"/>
        <v>0</v>
      </c>
      <c r="J21" s="297">
        <f t="shared" si="1"/>
        <v>0</v>
      </c>
      <c r="K21" s="297">
        <f t="shared" si="1"/>
        <v>0</v>
      </c>
      <c r="L21" s="297">
        <f t="shared" si="1"/>
        <v>0</v>
      </c>
      <c r="M21" s="297">
        <f>SUM(M9:M20)</f>
        <v>0</v>
      </c>
      <c r="N21" s="297">
        <f>SUM(N9:N20)</f>
        <v>0</v>
      </c>
      <c r="O21" s="297">
        <f>SUM(O9:O20)</f>
        <v>0</v>
      </c>
      <c r="P21" s="297">
        <f>SUM(D21:N21)</f>
        <v>130774.65000000001</v>
      </c>
    </row>
    <row r="22" spans="1:16">
      <c r="A22" s="216"/>
      <c r="B22" s="219"/>
      <c r="C22" s="217"/>
      <c r="F22" s="297"/>
      <c r="G22" s="297"/>
      <c r="H22" s="297"/>
      <c r="I22" s="297"/>
      <c r="J22" s="297"/>
      <c r="K22" s="297"/>
      <c r="L22" s="297"/>
      <c r="M22" s="297"/>
      <c r="N22" s="297"/>
      <c r="O22" s="297"/>
      <c r="P22" s="297"/>
    </row>
    <row r="23" spans="1:16">
      <c r="A23" s="215" t="s">
        <v>13</v>
      </c>
      <c r="B23" s="219"/>
      <c r="C23" s="217"/>
      <c r="F23" s="297"/>
      <c r="G23" s="297"/>
      <c r="H23" s="297"/>
      <c r="I23" s="297"/>
      <c r="J23" s="297"/>
      <c r="K23" s="297"/>
      <c r="L23" s="297"/>
      <c r="M23" s="297"/>
      <c r="N23" s="297"/>
      <c r="O23" s="297"/>
      <c r="P23" s="297"/>
    </row>
    <row r="24" spans="1:16">
      <c r="A24" s="215"/>
      <c r="B24" s="219">
        <v>4100</v>
      </c>
      <c r="C24" s="217" t="s">
        <v>14</v>
      </c>
      <c r="F24" s="297"/>
      <c r="G24" s="297"/>
      <c r="H24" s="297"/>
      <c r="I24" s="297"/>
      <c r="J24" s="297"/>
      <c r="K24" s="297"/>
      <c r="L24" s="297"/>
      <c r="M24" s="297"/>
      <c r="N24" s="297"/>
      <c r="O24" s="297"/>
      <c r="P24" s="297">
        <f t="shared" ref="P24:P52" si="2">SUM(D24:O24)</f>
        <v>0</v>
      </c>
    </row>
    <row r="25" spans="1:16">
      <c r="A25" s="215"/>
      <c r="B25" s="219">
        <v>4115</v>
      </c>
      <c r="C25" s="217" t="s">
        <v>15</v>
      </c>
      <c r="F25" s="297"/>
      <c r="G25" s="297"/>
      <c r="H25" s="297"/>
      <c r="I25" s="297"/>
      <c r="J25" s="297"/>
      <c r="K25" s="297"/>
      <c r="L25" s="297"/>
      <c r="M25" s="297"/>
      <c r="N25" s="297"/>
      <c r="O25" s="297"/>
      <c r="P25" s="297">
        <f t="shared" si="2"/>
        <v>0</v>
      </c>
    </row>
    <row r="26" spans="1:16">
      <c r="A26" s="215"/>
      <c r="B26" s="219">
        <v>4160</v>
      </c>
      <c r="C26" s="217" t="s">
        <v>16</v>
      </c>
      <c r="F26" s="297"/>
      <c r="G26" s="297"/>
      <c r="H26" s="297"/>
      <c r="I26" s="297"/>
      <c r="J26" s="297"/>
      <c r="K26" s="297"/>
      <c r="L26" s="297"/>
      <c r="M26" s="297"/>
      <c r="N26" s="297"/>
      <c r="O26" s="297"/>
      <c r="P26" s="297">
        <f t="shared" si="2"/>
        <v>0</v>
      </c>
    </row>
    <row r="27" spans="1:16">
      <c r="A27" s="215"/>
      <c r="B27" s="219">
        <v>4180</v>
      </c>
      <c r="C27" s="217" t="s">
        <v>17</v>
      </c>
      <c r="F27" s="297"/>
      <c r="G27" s="297"/>
      <c r="H27" s="297"/>
      <c r="I27" s="297"/>
      <c r="J27" s="297"/>
      <c r="K27" s="297"/>
      <c r="L27" s="297"/>
      <c r="M27" s="297"/>
      <c r="N27" s="297"/>
      <c r="O27" s="297"/>
      <c r="P27" s="297">
        <f t="shared" si="2"/>
        <v>0</v>
      </c>
    </row>
    <row r="28" spans="1:16">
      <c r="A28" s="215"/>
      <c r="B28" s="219">
        <v>4213</v>
      </c>
      <c r="C28" s="217" t="s">
        <v>18</v>
      </c>
      <c r="F28" s="297"/>
      <c r="G28" s="297"/>
      <c r="H28" s="297"/>
      <c r="I28" s="297"/>
      <c r="J28" s="297"/>
      <c r="K28" s="297"/>
      <c r="L28" s="297"/>
      <c r="M28" s="297"/>
      <c r="N28" s="297"/>
      <c r="O28" s="297"/>
      <c r="P28" s="297">
        <f t="shared" si="2"/>
        <v>0</v>
      </c>
    </row>
    <row r="29" spans="1:16">
      <c r="A29" s="215"/>
      <c r="B29" s="219">
        <v>4240</v>
      </c>
      <c r="C29" s="217" t="s">
        <v>19</v>
      </c>
      <c r="F29" s="297"/>
      <c r="G29" s="297"/>
      <c r="H29" s="297"/>
      <c r="I29" s="297"/>
      <c r="J29" s="297"/>
      <c r="K29" s="297"/>
      <c r="L29" s="297"/>
      <c r="M29" s="297">
        <f>+'Restating Entry Explanation'!M30</f>
        <v>-2424.1799999999694</v>
      </c>
      <c r="N29" s="297"/>
      <c r="O29" s="297"/>
      <c r="P29" s="297">
        <f t="shared" si="2"/>
        <v>-2424.1799999999694</v>
      </c>
    </row>
    <row r="30" spans="1:16">
      <c r="A30" s="215"/>
      <c r="B30" s="219">
        <v>4362</v>
      </c>
      <c r="C30" s="217" t="s">
        <v>20</v>
      </c>
      <c r="F30" s="297"/>
      <c r="G30" s="297"/>
      <c r="H30" s="297"/>
      <c r="I30" s="297"/>
      <c r="J30" s="297"/>
      <c r="K30" s="297"/>
      <c r="L30" s="297"/>
      <c r="M30" s="297"/>
      <c r="N30" s="297">
        <f>+'Restating Entry Explanation'!M32</f>
        <v>588.06999999999994</v>
      </c>
      <c r="O30" s="297"/>
      <c r="P30" s="297">
        <f t="shared" si="2"/>
        <v>588.06999999999994</v>
      </c>
    </row>
    <row r="31" spans="1:16">
      <c r="A31" s="215"/>
      <c r="B31" s="219">
        <v>4370</v>
      </c>
      <c r="C31" s="217" t="s">
        <v>68</v>
      </c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>
        <f t="shared" si="2"/>
        <v>0</v>
      </c>
    </row>
    <row r="32" spans="1:16">
      <c r="A32" s="215"/>
      <c r="B32" s="219">
        <v>4380</v>
      </c>
      <c r="C32" s="217" t="s">
        <v>34</v>
      </c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>
        <f t="shared" si="2"/>
        <v>0</v>
      </c>
    </row>
    <row r="33" spans="1:16">
      <c r="A33" s="215"/>
      <c r="B33" s="219">
        <v>4450</v>
      </c>
      <c r="C33" s="217" t="s">
        <v>21</v>
      </c>
      <c r="F33" s="297"/>
      <c r="G33" s="297"/>
      <c r="H33" s="297"/>
      <c r="I33" s="297">
        <f>+'Restating Entry Explanation'!M20</f>
        <v>-5128.8</v>
      </c>
      <c r="J33" s="297">
        <f>+'Restating Entry Explanation'!M22</f>
        <v>-2325.75</v>
      </c>
      <c r="K33" s="297"/>
      <c r="L33" s="297"/>
      <c r="M33" s="297"/>
      <c r="N33" s="297"/>
      <c r="O33" s="297"/>
      <c r="P33" s="297">
        <f t="shared" si="2"/>
        <v>-7454.55</v>
      </c>
    </row>
    <row r="34" spans="1:16">
      <c r="A34" s="215"/>
      <c r="B34" s="219">
        <v>4500</v>
      </c>
      <c r="C34" s="217" t="s">
        <v>22</v>
      </c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297">
        <f t="shared" si="2"/>
        <v>0</v>
      </c>
    </row>
    <row r="35" spans="1:16">
      <c r="A35" s="215"/>
      <c r="B35" s="219">
        <v>4611</v>
      </c>
      <c r="C35" s="217" t="s">
        <v>23</v>
      </c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>
        <f t="shared" si="2"/>
        <v>0</v>
      </c>
    </row>
    <row r="36" spans="1:16">
      <c r="A36" s="215"/>
      <c r="B36" s="219">
        <v>4613</v>
      </c>
      <c r="C36" s="217" t="s">
        <v>24</v>
      </c>
      <c r="F36" s="297"/>
      <c r="G36" s="297"/>
      <c r="H36" s="297"/>
      <c r="I36" s="297"/>
      <c r="J36" s="297"/>
      <c r="K36" s="297"/>
      <c r="L36" s="297"/>
      <c r="M36" s="297"/>
      <c r="N36" s="297"/>
      <c r="O36" s="297"/>
      <c r="P36" s="297">
        <f t="shared" si="2"/>
        <v>0</v>
      </c>
    </row>
    <row r="37" spans="1:16">
      <c r="A37" s="215"/>
      <c r="B37" s="219">
        <v>4620</v>
      </c>
      <c r="C37" s="217" t="s">
        <v>64</v>
      </c>
      <c r="F37" s="297"/>
      <c r="G37" s="297"/>
      <c r="H37" s="297"/>
      <c r="I37" s="297"/>
      <c r="J37" s="297"/>
      <c r="K37" s="297"/>
      <c r="L37" s="297"/>
      <c r="M37" s="297"/>
      <c r="N37" s="297"/>
      <c r="O37" s="297"/>
      <c r="P37" s="297">
        <f t="shared" si="2"/>
        <v>0</v>
      </c>
    </row>
    <row r="38" spans="1:16">
      <c r="A38" s="215"/>
      <c r="B38" s="219">
        <v>4625</v>
      </c>
      <c r="C38" s="217" t="s">
        <v>60</v>
      </c>
      <c r="F38" s="297"/>
      <c r="G38" s="297">
        <f>+'Restating Entry Explanation'!M16</f>
        <v>-49714.32</v>
      </c>
      <c r="H38" s="297"/>
      <c r="I38" s="297"/>
      <c r="J38" s="297"/>
      <c r="K38" s="297"/>
      <c r="L38" s="297"/>
      <c r="M38" s="297"/>
      <c r="N38" s="297"/>
      <c r="O38" s="297"/>
      <c r="P38" s="297">
        <f t="shared" si="2"/>
        <v>-49714.32</v>
      </c>
    </row>
    <row r="39" spans="1:16">
      <c r="A39" s="215"/>
      <c r="B39" s="219">
        <v>4630</v>
      </c>
      <c r="C39" s="217" t="s">
        <v>65</v>
      </c>
      <c r="F39" s="297"/>
      <c r="G39" s="297"/>
      <c r="H39" s="297"/>
      <c r="I39" s="297"/>
      <c r="J39" s="297"/>
      <c r="K39" s="297"/>
      <c r="L39" s="297"/>
      <c r="M39" s="297"/>
      <c r="N39" s="297"/>
      <c r="O39" s="297"/>
      <c r="P39" s="297">
        <f t="shared" si="2"/>
        <v>0</v>
      </c>
    </row>
    <row r="40" spans="1:16">
      <c r="A40" s="215"/>
      <c r="B40" s="219">
        <v>4640</v>
      </c>
      <c r="C40" s="217" t="s">
        <v>66</v>
      </c>
      <c r="F40" s="297"/>
      <c r="G40" s="297"/>
      <c r="H40" s="297"/>
      <c r="I40" s="297"/>
      <c r="J40" s="297"/>
      <c r="K40" s="297"/>
      <c r="L40" s="297"/>
      <c r="M40" s="297"/>
      <c r="N40" s="297"/>
      <c r="O40" s="297"/>
      <c r="P40" s="297">
        <f t="shared" si="2"/>
        <v>0</v>
      </c>
    </row>
    <row r="41" spans="1:16">
      <c r="A41" s="215"/>
      <c r="B41" s="219">
        <v>4650</v>
      </c>
      <c r="C41" s="217" t="s">
        <v>25</v>
      </c>
      <c r="F41" s="297"/>
      <c r="G41" s="297"/>
      <c r="H41" s="297"/>
      <c r="I41" s="297"/>
      <c r="J41" s="297"/>
      <c r="K41" s="297"/>
      <c r="L41" s="297"/>
      <c r="M41" s="297"/>
      <c r="N41" s="297"/>
      <c r="O41" s="297"/>
      <c r="P41" s="297">
        <f t="shared" si="2"/>
        <v>0</v>
      </c>
    </row>
    <row r="42" spans="1:16">
      <c r="A42" s="215"/>
      <c r="B42" s="219">
        <v>4660</v>
      </c>
      <c r="C42" s="217" t="s">
        <v>26</v>
      </c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>
        <f t="shared" si="2"/>
        <v>0</v>
      </c>
    </row>
    <row r="43" spans="1:16">
      <c r="A43" s="215"/>
      <c r="B43" s="219">
        <v>4685</v>
      </c>
      <c r="C43" s="217" t="s">
        <v>27</v>
      </c>
      <c r="F43" s="297">
        <f>+'Restating Entry Explanation'!M14</f>
        <v>-29224.55</v>
      </c>
      <c r="G43" s="297"/>
      <c r="H43" s="297"/>
      <c r="I43" s="297"/>
      <c r="J43" s="297"/>
      <c r="K43" s="297"/>
      <c r="L43" s="297"/>
      <c r="M43" s="297"/>
      <c r="N43" s="297"/>
      <c r="O43" s="297"/>
      <c r="P43" s="297">
        <f t="shared" si="2"/>
        <v>-29224.55</v>
      </c>
    </row>
    <row r="44" spans="1:16">
      <c r="A44" s="215"/>
      <c r="B44" s="219">
        <v>4687</v>
      </c>
      <c r="C44" s="217" t="s">
        <v>28</v>
      </c>
      <c r="F44" s="297"/>
      <c r="G44" s="297"/>
      <c r="H44" s="297"/>
      <c r="I44" s="297"/>
      <c r="J44" s="297"/>
      <c r="K44" s="297">
        <f>+'Restating Entry Explanation'!M24</f>
        <v>-1003.56</v>
      </c>
      <c r="L44" s="297"/>
      <c r="M44" s="297"/>
      <c r="N44" s="297"/>
      <c r="O44" s="297"/>
      <c r="P44" s="297">
        <f t="shared" si="2"/>
        <v>-1003.56</v>
      </c>
    </row>
    <row r="45" spans="1:16">
      <c r="A45" s="215"/>
      <c r="B45" s="219">
        <v>4688</v>
      </c>
      <c r="C45" s="217" t="s">
        <v>29</v>
      </c>
      <c r="F45" s="297"/>
      <c r="G45" s="297"/>
      <c r="H45" s="297"/>
      <c r="I45" s="297"/>
      <c r="J45" s="297"/>
      <c r="K45" s="297">
        <f>+'Restating Entry Explanation'!M26</f>
        <v>-5941.06</v>
      </c>
      <c r="L45" s="297"/>
      <c r="M45" s="297"/>
      <c r="N45" s="297"/>
      <c r="O45" s="297"/>
      <c r="P45" s="297">
        <f t="shared" si="2"/>
        <v>-5941.06</v>
      </c>
    </row>
    <row r="46" spans="1:16">
      <c r="A46" s="215"/>
      <c r="B46" s="219">
        <v>4690</v>
      </c>
      <c r="C46" s="217" t="s">
        <v>30</v>
      </c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>
        <f t="shared" si="2"/>
        <v>0</v>
      </c>
    </row>
    <row r="47" spans="1:16">
      <c r="A47" s="215"/>
      <c r="B47" s="219">
        <v>5040</v>
      </c>
      <c r="C47" s="217" t="s">
        <v>31</v>
      </c>
      <c r="F47" s="297"/>
      <c r="G47" s="297"/>
      <c r="H47" s="297"/>
      <c r="I47" s="297"/>
      <c r="J47" s="297"/>
      <c r="K47" s="297"/>
      <c r="L47" s="297">
        <f>+'Restating Entry Explanation'!M28</f>
        <v>199757.84761904582</v>
      </c>
      <c r="M47" s="297"/>
      <c r="N47" s="297"/>
      <c r="O47" s="297"/>
      <c r="P47" s="297">
        <f t="shared" si="2"/>
        <v>199757.84761904582</v>
      </c>
    </row>
    <row r="48" spans="1:16">
      <c r="A48" s="215"/>
      <c r="B48" s="219">
        <v>5200</v>
      </c>
      <c r="C48" s="217" t="s">
        <v>61</v>
      </c>
      <c r="F48" s="297"/>
      <c r="G48" s="297"/>
      <c r="H48" s="297"/>
      <c r="I48" s="297"/>
      <c r="J48" s="297"/>
      <c r="K48" s="297"/>
      <c r="L48" s="297"/>
      <c r="M48" s="297"/>
      <c r="N48" s="297"/>
      <c r="O48" s="297">
        <f>+'Restating Entry Explanation'!M34</f>
        <v>-5000</v>
      </c>
      <c r="P48" s="297">
        <f t="shared" si="2"/>
        <v>-5000</v>
      </c>
    </row>
    <row r="49" spans="1:16">
      <c r="A49" s="215"/>
      <c r="B49" s="219">
        <v>5220</v>
      </c>
      <c r="C49" s="217" t="s">
        <v>62</v>
      </c>
      <c r="F49" s="297"/>
      <c r="G49" s="297"/>
      <c r="H49" s="297"/>
      <c r="I49" s="297"/>
      <c r="J49" s="297"/>
      <c r="K49" s="297"/>
      <c r="L49" s="297"/>
      <c r="M49" s="297"/>
      <c r="N49" s="297"/>
      <c r="O49" s="297"/>
      <c r="P49" s="297">
        <f t="shared" si="2"/>
        <v>0</v>
      </c>
    </row>
    <row r="50" spans="1:16">
      <c r="A50" s="215"/>
      <c r="B50" s="219">
        <v>5230</v>
      </c>
      <c r="C50" s="217" t="s">
        <v>32</v>
      </c>
      <c r="F50" s="297"/>
      <c r="G50" s="297"/>
      <c r="H50" s="297"/>
      <c r="I50" s="297"/>
      <c r="J50" s="297"/>
      <c r="K50" s="297"/>
      <c r="L50" s="297"/>
      <c r="M50" s="297"/>
      <c r="N50" s="297"/>
      <c r="O50" s="297"/>
      <c r="P50" s="297">
        <f t="shared" si="2"/>
        <v>0</v>
      </c>
    </row>
    <row r="51" spans="1:16">
      <c r="A51" s="215"/>
      <c r="B51" s="219">
        <v>5240</v>
      </c>
      <c r="C51" s="217" t="s">
        <v>33</v>
      </c>
      <c r="F51" s="297"/>
      <c r="G51" s="297"/>
      <c r="H51" s="297"/>
      <c r="I51" s="297"/>
      <c r="J51" s="297"/>
      <c r="K51" s="297"/>
      <c r="L51" s="297"/>
      <c r="M51" s="297"/>
      <c r="N51" s="297"/>
      <c r="O51" s="297"/>
      <c r="P51" s="297">
        <f t="shared" si="2"/>
        <v>0</v>
      </c>
    </row>
    <row r="52" spans="1:16">
      <c r="A52" s="215"/>
      <c r="B52" s="219">
        <v>5320</v>
      </c>
      <c r="C52" s="217" t="s">
        <v>63</v>
      </c>
      <c r="D52" s="165"/>
      <c r="E52" s="165"/>
      <c r="F52" s="299"/>
      <c r="G52" s="299"/>
      <c r="H52" s="299">
        <f>+'Restating Entry Explanation'!M18</f>
        <v>-2812.38</v>
      </c>
      <c r="I52" s="299"/>
      <c r="J52" s="299"/>
      <c r="K52" s="299"/>
      <c r="L52" s="299"/>
      <c r="M52" s="299"/>
      <c r="N52" s="299"/>
      <c r="O52" s="299"/>
      <c r="P52" s="297">
        <f t="shared" si="2"/>
        <v>-2812.38</v>
      </c>
    </row>
    <row r="53" spans="1:16">
      <c r="A53" s="216"/>
      <c r="B53" s="219"/>
      <c r="C53" s="217" t="s">
        <v>35</v>
      </c>
      <c r="D53" s="365">
        <f>SUM(D24:D52)</f>
        <v>0</v>
      </c>
      <c r="E53" s="365">
        <f t="shared" ref="E53:P53" si="3">SUM(E24:E52)</f>
        <v>0</v>
      </c>
      <c r="F53" s="365">
        <f t="shared" si="3"/>
        <v>-29224.55</v>
      </c>
      <c r="G53" s="365">
        <f t="shared" si="3"/>
        <v>-49714.32</v>
      </c>
      <c r="H53" s="365">
        <f t="shared" si="3"/>
        <v>-2812.38</v>
      </c>
      <c r="I53" s="365">
        <f t="shared" si="3"/>
        <v>-5128.8</v>
      </c>
      <c r="J53" s="365">
        <f t="shared" si="3"/>
        <v>-2325.75</v>
      </c>
      <c r="K53" s="365">
        <f t="shared" si="3"/>
        <v>-6944.6200000000008</v>
      </c>
      <c r="L53" s="365">
        <f t="shared" si="3"/>
        <v>199757.84761904582</v>
      </c>
      <c r="M53" s="365">
        <f t="shared" si="3"/>
        <v>-2424.1799999999694</v>
      </c>
      <c r="N53" s="365">
        <f t="shared" si="3"/>
        <v>588.06999999999994</v>
      </c>
      <c r="O53" s="365">
        <f t="shared" ref="O53" si="4">SUM(O24:O52)</f>
        <v>-5000</v>
      </c>
      <c r="P53" s="365">
        <f t="shared" si="3"/>
        <v>96771.317619045847</v>
      </c>
    </row>
    <row r="54" spans="1:16">
      <c r="A54" s="216"/>
      <c r="B54" s="215" t="s">
        <v>36</v>
      </c>
      <c r="C54" s="217"/>
      <c r="D54" s="297">
        <f>+D21-D53</f>
        <v>102477.65</v>
      </c>
      <c r="E54" s="297">
        <f t="shared" ref="E54:P54" si="5">+E21-E53</f>
        <v>57521.55</v>
      </c>
      <c r="F54" s="297">
        <f t="shared" si="5"/>
        <v>0</v>
      </c>
      <c r="G54" s="297">
        <f t="shared" si="5"/>
        <v>49714.32</v>
      </c>
      <c r="H54" s="297">
        <f t="shared" si="5"/>
        <v>2812.38</v>
      </c>
      <c r="I54" s="297">
        <f t="shared" si="5"/>
        <v>5128.8</v>
      </c>
      <c r="J54" s="297">
        <f t="shared" si="5"/>
        <v>2325.75</v>
      </c>
      <c r="K54" s="297">
        <f t="shared" si="5"/>
        <v>6944.6200000000008</v>
      </c>
      <c r="L54" s="297">
        <f t="shared" si="5"/>
        <v>-199757.84761904582</v>
      </c>
      <c r="M54" s="297">
        <f t="shared" si="5"/>
        <v>2424.1799999999694</v>
      </c>
      <c r="N54" s="297">
        <f t="shared" si="5"/>
        <v>-588.06999999999994</v>
      </c>
      <c r="O54" s="297">
        <f t="shared" ref="O54" si="6">+O21-O53</f>
        <v>5000</v>
      </c>
      <c r="P54" s="297">
        <f t="shared" si="5"/>
        <v>34003.332380954162</v>
      </c>
    </row>
    <row r="55" spans="1:16">
      <c r="A55" s="216"/>
      <c r="B55" s="215"/>
      <c r="C55" s="217"/>
      <c r="F55" s="297"/>
      <c r="G55" s="297"/>
      <c r="H55" s="297"/>
      <c r="I55" s="297"/>
      <c r="J55" s="297"/>
      <c r="K55" s="297"/>
      <c r="L55" s="297"/>
      <c r="M55" s="297"/>
      <c r="N55" s="297"/>
      <c r="O55" s="297"/>
      <c r="P55" s="297"/>
    </row>
    <row r="56" spans="1:16">
      <c r="A56" s="216"/>
      <c r="B56" s="215" t="s">
        <v>37</v>
      </c>
      <c r="C56" s="217"/>
      <c r="F56" s="297"/>
      <c r="G56" s="297"/>
      <c r="H56" s="297"/>
      <c r="I56" s="297"/>
      <c r="J56" s="297"/>
      <c r="K56" s="297"/>
      <c r="L56" s="297"/>
      <c r="M56" s="297"/>
      <c r="N56" s="297"/>
      <c r="O56" s="297"/>
      <c r="P56" s="297"/>
    </row>
    <row r="57" spans="1:16">
      <c r="A57" s="216"/>
      <c r="B57" s="216"/>
      <c r="C57" s="217" t="s">
        <v>38</v>
      </c>
      <c r="F57" s="297"/>
      <c r="G57" s="297"/>
      <c r="H57" s="297"/>
      <c r="I57" s="297"/>
      <c r="J57" s="297"/>
      <c r="K57" s="297"/>
      <c r="L57" s="297"/>
      <c r="M57" s="297"/>
      <c r="N57" s="297"/>
      <c r="O57" s="297"/>
      <c r="P57" s="297"/>
    </row>
    <row r="58" spans="1:16">
      <c r="A58" s="216"/>
      <c r="B58" s="216"/>
      <c r="C58" s="217" t="s">
        <v>39</v>
      </c>
      <c r="F58" s="297"/>
      <c r="G58" s="297"/>
      <c r="H58" s="297"/>
      <c r="I58" s="297"/>
      <c r="J58" s="297"/>
      <c r="K58" s="297"/>
      <c r="L58" s="297"/>
      <c r="M58" s="297"/>
      <c r="N58" s="297"/>
      <c r="O58" s="297"/>
      <c r="P58" s="297"/>
    </row>
    <row r="59" spans="1:16">
      <c r="A59" s="216"/>
      <c r="B59" s="216"/>
      <c r="C59" s="217" t="s">
        <v>40</v>
      </c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</row>
    <row r="60" spans="1:16">
      <c r="A60" s="216"/>
      <c r="B60" s="216"/>
      <c r="C60" s="217" t="s">
        <v>41</v>
      </c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</row>
    <row r="61" spans="1:16">
      <c r="A61" s="216"/>
      <c r="B61" s="215" t="s">
        <v>42</v>
      </c>
      <c r="C61" s="217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</row>
    <row r="62" spans="1:16">
      <c r="A62" s="216"/>
      <c r="B62" s="215" t="s">
        <v>43</v>
      </c>
      <c r="C62" s="217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</row>
    <row r="63" spans="1:16">
      <c r="A63" s="216"/>
      <c r="B63" s="215" t="s">
        <v>44</v>
      </c>
      <c r="C63" s="217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</row>
    <row r="64" spans="1:16"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5890E-AA62-4887-BB16-47ED77AAED36}">
  <dimension ref="A1:N57"/>
  <sheetViews>
    <sheetView topLeftCell="A4" workbookViewId="0">
      <selection activeCell="B35" sqref="B35"/>
    </sheetView>
  </sheetViews>
  <sheetFormatPr defaultRowHeight="15"/>
  <cols>
    <col min="13" max="13" width="10.85546875" bestFit="1" customWidth="1"/>
  </cols>
  <sheetData>
    <row r="1" spans="1:14" ht="18.75">
      <c r="A1" s="15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14" ht="18.75">
      <c r="A2" s="15" t="s">
        <v>578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18.75">
      <c r="A3" s="15" t="s">
        <v>45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6" spans="1:14" ht="15.75">
      <c r="A6" s="301" t="s">
        <v>579</v>
      </c>
    </row>
    <row r="7" spans="1:14">
      <c r="M7" s="297"/>
    </row>
    <row r="8" spans="1:14">
      <c r="A8" s="42" t="s">
        <v>584</v>
      </c>
      <c r="B8" t="s">
        <v>580</v>
      </c>
      <c r="M8" s="297"/>
    </row>
    <row r="9" spans="1:14">
      <c r="A9" s="42"/>
      <c r="B9" t="s">
        <v>581</v>
      </c>
      <c r="M9" s="297">
        <v>102477.65</v>
      </c>
    </row>
    <row r="10" spans="1:14">
      <c r="A10" s="42"/>
      <c r="M10" s="297"/>
    </row>
    <row r="11" spans="1:14">
      <c r="A11" s="42" t="s">
        <v>585</v>
      </c>
      <c r="B11" t="s">
        <v>582</v>
      </c>
      <c r="M11" s="297"/>
    </row>
    <row r="12" spans="1:14">
      <c r="A12" s="42"/>
      <c r="B12" t="s">
        <v>583</v>
      </c>
      <c r="M12" s="297">
        <v>57521.55</v>
      </c>
    </row>
    <row r="13" spans="1:14">
      <c r="A13" s="42"/>
      <c r="M13" s="297"/>
    </row>
    <row r="14" spans="1:14">
      <c r="A14" s="42" t="s">
        <v>586</v>
      </c>
      <c r="B14" t="s">
        <v>587</v>
      </c>
      <c r="M14" s="297">
        <v>-29224.55</v>
      </c>
    </row>
    <row r="15" spans="1:14">
      <c r="A15" s="42"/>
      <c r="M15" s="297"/>
    </row>
    <row r="16" spans="1:14">
      <c r="A16" s="42" t="s">
        <v>589</v>
      </c>
      <c r="B16" t="s">
        <v>590</v>
      </c>
      <c r="M16" s="297">
        <v>-49714.32</v>
      </c>
    </row>
    <row r="17" spans="1:13">
      <c r="A17" s="42"/>
      <c r="M17" s="297"/>
    </row>
    <row r="18" spans="1:13">
      <c r="A18" s="42" t="s">
        <v>591</v>
      </c>
      <c r="B18" t="s">
        <v>592</v>
      </c>
      <c r="M18" s="297">
        <f>-Rents!O13</f>
        <v>-2812.38</v>
      </c>
    </row>
    <row r="19" spans="1:13">
      <c r="A19" s="42"/>
      <c r="M19" s="297"/>
    </row>
    <row r="20" spans="1:13">
      <c r="A20" s="42" t="s">
        <v>594</v>
      </c>
      <c r="B20" t="s">
        <v>595</v>
      </c>
      <c r="M20" s="297">
        <f>-'Advertising-Dues'!W63-'Advertising-Dues'!X63</f>
        <v>-5128.8</v>
      </c>
    </row>
    <row r="21" spans="1:13">
      <c r="A21" s="42"/>
      <c r="M21" s="297"/>
    </row>
    <row r="22" spans="1:13">
      <c r="A22" s="42" t="s">
        <v>641</v>
      </c>
      <c r="B22" t="s">
        <v>642</v>
      </c>
      <c r="M22" s="297">
        <f>-'Advertising-Dues'!Z63</f>
        <v>-2325.75</v>
      </c>
    </row>
    <row r="23" spans="1:13">
      <c r="A23" s="42"/>
      <c r="M23" s="297"/>
    </row>
    <row r="24" spans="1:13">
      <c r="A24" s="42" t="s">
        <v>656</v>
      </c>
      <c r="B24" t="s">
        <v>658</v>
      </c>
      <c r="M24" s="297">
        <f>-'Meals-Entertainment &amp; Travel'!S17</f>
        <v>-1003.56</v>
      </c>
    </row>
    <row r="25" spans="1:13">
      <c r="A25" s="42"/>
      <c r="M25" s="297"/>
    </row>
    <row r="26" spans="1:13">
      <c r="A26" s="42" t="s">
        <v>656</v>
      </c>
      <c r="B26" t="s">
        <v>657</v>
      </c>
      <c r="M26" s="297">
        <f>-'Meals-Entertainment &amp; Travel'!S25</f>
        <v>-5941.06</v>
      </c>
    </row>
    <row r="27" spans="1:13">
      <c r="A27" s="42"/>
      <c r="M27" s="297"/>
    </row>
    <row r="28" spans="1:13">
      <c r="A28" s="42" t="s">
        <v>659</v>
      </c>
      <c r="B28" t="s">
        <v>660</v>
      </c>
      <c r="M28" s="297">
        <f>-'Pro Forma'!D47+'Regulatory Depreciation'!O178</f>
        <v>199757.84761904582</v>
      </c>
    </row>
    <row r="29" spans="1:13">
      <c r="A29" s="42"/>
      <c r="M29" s="297"/>
    </row>
    <row r="30" spans="1:13">
      <c r="A30" s="42" t="s">
        <v>696</v>
      </c>
      <c r="B30" t="s">
        <v>697</v>
      </c>
      <c r="M30" s="297">
        <f>+'Fuel Cost'!E37+'Fuel Cost'!I37</f>
        <v>-2424.1799999999694</v>
      </c>
    </row>
    <row r="31" spans="1:13">
      <c r="A31" s="42"/>
      <c r="M31" s="297"/>
    </row>
    <row r="32" spans="1:13">
      <c r="A32" s="42" t="s">
        <v>731</v>
      </c>
      <c r="B32" t="s">
        <v>732</v>
      </c>
      <c r="M32" s="297">
        <f>+'Disposal Cost'!O25+'Disposal Cost'!O26</f>
        <v>588.06999999999994</v>
      </c>
    </row>
    <row r="33" spans="1:13">
      <c r="A33" s="42"/>
      <c r="M33" s="297"/>
    </row>
    <row r="34" spans="1:13">
      <c r="A34" s="42" t="s">
        <v>785</v>
      </c>
      <c r="B34" t="s">
        <v>786</v>
      </c>
      <c r="M34" s="297">
        <v>-5000</v>
      </c>
    </row>
    <row r="35" spans="1:13">
      <c r="A35" s="42"/>
      <c r="M35" s="297"/>
    </row>
    <row r="36" spans="1:13">
      <c r="A36" s="42"/>
      <c r="M36" s="297"/>
    </row>
    <row r="37" spans="1:13">
      <c r="A37" s="42"/>
      <c r="M37" s="297"/>
    </row>
    <row r="38" spans="1:13">
      <c r="A38" s="42"/>
      <c r="M38" s="297"/>
    </row>
    <row r="39" spans="1:13">
      <c r="A39" s="42"/>
      <c r="M39" s="297"/>
    </row>
    <row r="40" spans="1:13">
      <c r="A40" s="42"/>
      <c r="M40" s="297"/>
    </row>
    <row r="41" spans="1:13">
      <c r="A41" s="42"/>
      <c r="M41" s="297"/>
    </row>
    <row r="42" spans="1:13">
      <c r="A42" s="42"/>
      <c r="M42" s="297"/>
    </row>
    <row r="43" spans="1:13">
      <c r="A43" s="42"/>
    </row>
    <row r="44" spans="1:13">
      <c r="A44" s="42"/>
    </row>
    <row r="45" spans="1:13">
      <c r="A45" s="42"/>
    </row>
    <row r="46" spans="1:13">
      <c r="A46" s="42"/>
    </row>
    <row r="47" spans="1:13">
      <c r="A47" s="42"/>
    </row>
    <row r="48" spans="1:13">
      <c r="A48" s="42"/>
    </row>
    <row r="49" spans="1:1">
      <c r="A49" s="42"/>
    </row>
    <row r="50" spans="1:1">
      <c r="A50" s="42"/>
    </row>
    <row r="51" spans="1:1">
      <c r="A51" s="42"/>
    </row>
    <row r="52" spans="1:1">
      <c r="A52" s="42"/>
    </row>
    <row r="53" spans="1:1">
      <c r="A53" s="42"/>
    </row>
    <row r="54" spans="1:1">
      <c r="A54" s="42"/>
    </row>
    <row r="55" spans="1:1">
      <c r="A55" s="42"/>
    </row>
    <row r="56" spans="1:1">
      <c r="A56" s="42"/>
    </row>
    <row r="57" spans="1:1">
      <c r="A57" s="4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63439-52A9-4CFB-8CC6-3C049D1F2B61}">
  <dimension ref="A8:K63"/>
  <sheetViews>
    <sheetView topLeftCell="A22" workbookViewId="0">
      <selection activeCell="G40" sqref="G40"/>
    </sheetView>
  </sheetViews>
  <sheetFormatPr defaultRowHeight="15"/>
  <cols>
    <col min="1" max="1" width="8.5703125" bestFit="1" customWidth="1"/>
    <col min="2" max="2" width="6.140625" customWidth="1"/>
    <col min="3" max="3" width="26.140625" bestFit="1" customWidth="1"/>
    <col min="4" max="11" width="11.7109375" customWidth="1"/>
  </cols>
  <sheetData>
    <row r="8" spans="1:11">
      <c r="A8" s="215" t="s">
        <v>3</v>
      </c>
      <c r="B8" s="16"/>
      <c r="C8" s="216"/>
      <c r="D8" s="42" t="s">
        <v>758</v>
      </c>
      <c r="E8" s="42" t="s">
        <v>759</v>
      </c>
      <c r="F8" s="42" t="s">
        <v>760</v>
      </c>
      <c r="G8" s="42" t="s">
        <v>781</v>
      </c>
      <c r="H8" s="42"/>
      <c r="I8" s="42"/>
      <c r="J8" s="42"/>
      <c r="K8" s="42" t="s">
        <v>2</v>
      </c>
    </row>
    <row r="9" spans="1:11">
      <c r="A9" s="216"/>
      <c r="B9" s="219">
        <v>3100</v>
      </c>
      <c r="C9" s="217" t="s">
        <v>4</v>
      </c>
      <c r="D9" s="297"/>
      <c r="E9" s="297"/>
      <c r="F9" s="297"/>
      <c r="G9" s="297"/>
      <c r="H9" s="297"/>
      <c r="I9" s="297"/>
      <c r="J9" s="297"/>
      <c r="K9" s="297">
        <f>SUM(D9:J9)</f>
        <v>0</v>
      </c>
    </row>
    <row r="10" spans="1:11">
      <c r="A10" s="216"/>
      <c r="B10" s="219">
        <v>3200</v>
      </c>
      <c r="C10" s="217" t="s">
        <v>5</v>
      </c>
      <c r="D10" s="297"/>
      <c r="E10" s="297"/>
      <c r="F10" s="297"/>
      <c r="G10" s="297"/>
      <c r="H10" s="297"/>
      <c r="I10" s="297"/>
      <c r="J10" s="297"/>
      <c r="K10" s="297">
        <f t="shared" ref="K10:K20" si="0">SUM(D10:J10)</f>
        <v>0</v>
      </c>
    </row>
    <row r="11" spans="1:11">
      <c r="A11" s="216"/>
      <c r="B11" s="219">
        <v>3300</v>
      </c>
      <c r="C11" s="217" t="s">
        <v>6</v>
      </c>
      <c r="D11" s="297"/>
      <c r="E11" s="297"/>
      <c r="F11" s="297"/>
      <c r="G11" s="297"/>
      <c r="H11" s="297"/>
      <c r="I11" s="297"/>
      <c r="J11" s="297"/>
      <c r="K11" s="297">
        <f t="shared" si="0"/>
        <v>0</v>
      </c>
    </row>
    <row r="12" spans="1:11">
      <c r="A12" s="216"/>
      <c r="B12" s="219">
        <v>3310</v>
      </c>
      <c r="C12" s="217" t="s">
        <v>7</v>
      </c>
      <c r="D12" s="297"/>
      <c r="E12" s="297"/>
      <c r="F12" s="297"/>
      <c r="G12" s="297"/>
      <c r="H12" s="297"/>
      <c r="I12" s="297"/>
      <c r="J12" s="297"/>
      <c r="K12" s="297">
        <f t="shared" si="0"/>
        <v>0</v>
      </c>
    </row>
    <row r="13" spans="1:11">
      <c r="A13" s="216"/>
      <c r="B13" s="219">
        <v>3400</v>
      </c>
      <c r="C13" s="217" t="s">
        <v>8</v>
      </c>
      <c r="D13" s="297"/>
      <c r="E13" s="297"/>
      <c r="F13" s="297"/>
      <c r="G13" s="297"/>
      <c r="H13" s="297"/>
      <c r="I13" s="297"/>
      <c r="J13" s="297"/>
      <c r="K13" s="297">
        <f t="shared" si="0"/>
        <v>0</v>
      </c>
    </row>
    <row r="14" spans="1:11">
      <c r="A14" s="216"/>
      <c r="B14" s="219">
        <v>3450</v>
      </c>
      <c r="C14" s="217" t="s">
        <v>9</v>
      </c>
      <c r="D14" s="297"/>
      <c r="E14" s="297"/>
      <c r="F14" s="297"/>
      <c r="G14" s="297"/>
      <c r="H14" s="297"/>
      <c r="I14" s="297"/>
      <c r="J14" s="297"/>
      <c r="K14" s="297">
        <f t="shared" si="0"/>
        <v>0</v>
      </c>
    </row>
    <row r="15" spans="1:11">
      <c r="A15" s="216"/>
      <c r="B15" s="219">
        <v>3475</v>
      </c>
      <c r="C15" s="217" t="s">
        <v>59</v>
      </c>
      <c r="D15" s="297"/>
      <c r="E15" s="297"/>
      <c r="F15" s="297"/>
      <c r="G15" s="297"/>
      <c r="H15" s="297"/>
      <c r="I15" s="297"/>
      <c r="J15" s="297"/>
      <c r="K15" s="297">
        <f t="shared" si="0"/>
        <v>0</v>
      </c>
    </row>
    <row r="16" spans="1:11">
      <c r="A16" s="216"/>
      <c r="B16" s="219">
        <v>3500</v>
      </c>
      <c r="C16" s="217" t="s">
        <v>67</v>
      </c>
      <c r="D16" s="297"/>
      <c r="E16" s="297"/>
      <c r="F16" s="297"/>
      <c r="G16" s="297"/>
      <c r="H16" s="297"/>
      <c r="I16" s="297"/>
      <c r="J16" s="297"/>
      <c r="K16" s="297">
        <f t="shared" si="0"/>
        <v>0</v>
      </c>
    </row>
    <row r="17" spans="1:11">
      <c r="A17" s="216"/>
      <c r="B17" s="219">
        <v>3510</v>
      </c>
      <c r="C17" s="217" t="s">
        <v>10</v>
      </c>
      <c r="D17" s="297"/>
      <c r="E17" s="297"/>
      <c r="F17" s="297"/>
      <c r="G17" s="297"/>
      <c r="H17" s="297"/>
      <c r="I17" s="297"/>
      <c r="J17" s="297"/>
      <c r="K17" s="297">
        <f t="shared" si="0"/>
        <v>0</v>
      </c>
    </row>
    <row r="18" spans="1:11">
      <c r="A18" s="216"/>
      <c r="B18" s="219">
        <v>3530</v>
      </c>
      <c r="C18" s="217" t="s">
        <v>11</v>
      </c>
      <c r="D18" s="297"/>
      <c r="E18" s="297"/>
      <c r="F18" s="297"/>
      <c r="G18" s="297"/>
      <c r="H18" s="297"/>
      <c r="I18" s="297"/>
      <c r="J18" s="297"/>
      <c r="K18" s="297">
        <f t="shared" si="0"/>
        <v>0</v>
      </c>
    </row>
    <row r="19" spans="1:11">
      <c r="A19" s="216"/>
      <c r="B19" s="219">
        <v>3540</v>
      </c>
      <c r="C19" s="217" t="s">
        <v>58</v>
      </c>
      <c r="D19" s="297"/>
      <c r="E19" s="297"/>
      <c r="F19" s="297"/>
      <c r="G19" s="297"/>
      <c r="H19" s="297"/>
      <c r="I19" s="297"/>
      <c r="J19" s="297"/>
      <c r="K19" s="297">
        <f t="shared" si="0"/>
        <v>0</v>
      </c>
    </row>
    <row r="20" spans="1:11">
      <c r="A20" s="216"/>
      <c r="B20" s="219">
        <v>3550</v>
      </c>
      <c r="C20" s="217" t="s">
        <v>12</v>
      </c>
      <c r="D20" s="299"/>
      <c r="E20" s="299"/>
      <c r="F20" s="299"/>
      <c r="G20" s="299"/>
      <c r="H20" s="299"/>
      <c r="I20" s="299"/>
      <c r="J20" s="299"/>
      <c r="K20" s="299">
        <f t="shared" si="0"/>
        <v>0</v>
      </c>
    </row>
    <row r="21" spans="1:11">
      <c r="A21" s="216"/>
      <c r="B21" s="219"/>
      <c r="C21" s="217"/>
      <c r="D21" s="297">
        <f t="shared" ref="D21:J21" si="1">SUM(D9:D20)</f>
        <v>0</v>
      </c>
      <c r="E21" s="297">
        <f t="shared" si="1"/>
        <v>0</v>
      </c>
      <c r="F21" s="297">
        <f t="shared" si="1"/>
        <v>0</v>
      </c>
      <c r="G21" s="297">
        <f t="shared" si="1"/>
        <v>0</v>
      </c>
      <c r="H21" s="297">
        <f t="shared" si="1"/>
        <v>0</v>
      </c>
      <c r="I21" s="297">
        <f t="shared" si="1"/>
        <v>0</v>
      </c>
      <c r="J21" s="297">
        <f t="shared" si="1"/>
        <v>0</v>
      </c>
      <c r="K21" s="297">
        <f>SUM(K9:K20)</f>
        <v>0</v>
      </c>
    </row>
    <row r="22" spans="1:11">
      <c r="A22" s="216"/>
      <c r="B22" s="219"/>
      <c r="C22" s="217"/>
      <c r="D22" s="297"/>
      <c r="E22" s="297"/>
      <c r="F22" s="297"/>
      <c r="G22" s="297"/>
      <c r="H22" s="297"/>
      <c r="I22" s="297"/>
      <c r="J22" s="297"/>
      <c r="K22" s="297"/>
    </row>
    <row r="23" spans="1:11">
      <c r="A23" s="215" t="s">
        <v>13</v>
      </c>
      <c r="B23" s="219"/>
      <c r="C23" s="217"/>
      <c r="D23" s="297"/>
      <c r="E23" s="297"/>
      <c r="F23" s="297"/>
      <c r="G23" s="297"/>
      <c r="H23" s="297"/>
      <c r="I23" s="297"/>
      <c r="J23" s="297"/>
      <c r="K23" s="297"/>
    </row>
    <row r="24" spans="1:11">
      <c r="A24" s="215"/>
      <c r="B24" s="219">
        <v>4100</v>
      </c>
      <c r="C24" s="217" t="s">
        <v>14</v>
      </c>
      <c r="D24" s="297"/>
      <c r="E24" s="297"/>
      <c r="F24" s="297"/>
      <c r="G24" s="297"/>
      <c r="H24" s="297"/>
      <c r="I24" s="297"/>
      <c r="J24" s="297"/>
      <c r="K24" s="297">
        <f t="shared" ref="K24:K52" si="2">SUM(D24:J24)</f>
        <v>0</v>
      </c>
    </row>
    <row r="25" spans="1:11">
      <c r="A25" s="215"/>
      <c r="B25" s="219">
        <v>4115</v>
      </c>
      <c r="C25" s="217" t="s">
        <v>15</v>
      </c>
      <c r="D25" s="297">
        <f>+'Pro Forma Entry Explanation'!M8</f>
        <v>6690.26</v>
      </c>
      <c r="E25" s="297"/>
      <c r="F25" s="297"/>
      <c r="G25" s="297"/>
      <c r="H25" s="297"/>
      <c r="I25" s="297"/>
      <c r="J25" s="297"/>
      <c r="K25" s="297">
        <f t="shared" si="2"/>
        <v>6690.26</v>
      </c>
    </row>
    <row r="26" spans="1:11">
      <c r="A26" s="215"/>
      <c r="B26" s="219">
        <v>4160</v>
      </c>
      <c r="C26" s="217" t="s">
        <v>16</v>
      </c>
      <c r="D26" s="297"/>
      <c r="E26" s="297"/>
      <c r="F26" s="297"/>
      <c r="G26" s="297"/>
      <c r="H26" s="297"/>
      <c r="I26" s="297"/>
      <c r="J26" s="297"/>
      <c r="K26" s="297">
        <f t="shared" si="2"/>
        <v>0</v>
      </c>
    </row>
    <row r="27" spans="1:11">
      <c r="A27" s="215"/>
      <c r="B27" s="219">
        <v>4180</v>
      </c>
      <c r="C27" s="217" t="s">
        <v>17</v>
      </c>
      <c r="D27" s="297"/>
      <c r="E27" s="297"/>
      <c r="F27" s="297"/>
      <c r="G27" s="297"/>
      <c r="H27" s="297"/>
      <c r="I27" s="297"/>
      <c r="J27" s="297"/>
      <c r="K27" s="297">
        <f t="shared" si="2"/>
        <v>0</v>
      </c>
    </row>
    <row r="28" spans="1:11">
      <c r="A28" s="215"/>
      <c r="B28" s="219">
        <v>4213</v>
      </c>
      <c r="C28" s="217" t="s">
        <v>18</v>
      </c>
      <c r="D28" s="297">
        <f>+'Pro Forma Entry Explanation'!M9</f>
        <v>12438.21</v>
      </c>
      <c r="E28" s="297"/>
      <c r="F28" s="297"/>
      <c r="G28" s="297"/>
      <c r="H28" s="297"/>
      <c r="I28" s="297"/>
      <c r="J28" s="297"/>
      <c r="K28" s="297">
        <f t="shared" si="2"/>
        <v>12438.21</v>
      </c>
    </row>
    <row r="29" spans="1:11">
      <c r="A29" s="215"/>
      <c r="B29" s="219">
        <v>4240</v>
      </c>
      <c r="C29" s="217" t="s">
        <v>19</v>
      </c>
      <c r="D29" s="297"/>
      <c r="E29" s="297"/>
      <c r="F29" s="297"/>
      <c r="G29" s="297"/>
      <c r="H29" s="297"/>
      <c r="I29" s="297"/>
      <c r="J29" s="297"/>
      <c r="K29" s="297">
        <f t="shared" si="2"/>
        <v>0</v>
      </c>
    </row>
    <row r="30" spans="1:11">
      <c r="A30" s="215"/>
      <c r="B30" s="219">
        <v>4362</v>
      </c>
      <c r="C30" s="217" t="s">
        <v>20</v>
      </c>
      <c r="D30" s="297"/>
      <c r="E30" s="297">
        <f>+'Pro Forma Entry Explanation'!M13</f>
        <v>72818.392500000002</v>
      </c>
      <c r="F30" s="297"/>
      <c r="G30" s="297"/>
      <c r="H30" s="297"/>
      <c r="I30" s="297"/>
      <c r="J30" s="297"/>
      <c r="K30" s="297">
        <f t="shared" si="2"/>
        <v>72818.392500000002</v>
      </c>
    </row>
    <row r="31" spans="1:11">
      <c r="A31" s="215"/>
      <c r="B31" s="219">
        <v>4370</v>
      </c>
      <c r="C31" s="217" t="s">
        <v>68</v>
      </c>
      <c r="D31" s="297"/>
      <c r="E31" s="297"/>
      <c r="F31" s="297"/>
      <c r="G31" s="297"/>
      <c r="H31" s="297"/>
      <c r="I31" s="297"/>
      <c r="J31" s="297"/>
      <c r="K31" s="297">
        <f t="shared" si="2"/>
        <v>0</v>
      </c>
    </row>
    <row r="32" spans="1:11">
      <c r="A32" s="215"/>
      <c r="B32" s="219">
        <v>4380</v>
      </c>
      <c r="C32" s="217" t="s">
        <v>34</v>
      </c>
      <c r="D32" s="297"/>
      <c r="E32" s="297"/>
      <c r="F32" s="297"/>
      <c r="G32" s="297"/>
      <c r="H32" s="297"/>
      <c r="I32" s="297"/>
      <c r="J32" s="297"/>
      <c r="K32" s="297">
        <f t="shared" si="2"/>
        <v>0</v>
      </c>
    </row>
    <row r="33" spans="1:11">
      <c r="A33" s="215"/>
      <c r="B33" s="219">
        <v>4450</v>
      </c>
      <c r="C33" s="217" t="s">
        <v>21</v>
      </c>
      <c r="D33" s="297"/>
      <c r="E33" s="297"/>
      <c r="F33" s="297"/>
      <c r="G33" s="297"/>
      <c r="H33" s="297"/>
      <c r="I33" s="297"/>
      <c r="J33" s="297"/>
      <c r="K33" s="297">
        <f t="shared" si="2"/>
        <v>0</v>
      </c>
    </row>
    <row r="34" spans="1:11">
      <c r="A34" s="215"/>
      <c r="B34" s="219">
        <v>4500</v>
      </c>
      <c r="C34" s="217" t="s">
        <v>22</v>
      </c>
      <c r="D34" s="297"/>
      <c r="E34" s="297"/>
      <c r="F34" s="297">
        <f>+'Pro Forma Entry Explanation'!M15</f>
        <v>10524.270000000004</v>
      </c>
      <c r="G34" s="297"/>
      <c r="H34" s="297"/>
      <c r="I34" s="297"/>
      <c r="J34" s="297"/>
      <c r="K34" s="297">
        <f t="shared" si="2"/>
        <v>10524.270000000004</v>
      </c>
    </row>
    <row r="35" spans="1:11">
      <c r="A35" s="215"/>
      <c r="B35" s="219">
        <v>4611</v>
      </c>
      <c r="C35" s="217" t="s">
        <v>23</v>
      </c>
      <c r="D35" s="297">
        <f>+'Pro Forma Entry Explanation'!M10</f>
        <v>24199.920000000002</v>
      </c>
      <c r="E35" s="297"/>
      <c r="F35" s="297"/>
      <c r="G35" s="297"/>
      <c r="H35" s="297"/>
      <c r="I35" s="297"/>
      <c r="J35" s="297"/>
      <c r="K35" s="297">
        <f t="shared" si="2"/>
        <v>24199.920000000002</v>
      </c>
    </row>
    <row r="36" spans="1:11">
      <c r="A36" s="215"/>
      <c r="B36" s="219">
        <v>4613</v>
      </c>
      <c r="C36" s="217" t="s">
        <v>24</v>
      </c>
      <c r="D36" s="297">
        <f>+'Pro Forma Entry Explanation'!M11</f>
        <v>1524.62</v>
      </c>
      <c r="E36" s="297"/>
      <c r="F36" s="297"/>
      <c r="G36" s="297"/>
      <c r="H36" s="297"/>
      <c r="I36" s="297"/>
      <c r="J36" s="297"/>
      <c r="K36" s="297">
        <f t="shared" si="2"/>
        <v>1524.62</v>
      </c>
    </row>
    <row r="37" spans="1:11">
      <c r="A37" s="215"/>
      <c r="B37" s="219">
        <v>4620</v>
      </c>
      <c r="C37" s="217" t="s">
        <v>64</v>
      </c>
      <c r="D37" s="297"/>
      <c r="E37" s="297"/>
      <c r="F37" s="297"/>
      <c r="G37" s="297"/>
      <c r="H37" s="297"/>
      <c r="I37" s="297"/>
      <c r="J37" s="297"/>
      <c r="K37" s="297">
        <f t="shared" si="2"/>
        <v>0</v>
      </c>
    </row>
    <row r="38" spans="1:11">
      <c r="A38" s="215"/>
      <c r="B38" s="219">
        <v>4625</v>
      </c>
      <c r="C38" s="217" t="s">
        <v>60</v>
      </c>
      <c r="D38" s="297"/>
      <c r="E38" s="297"/>
      <c r="F38" s="297"/>
      <c r="G38" s="297"/>
      <c r="H38" s="297"/>
      <c r="I38" s="297"/>
      <c r="J38" s="297"/>
      <c r="K38" s="297">
        <f t="shared" si="2"/>
        <v>0</v>
      </c>
    </row>
    <row r="39" spans="1:11">
      <c r="A39" s="215"/>
      <c r="B39" s="219">
        <v>4630</v>
      </c>
      <c r="C39" s="217" t="s">
        <v>65</v>
      </c>
      <c r="D39" s="297"/>
      <c r="E39" s="297"/>
      <c r="F39" s="297"/>
      <c r="G39" s="297">
        <f>+'Pro Forma Entry Explanation'!M17</f>
        <v>12542.46</v>
      </c>
      <c r="H39" s="297"/>
      <c r="I39" s="297"/>
      <c r="J39" s="297"/>
      <c r="K39" s="297">
        <f t="shared" si="2"/>
        <v>12542.46</v>
      </c>
    </row>
    <row r="40" spans="1:11">
      <c r="A40" s="215"/>
      <c r="B40" s="219">
        <v>4640</v>
      </c>
      <c r="C40" s="217" t="s">
        <v>66</v>
      </c>
      <c r="D40" s="297"/>
      <c r="E40" s="297"/>
      <c r="F40" s="297"/>
      <c r="G40" s="297"/>
      <c r="H40" s="297"/>
      <c r="I40" s="297"/>
      <c r="J40" s="297"/>
      <c r="K40" s="297">
        <f t="shared" si="2"/>
        <v>0</v>
      </c>
    </row>
    <row r="41" spans="1:11">
      <c r="A41" s="215"/>
      <c r="B41" s="219">
        <v>4650</v>
      </c>
      <c r="C41" s="217" t="s">
        <v>25</v>
      </c>
      <c r="D41" s="297"/>
      <c r="E41" s="297"/>
      <c r="F41" s="297"/>
      <c r="G41" s="297"/>
      <c r="H41" s="297"/>
      <c r="I41" s="297"/>
      <c r="J41" s="297"/>
      <c r="K41" s="297">
        <f t="shared" si="2"/>
        <v>0</v>
      </c>
    </row>
    <row r="42" spans="1:11">
      <c r="A42" s="215"/>
      <c r="B42" s="219">
        <v>4660</v>
      </c>
      <c r="C42" s="217" t="s">
        <v>26</v>
      </c>
      <c r="D42" s="297"/>
      <c r="E42" s="297"/>
      <c r="F42" s="297"/>
      <c r="G42" s="297"/>
      <c r="H42" s="297"/>
      <c r="I42" s="297"/>
      <c r="J42" s="297"/>
      <c r="K42" s="297">
        <f t="shared" si="2"/>
        <v>0</v>
      </c>
    </row>
    <row r="43" spans="1:11">
      <c r="A43" s="215"/>
      <c r="B43" s="219">
        <v>4685</v>
      </c>
      <c r="C43" s="217" t="s">
        <v>27</v>
      </c>
      <c r="D43" s="297"/>
      <c r="E43" s="297"/>
      <c r="F43" s="297"/>
      <c r="G43" s="297"/>
      <c r="H43" s="297"/>
      <c r="I43" s="297"/>
      <c r="J43" s="297"/>
      <c r="K43" s="297">
        <f t="shared" si="2"/>
        <v>0</v>
      </c>
    </row>
    <row r="44" spans="1:11">
      <c r="A44" s="215"/>
      <c r="B44" s="219">
        <v>4687</v>
      </c>
      <c r="C44" s="217" t="s">
        <v>28</v>
      </c>
      <c r="D44" s="297"/>
      <c r="E44" s="297"/>
      <c r="F44" s="297"/>
      <c r="G44" s="297"/>
      <c r="H44" s="297"/>
      <c r="I44" s="297"/>
      <c r="J44" s="297"/>
      <c r="K44" s="297">
        <f t="shared" si="2"/>
        <v>0</v>
      </c>
    </row>
    <row r="45" spans="1:11">
      <c r="A45" s="215"/>
      <c r="B45" s="219">
        <v>4688</v>
      </c>
      <c r="C45" s="217" t="s">
        <v>29</v>
      </c>
      <c r="D45" s="297"/>
      <c r="E45" s="297"/>
      <c r="F45" s="297"/>
      <c r="G45" s="297"/>
      <c r="H45" s="297"/>
      <c r="I45" s="297"/>
      <c r="J45" s="297"/>
      <c r="K45" s="297">
        <f t="shared" si="2"/>
        <v>0</v>
      </c>
    </row>
    <row r="46" spans="1:11">
      <c r="A46" s="215"/>
      <c r="B46" s="219">
        <v>4690</v>
      </c>
      <c r="C46" s="217" t="s">
        <v>30</v>
      </c>
      <c r="D46" s="297"/>
      <c r="E46" s="297"/>
      <c r="F46" s="297"/>
      <c r="G46" s="297"/>
      <c r="H46" s="297"/>
      <c r="I46" s="297"/>
      <c r="J46" s="297"/>
      <c r="K46" s="297">
        <f t="shared" si="2"/>
        <v>0</v>
      </c>
    </row>
    <row r="47" spans="1:11">
      <c r="A47" s="215"/>
      <c r="B47" s="219">
        <v>5040</v>
      </c>
      <c r="C47" s="217" t="s">
        <v>31</v>
      </c>
      <c r="D47" s="297"/>
      <c r="E47" s="297"/>
      <c r="F47" s="297"/>
      <c r="G47" s="297"/>
      <c r="H47" s="297"/>
      <c r="I47" s="297"/>
      <c r="J47" s="297"/>
      <c r="K47" s="297">
        <f t="shared" si="2"/>
        <v>0</v>
      </c>
    </row>
    <row r="48" spans="1:11">
      <c r="A48" s="215"/>
      <c r="B48" s="219">
        <v>5200</v>
      </c>
      <c r="C48" s="217" t="s">
        <v>61</v>
      </c>
      <c r="D48" s="297"/>
      <c r="E48" s="297"/>
      <c r="F48" s="297"/>
      <c r="G48" s="297"/>
      <c r="H48" s="297"/>
      <c r="I48" s="297"/>
      <c r="J48" s="297"/>
      <c r="K48" s="297">
        <f t="shared" si="2"/>
        <v>0</v>
      </c>
    </row>
    <row r="49" spans="1:11">
      <c r="A49" s="215"/>
      <c r="B49" s="219">
        <v>5220</v>
      </c>
      <c r="C49" s="217" t="s">
        <v>62</v>
      </c>
      <c r="D49" s="297"/>
      <c r="E49" s="297"/>
      <c r="F49" s="297"/>
      <c r="G49" s="297"/>
      <c r="H49" s="297"/>
      <c r="I49" s="297"/>
      <c r="J49" s="297"/>
      <c r="K49" s="297">
        <f t="shared" si="2"/>
        <v>0</v>
      </c>
    </row>
    <row r="50" spans="1:11">
      <c r="A50" s="215"/>
      <c r="B50" s="219">
        <v>5230</v>
      </c>
      <c r="C50" s="217" t="s">
        <v>32</v>
      </c>
      <c r="D50" s="297"/>
      <c r="E50" s="297"/>
      <c r="F50" s="297"/>
      <c r="G50" s="297"/>
      <c r="H50" s="297"/>
      <c r="I50" s="297"/>
      <c r="J50" s="297"/>
      <c r="K50" s="297">
        <f t="shared" si="2"/>
        <v>0</v>
      </c>
    </row>
    <row r="51" spans="1:11">
      <c r="A51" s="215"/>
      <c r="B51" s="219">
        <v>5240</v>
      </c>
      <c r="C51" s="217" t="s">
        <v>33</v>
      </c>
      <c r="D51" s="297"/>
      <c r="E51" s="297"/>
      <c r="F51" s="297"/>
      <c r="G51" s="297"/>
      <c r="H51" s="297"/>
      <c r="I51" s="297"/>
      <c r="J51" s="297"/>
      <c r="K51" s="297">
        <f t="shared" si="2"/>
        <v>0</v>
      </c>
    </row>
    <row r="52" spans="1:11">
      <c r="A52" s="215"/>
      <c r="B52" s="219">
        <v>5320</v>
      </c>
      <c r="C52" s="217" t="s">
        <v>63</v>
      </c>
      <c r="D52" s="299"/>
      <c r="E52" s="299"/>
      <c r="F52" s="299"/>
      <c r="G52" s="299"/>
      <c r="H52" s="299"/>
      <c r="I52" s="299"/>
      <c r="J52" s="299"/>
      <c r="K52" s="299">
        <f t="shared" si="2"/>
        <v>0</v>
      </c>
    </row>
    <row r="53" spans="1:11">
      <c r="A53" s="216"/>
      <c r="B53" s="219"/>
      <c r="C53" s="217" t="s">
        <v>35</v>
      </c>
      <c r="D53" s="365">
        <f t="shared" ref="D53:J53" si="3">SUM(D24:D52)</f>
        <v>44853.01</v>
      </c>
      <c r="E53" s="365">
        <f t="shared" si="3"/>
        <v>72818.392500000002</v>
      </c>
      <c r="F53" s="365">
        <f t="shared" si="3"/>
        <v>10524.270000000004</v>
      </c>
      <c r="G53" s="365">
        <f t="shared" si="3"/>
        <v>12542.46</v>
      </c>
      <c r="H53" s="365">
        <f t="shared" si="3"/>
        <v>0</v>
      </c>
      <c r="I53" s="365">
        <f t="shared" si="3"/>
        <v>0</v>
      </c>
      <c r="J53" s="365">
        <f t="shared" si="3"/>
        <v>0</v>
      </c>
      <c r="K53" s="365">
        <f>SUM(K24:K52)</f>
        <v>140738.13250000001</v>
      </c>
    </row>
    <row r="54" spans="1:11">
      <c r="A54" s="216"/>
      <c r="B54" s="215" t="s">
        <v>36</v>
      </c>
      <c r="C54" s="217"/>
      <c r="D54" s="297">
        <f>+D21-D53</f>
        <v>-44853.01</v>
      </c>
      <c r="E54" s="297">
        <f t="shared" ref="E54:K54" si="4">+E21-E53</f>
        <v>-72818.392500000002</v>
      </c>
      <c r="F54" s="297">
        <f t="shared" si="4"/>
        <v>-10524.270000000004</v>
      </c>
      <c r="G54" s="297">
        <f t="shared" si="4"/>
        <v>-12542.46</v>
      </c>
      <c r="H54" s="297">
        <f t="shared" si="4"/>
        <v>0</v>
      </c>
      <c r="I54" s="297">
        <f t="shared" si="4"/>
        <v>0</v>
      </c>
      <c r="J54" s="297">
        <f t="shared" si="4"/>
        <v>0</v>
      </c>
      <c r="K54" s="297">
        <f t="shared" si="4"/>
        <v>-140738.13250000001</v>
      </c>
    </row>
    <row r="55" spans="1:11">
      <c r="A55" s="216"/>
      <c r="B55" s="215"/>
      <c r="C55" s="217"/>
      <c r="D55" s="297"/>
      <c r="E55" s="297"/>
      <c r="F55" s="297"/>
      <c r="G55" s="297"/>
      <c r="H55" s="297"/>
      <c r="I55" s="297"/>
      <c r="J55" s="297"/>
      <c r="K55" s="297"/>
    </row>
    <row r="56" spans="1:11">
      <c r="A56" s="216"/>
      <c r="B56" s="215" t="s">
        <v>37</v>
      </c>
      <c r="C56" s="217"/>
      <c r="D56" s="297"/>
      <c r="E56" s="297"/>
      <c r="F56" s="297"/>
      <c r="G56" s="297"/>
      <c r="H56" s="297"/>
      <c r="I56" s="297"/>
      <c r="J56" s="297"/>
      <c r="K56" s="297"/>
    </row>
    <row r="57" spans="1:11">
      <c r="A57" s="216"/>
      <c r="B57" s="216"/>
      <c r="C57" s="217" t="s">
        <v>38</v>
      </c>
      <c r="D57" s="297"/>
      <c r="E57" s="297"/>
      <c r="F57" s="297"/>
      <c r="G57" s="297"/>
      <c r="H57" s="297"/>
      <c r="I57" s="297"/>
      <c r="J57" s="297"/>
      <c r="K57" s="297"/>
    </row>
    <row r="58" spans="1:11">
      <c r="A58" s="216"/>
      <c r="B58" s="216"/>
      <c r="C58" s="217" t="s">
        <v>39</v>
      </c>
      <c r="D58" s="297"/>
      <c r="E58" s="297"/>
      <c r="F58" s="297"/>
      <c r="G58" s="297"/>
      <c r="H58" s="297"/>
      <c r="I58" s="297"/>
      <c r="J58" s="297"/>
      <c r="K58" s="297"/>
    </row>
    <row r="59" spans="1:11">
      <c r="A59" s="216"/>
      <c r="B59" s="216"/>
      <c r="C59" s="217" t="s">
        <v>40</v>
      </c>
      <c r="D59" s="297"/>
      <c r="E59" s="297"/>
      <c r="F59" s="297"/>
      <c r="G59" s="297"/>
      <c r="H59" s="297"/>
      <c r="I59" s="297"/>
      <c r="J59" s="297"/>
      <c r="K59" s="297"/>
    </row>
    <row r="60" spans="1:11">
      <c r="A60" s="216"/>
      <c r="B60" s="216"/>
      <c r="C60" s="217" t="s">
        <v>41</v>
      </c>
      <c r="D60" s="297"/>
      <c r="E60" s="297"/>
      <c r="F60" s="297"/>
      <c r="G60" s="297"/>
      <c r="H60" s="297"/>
      <c r="I60" s="297"/>
      <c r="J60" s="297"/>
      <c r="K60" s="297"/>
    </row>
    <row r="61" spans="1:11">
      <c r="A61" s="216"/>
      <c r="B61" s="215" t="s">
        <v>42</v>
      </c>
      <c r="C61" s="217"/>
      <c r="D61" s="297"/>
      <c r="E61" s="297"/>
      <c r="F61" s="297"/>
      <c r="G61" s="297"/>
      <c r="H61" s="297"/>
      <c r="I61" s="297"/>
      <c r="J61" s="297"/>
      <c r="K61" s="297"/>
    </row>
    <row r="62" spans="1:11">
      <c r="A62" s="216"/>
      <c r="B62" s="215" t="s">
        <v>43</v>
      </c>
      <c r="C62" s="217"/>
      <c r="D62" s="297"/>
      <c r="E62" s="297"/>
      <c r="F62" s="297"/>
      <c r="G62" s="297"/>
      <c r="H62" s="297"/>
      <c r="I62" s="297"/>
      <c r="J62" s="297"/>
      <c r="K62" s="297"/>
    </row>
    <row r="63" spans="1:11">
      <c r="A63" s="216"/>
      <c r="B63" s="215" t="s">
        <v>44</v>
      </c>
      <c r="C63" s="217"/>
      <c r="D63" s="297"/>
      <c r="E63" s="297"/>
      <c r="F63" s="297"/>
      <c r="G63" s="297"/>
      <c r="H63" s="297"/>
      <c r="I63" s="297"/>
      <c r="J63" s="297"/>
      <c r="K63" s="29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07871-AAF9-4BD5-82E2-6513A2823D32}">
  <dimension ref="A1:M51"/>
  <sheetViews>
    <sheetView workbookViewId="0">
      <selection activeCell="M13" sqref="M13"/>
    </sheetView>
  </sheetViews>
  <sheetFormatPr defaultRowHeight="15"/>
  <cols>
    <col min="1" max="1" width="13.42578125" bestFit="1" customWidth="1"/>
  </cols>
  <sheetData>
    <row r="1" spans="1:13" ht="18.75">
      <c r="A1" s="15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3" ht="18.75">
      <c r="A2" s="15" t="s">
        <v>725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3" ht="18.75">
      <c r="A3" s="15" t="s">
        <v>45</v>
      </c>
      <c r="B3" s="13"/>
      <c r="C3" s="13"/>
      <c r="D3" s="13"/>
      <c r="E3" s="13"/>
      <c r="F3" s="13"/>
      <c r="G3" s="13"/>
      <c r="H3" s="13"/>
      <c r="I3" s="13"/>
      <c r="J3" s="13"/>
      <c r="K3" s="13"/>
    </row>
    <row r="6" spans="1:13" ht="15.75">
      <c r="A6" s="301" t="s">
        <v>579</v>
      </c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</row>
    <row r="7" spans="1:13"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</row>
    <row r="8" spans="1:13">
      <c r="A8" s="42" t="s">
        <v>726</v>
      </c>
      <c r="B8" s="297" t="s">
        <v>727</v>
      </c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>
        <f>+'Payroll 10-2019 to 9-2020'!AG27</f>
        <v>6690.26</v>
      </c>
    </row>
    <row r="9" spans="1:13">
      <c r="A9" s="42"/>
      <c r="B9" s="297" t="s">
        <v>728</v>
      </c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>
        <f>+'Payroll 10-2019 to 9-2020'!AG28</f>
        <v>12438.21</v>
      </c>
    </row>
    <row r="10" spans="1:13">
      <c r="A10" s="42"/>
      <c r="B10" s="297" t="s">
        <v>729</v>
      </c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>
        <f>+'Payroll 10-2019 to 9-2020'!AG29</f>
        <v>24199.920000000002</v>
      </c>
    </row>
    <row r="11" spans="1:13">
      <c r="A11" s="42"/>
      <c r="B11" s="297" t="s">
        <v>730</v>
      </c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>
        <f>+'Payroll 10-2019 to 9-2020'!AG30</f>
        <v>1524.62</v>
      </c>
    </row>
    <row r="12" spans="1:13">
      <c r="A12" s="42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</row>
    <row r="13" spans="1:13">
      <c r="A13" s="42" t="s">
        <v>752</v>
      </c>
      <c r="B13" s="297" t="s">
        <v>753</v>
      </c>
      <c r="C13" s="297"/>
      <c r="D13" s="297"/>
      <c r="E13" s="297"/>
      <c r="F13" s="297"/>
      <c r="G13" s="297"/>
      <c r="H13" s="297"/>
      <c r="I13" s="297"/>
      <c r="J13" s="297"/>
      <c r="K13" s="297"/>
      <c r="L13" s="297"/>
      <c r="M13" s="297">
        <f>+'Disposal Cost'!N30</f>
        <v>72818.392500000002</v>
      </c>
    </row>
    <row r="14" spans="1:13">
      <c r="A14" s="42"/>
      <c r="B14" s="297"/>
      <c r="C14" s="297"/>
      <c r="D14" s="297"/>
      <c r="E14" s="297"/>
      <c r="F14" s="297"/>
      <c r="G14" s="297"/>
      <c r="H14" s="297"/>
      <c r="I14" s="297"/>
      <c r="J14" s="297"/>
      <c r="K14" s="297"/>
      <c r="L14" s="297"/>
      <c r="M14" s="297"/>
    </row>
    <row r="15" spans="1:13">
      <c r="A15" s="42" t="s">
        <v>757</v>
      </c>
      <c r="B15" s="297" t="s">
        <v>754</v>
      </c>
      <c r="C15" s="297"/>
      <c r="D15" s="297"/>
      <c r="E15" s="297"/>
      <c r="F15" s="297"/>
      <c r="G15" s="297"/>
      <c r="H15" s="297"/>
      <c r="I15" s="297"/>
      <c r="J15" s="297"/>
      <c r="K15" s="297"/>
      <c r="L15" s="297"/>
      <c r="M15" s="297">
        <f>+'Insurance Cost'!K10</f>
        <v>10524.270000000004</v>
      </c>
    </row>
    <row r="16" spans="1:13">
      <c r="A16" s="42"/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</row>
    <row r="17" spans="1:13">
      <c r="A17" s="42" t="s">
        <v>779</v>
      </c>
      <c r="B17" s="297" t="s">
        <v>780</v>
      </c>
      <c r="C17" s="297"/>
      <c r="D17" s="297"/>
      <c r="E17" s="297"/>
      <c r="F17" s="297"/>
      <c r="G17" s="297"/>
      <c r="H17" s="297"/>
      <c r="I17" s="297"/>
      <c r="J17" s="297"/>
      <c r="K17" s="297"/>
      <c r="L17" s="297"/>
      <c r="M17" s="297">
        <f>+'Rate Case Cost'!H17</f>
        <v>12542.46</v>
      </c>
    </row>
    <row r="18" spans="1:13">
      <c r="A18" s="42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</row>
    <row r="19" spans="1:13">
      <c r="A19" s="42"/>
      <c r="B19" s="297"/>
      <c r="C19" s="297"/>
      <c r="D19" s="297"/>
      <c r="E19" s="297"/>
      <c r="F19" s="297"/>
      <c r="G19" s="297"/>
      <c r="H19" s="297"/>
      <c r="I19" s="297"/>
      <c r="J19" s="297"/>
      <c r="K19" s="297"/>
      <c r="L19" s="297"/>
      <c r="M19" s="297"/>
    </row>
    <row r="20" spans="1:13">
      <c r="A20" s="42"/>
      <c r="B20" s="297"/>
      <c r="C20" s="297"/>
      <c r="D20" s="297"/>
      <c r="E20" s="297"/>
      <c r="F20" s="297"/>
      <c r="G20" s="297"/>
      <c r="H20" s="297"/>
      <c r="I20" s="297"/>
      <c r="J20" s="297"/>
      <c r="K20" s="297"/>
      <c r="L20" s="297"/>
      <c r="M20" s="297"/>
    </row>
    <row r="21" spans="1:13">
      <c r="A21" s="42"/>
      <c r="B21" s="297"/>
      <c r="C21" s="297"/>
      <c r="D21" s="297"/>
      <c r="E21" s="297"/>
      <c r="F21" s="297"/>
      <c r="G21" s="297"/>
      <c r="H21" s="297"/>
      <c r="I21" s="297"/>
      <c r="J21" s="297"/>
      <c r="K21" s="297"/>
      <c r="L21" s="297"/>
      <c r="M21" s="297"/>
    </row>
    <row r="22" spans="1:13">
      <c r="A22" s="42"/>
      <c r="B22" s="297"/>
      <c r="C22" s="297"/>
      <c r="D22" s="297"/>
      <c r="E22" s="297"/>
      <c r="F22" s="297"/>
      <c r="G22" s="297"/>
      <c r="H22" s="297"/>
      <c r="I22" s="297"/>
      <c r="J22" s="297"/>
      <c r="K22" s="297"/>
      <c r="L22" s="297"/>
      <c r="M22" s="297"/>
    </row>
    <row r="23" spans="1:13">
      <c r="A23" s="42"/>
      <c r="B23" s="297"/>
      <c r="C23" s="297"/>
      <c r="D23" s="297"/>
      <c r="E23" s="297"/>
      <c r="F23" s="297"/>
      <c r="G23" s="297"/>
      <c r="H23" s="297"/>
      <c r="I23" s="297"/>
      <c r="J23" s="297"/>
      <c r="K23" s="297"/>
      <c r="L23" s="297"/>
      <c r="M23" s="297"/>
    </row>
    <row r="24" spans="1:13">
      <c r="A24" s="42"/>
      <c r="B24" s="297"/>
      <c r="C24" s="297"/>
      <c r="D24" s="297"/>
      <c r="E24" s="297"/>
      <c r="F24" s="297"/>
      <c r="G24" s="297"/>
      <c r="H24" s="297"/>
      <c r="I24" s="297"/>
      <c r="J24" s="297"/>
      <c r="K24" s="297"/>
      <c r="L24" s="297"/>
      <c r="M24" s="297"/>
    </row>
    <row r="25" spans="1:13">
      <c r="A25" s="42"/>
      <c r="B25" s="297"/>
      <c r="C25" s="297"/>
      <c r="D25" s="297"/>
      <c r="E25" s="297"/>
      <c r="F25" s="297"/>
      <c r="G25" s="297"/>
      <c r="H25" s="297"/>
      <c r="I25" s="297"/>
      <c r="J25" s="297"/>
      <c r="K25" s="297"/>
      <c r="L25" s="297"/>
      <c r="M25" s="297"/>
    </row>
    <row r="26" spans="1:13">
      <c r="A26" s="42"/>
      <c r="B26" s="297"/>
      <c r="C26" s="297"/>
      <c r="D26" s="297"/>
      <c r="E26" s="297"/>
      <c r="F26" s="297"/>
      <c r="G26" s="297"/>
      <c r="H26" s="297"/>
      <c r="I26" s="297"/>
      <c r="J26" s="297"/>
      <c r="K26" s="297"/>
      <c r="L26" s="297"/>
      <c r="M26" s="297"/>
    </row>
    <row r="27" spans="1:13">
      <c r="A27" s="42"/>
      <c r="B27" s="297"/>
      <c r="C27" s="297"/>
      <c r="D27" s="297"/>
      <c r="E27" s="297"/>
      <c r="F27" s="297"/>
      <c r="G27" s="297"/>
      <c r="H27" s="297"/>
      <c r="I27" s="297"/>
      <c r="J27" s="297"/>
      <c r="K27" s="297"/>
      <c r="L27" s="297"/>
      <c r="M27" s="297"/>
    </row>
    <row r="28" spans="1:13">
      <c r="A28" s="42"/>
      <c r="B28" s="297"/>
      <c r="C28" s="297"/>
      <c r="D28" s="297"/>
      <c r="E28" s="297"/>
      <c r="F28" s="297"/>
      <c r="G28" s="297"/>
      <c r="H28" s="297"/>
      <c r="I28" s="297"/>
      <c r="J28" s="297"/>
      <c r="K28" s="297"/>
      <c r="L28" s="297"/>
      <c r="M28" s="297"/>
    </row>
    <row r="29" spans="1:13">
      <c r="A29" s="42"/>
      <c r="B29" s="297"/>
      <c r="C29" s="297"/>
      <c r="D29" s="297"/>
      <c r="E29" s="297"/>
      <c r="F29" s="297"/>
      <c r="G29" s="297"/>
      <c r="H29" s="297"/>
      <c r="I29" s="297"/>
      <c r="J29" s="297"/>
      <c r="K29" s="297"/>
      <c r="L29" s="297"/>
      <c r="M29" s="297"/>
    </row>
    <row r="30" spans="1:13">
      <c r="A30" s="42"/>
      <c r="B30" s="297"/>
      <c r="C30" s="297"/>
      <c r="D30" s="297"/>
      <c r="E30" s="297"/>
      <c r="F30" s="297"/>
      <c r="G30" s="297"/>
      <c r="H30" s="297"/>
      <c r="I30" s="297"/>
      <c r="J30" s="297"/>
      <c r="K30" s="297"/>
      <c r="L30" s="297"/>
      <c r="M30" s="297"/>
    </row>
    <row r="31" spans="1:13">
      <c r="A31" s="42"/>
      <c r="B31" s="297"/>
      <c r="C31" s="297"/>
      <c r="D31" s="297"/>
      <c r="E31" s="297"/>
      <c r="F31" s="297"/>
      <c r="G31" s="297"/>
      <c r="H31" s="297"/>
      <c r="I31" s="297"/>
      <c r="J31" s="297"/>
      <c r="K31" s="297"/>
      <c r="L31" s="297"/>
      <c r="M31" s="297"/>
    </row>
    <row r="32" spans="1:13">
      <c r="A32" s="42"/>
      <c r="B32" s="297"/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</row>
    <row r="33" spans="1:13">
      <c r="A33" s="42"/>
      <c r="B33" s="297"/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</row>
    <row r="34" spans="1:13">
      <c r="A34" s="42"/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</row>
    <row r="35" spans="1:13">
      <c r="A35" s="42"/>
      <c r="B35" s="297"/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</row>
    <row r="36" spans="1:13">
      <c r="A36" s="42"/>
      <c r="B36" s="297"/>
      <c r="C36" s="297"/>
      <c r="D36" s="297"/>
      <c r="E36" s="297"/>
      <c r="F36" s="297"/>
      <c r="G36" s="297"/>
      <c r="H36" s="297"/>
      <c r="I36" s="297"/>
      <c r="J36" s="297"/>
      <c r="K36" s="297"/>
      <c r="L36" s="297"/>
      <c r="M36" s="297"/>
    </row>
    <row r="37" spans="1:13">
      <c r="A37" s="42"/>
      <c r="B37" s="297"/>
      <c r="C37" s="297"/>
      <c r="D37" s="297"/>
      <c r="E37" s="297"/>
      <c r="F37" s="297"/>
      <c r="G37" s="297"/>
      <c r="H37" s="297"/>
      <c r="I37" s="297"/>
      <c r="J37" s="297"/>
      <c r="K37" s="297"/>
      <c r="L37" s="297"/>
      <c r="M37" s="297"/>
    </row>
    <row r="38" spans="1:13">
      <c r="A38" s="42"/>
      <c r="B38" s="297"/>
      <c r="C38" s="297"/>
      <c r="D38" s="297"/>
      <c r="E38" s="297"/>
      <c r="F38" s="297"/>
      <c r="G38" s="297"/>
      <c r="H38" s="297"/>
      <c r="I38" s="297"/>
      <c r="J38" s="297"/>
      <c r="K38" s="297"/>
      <c r="L38" s="297"/>
      <c r="M38" s="297"/>
    </row>
    <row r="39" spans="1:13">
      <c r="A39" s="42"/>
      <c r="B39" s="297"/>
      <c r="C39" s="297"/>
      <c r="D39" s="297"/>
      <c r="E39" s="297"/>
      <c r="F39" s="297"/>
      <c r="G39" s="297"/>
      <c r="H39" s="297"/>
      <c r="I39" s="297"/>
      <c r="J39" s="297"/>
      <c r="K39" s="297"/>
      <c r="L39" s="297"/>
      <c r="M39" s="297"/>
    </row>
    <row r="40" spans="1:13">
      <c r="A40" s="42"/>
      <c r="B40" s="297"/>
      <c r="C40" s="297"/>
      <c r="D40" s="297"/>
      <c r="E40" s="297"/>
      <c r="F40" s="297"/>
      <c r="G40" s="297"/>
      <c r="H40" s="297"/>
      <c r="I40" s="297"/>
      <c r="J40" s="297"/>
      <c r="K40" s="297"/>
      <c r="L40" s="297"/>
      <c r="M40" s="297"/>
    </row>
    <row r="41" spans="1:13">
      <c r="A41" s="42"/>
      <c r="B41" s="297"/>
      <c r="C41" s="297"/>
      <c r="D41" s="297"/>
      <c r="E41" s="297"/>
      <c r="F41" s="297"/>
      <c r="G41" s="297"/>
      <c r="H41" s="297"/>
      <c r="I41" s="297"/>
      <c r="J41" s="297"/>
      <c r="K41" s="297"/>
      <c r="L41" s="297"/>
      <c r="M41" s="297"/>
    </row>
    <row r="42" spans="1:13">
      <c r="A42" s="42"/>
      <c r="B42" s="297"/>
      <c r="C42" s="297"/>
      <c r="D42" s="297"/>
      <c r="E42" s="297"/>
      <c r="F42" s="297"/>
      <c r="G42" s="297"/>
      <c r="H42" s="297"/>
      <c r="I42" s="297"/>
      <c r="J42" s="297"/>
      <c r="K42" s="297"/>
      <c r="L42" s="297"/>
      <c r="M42" s="297"/>
    </row>
    <row r="43" spans="1:13">
      <c r="A43" s="42"/>
      <c r="B43" s="297"/>
      <c r="C43" s="297"/>
      <c r="D43" s="297"/>
      <c r="E43" s="297"/>
      <c r="F43" s="297"/>
      <c r="G43" s="297"/>
      <c r="H43" s="297"/>
      <c r="I43" s="297"/>
      <c r="J43" s="297"/>
      <c r="K43" s="297"/>
      <c r="L43" s="297"/>
      <c r="M43" s="297"/>
    </row>
    <row r="44" spans="1:13">
      <c r="B44" s="297"/>
      <c r="C44" s="297"/>
      <c r="D44" s="297"/>
      <c r="E44" s="297"/>
      <c r="F44" s="297"/>
      <c r="G44" s="297"/>
      <c r="H44" s="297"/>
      <c r="I44" s="297"/>
      <c r="J44" s="297"/>
      <c r="K44" s="297"/>
      <c r="L44" s="297"/>
      <c r="M44" s="297"/>
    </row>
    <row r="45" spans="1:13">
      <c r="B45" s="297"/>
      <c r="C45" s="297"/>
      <c r="D45" s="297"/>
      <c r="E45" s="297"/>
      <c r="F45" s="297"/>
      <c r="G45" s="297"/>
      <c r="H45" s="297"/>
      <c r="I45" s="297"/>
      <c r="J45" s="297"/>
      <c r="K45" s="297"/>
      <c r="L45" s="297"/>
      <c r="M45" s="297"/>
    </row>
    <row r="46" spans="1:13">
      <c r="B46" s="297"/>
      <c r="C46" s="297"/>
      <c r="D46" s="297"/>
      <c r="E46" s="297"/>
      <c r="F46" s="297"/>
      <c r="G46" s="297"/>
      <c r="H46" s="297"/>
      <c r="I46" s="297"/>
      <c r="J46" s="297"/>
      <c r="K46" s="297"/>
      <c r="L46" s="297"/>
      <c r="M46" s="297"/>
    </row>
    <row r="47" spans="1:13">
      <c r="B47" s="297"/>
      <c r="C47" s="297"/>
      <c r="D47" s="297"/>
      <c r="E47" s="297"/>
      <c r="F47" s="297"/>
      <c r="G47" s="297"/>
      <c r="H47" s="297"/>
      <c r="I47" s="297"/>
      <c r="J47" s="297"/>
      <c r="K47" s="297"/>
      <c r="L47" s="297"/>
      <c r="M47" s="297"/>
    </row>
    <row r="48" spans="1:13">
      <c r="B48" s="297"/>
      <c r="C48" s="297"/>
      <c r="D48" s="297"/>
      <c r="E48" s="297"/>
      <c r="F48" s="297"/>
      <c r="G48" s="297"/>
      <c r="H48" s="297"/>
      <c r="I48" s="297"/>
      <c r="J48" s="297"/>
      <c r="K48" s="297"/>
      <c r="L48" s="297"/>
      <c r="M48" s="297"/>
    </row>
    <row r="49" spans="2:13">
      <c r="B49" s="297"/>
      <c r="C49" s="297"/>
      <c r="D49" s="297"/>
      <c r="E49" s="297"/>
      <c r="F49" s="297"/>
      <c r="G49" s="297"/>
      <c r="H49" s="297"/>
      <c r="I49" s="297"/>
      <c r="J49" s="297"/>
      <c r="K49" s="297"/>
      <c r="L49" s="297"/>
      <c r="M49" s="297"/>
    </row>
    <row r="50" spans="2:13">
      <c r="B50" s="297"/>
      <c r="C50" s="297"/>
      <c r="D50" s="297"/>
      <c r="E50" s="297"/>
      <c r="F50" s="297"/>
      <c r="G50" s="297"/>
      <c r="H50" s="297"/>
      <c r="I50" s="297"/>
      <c r="J50" s="297"/>
      <c r="K50" s="297"/>
      <c r="L50" s="297"/>
      <c r="M50" s="297"/>
    </row>
    <row r="51" spans="2:13">
      <c r="B51" s="297"/>
      <c r="C51" s="297"/>
      <c r="D51" s="297"/>
      <c r="E51" s="297"/>
      <c r="F51" s="297"/>
      <c r="G51" s="297"/>
      <c r="H51" s="297"/>
      <c r="I51" s="297"/>
      <c r="J51" s="297"/>
      <c r="K51" s="297"/>
      <c r="L51" s="297"/>
      <c r="M51" s="29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5C938-16C2-411E-A993-D475E1F37CE9}">
  <dimension ref="A1:T35"/>
  <sheetViews>
    <sheetView workbookViewId="0">
      <selection activeCell="G27" sqref="G27"/>
    </sheetView>
  </sheetViews>
  <sheetFormatPr defaultRowHeight="15"/>
  <cols>
    <col min="1" max="1" width="19" customWidth="1"/>
    <col min="2" max="2" width="15.28515625" customWidth="1"/>
    <col min="3" max="3" width="11.28515625" customWidth="1"/>
    <col min="4" max="4" width="15.140625" bestFit="1" customWidth="1"/>
    <col min="5" max="5" width="10.85546875" customWidth="1"/>
    <col min="6" max="6" width="16.140625" customWidth="1"/>
    <col min="7" max="7" width="12.7109375" customWidth="1"/>
    <col min="8" max="9" width="15.28515625" customWidth="1"/>
    <col min="10" max="10" width="13.140625" bestFit="1" customWidth="1"/>
    <col min="11" max="11" width="11.28515625" customWidth="1"/>
    <col min="12" max="12" width="13.28515625" bestFit="1" customWidth="1"/>
    <col min="13" max="13" width="14.7109375" customWidth="1"/>
    <col min="14" max="15" width="13.85546875" customWidth="1"/>
    <col min="16" max="16" width="21" bestFit="1" customWidth="1"/>
    <col min="17" max="17" width="2.5703125" customWidth="1"/>
  </cols>
  <sheetData>
    <row r="1" spans="1:20" ht="15.75">
      <c r="A1" s="352" t="s">
        <v>0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3"/>
      <c r="P1" s="353"/>
      <c r="Q1" s="8"/>
    </row>
    <row r="2" spans="1:20" ht="15.75">
      <c r="A2" s="352" t="s">
        <v>733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3"/>
      <c r="P2" s="353"/>
      <c r="Q2" s="8"/>
    </row>
    <row r="3" spans="1:20" ht="15.75">
      <c r="A3" s="352" t="s">
        <v>734</v>
      </c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3"/>
      <c r="P3" s="353"/>
      <c r="Q3" s="8"/>
    </row>
    <row r="4" spans="1:20" ht="15.75">
      <c r="A4" s="354"/>
      <c r="B4" s="354"/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5"/>
      <c r="P4" s="355"/>
      <c r="Q4" s="8"/>
    </row>
    <row r="5" spans="1:20" ht="15.7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229"/>
      <c r="Q5" s="8"/>
    </row>
    <row r="6" spans="1:20" ht="15.75">
      <c r="A6" s="3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229"/>
      <c r="Q6" s="8"/>
    </row>
    <row r="7" spans="1:20" ht="15.7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4" t="s">
        <v>735</v>
      </c>
      <c r="P7" s="229"/>
      <c r="Q7" s="8"/>
    </row>
    <row r="8" spans="1:20" ht="15.75">
      <c r="A8" s="8"/>
      <c r="B8" s="8"/>
      <c r="C8" s="356" t="s">
        <v>736</v>
      </c>
      <c r="D8" s="356" t="s">
        <v>737</v>
      </c>
      <c r="E8" s="356" t="s">
        <v>736</v>
      </c>
      <c r="F8" s="356" t="s">
        <v>738</v>
      </c>
      <c r="G8" s="356" t="s">
        <v>736</v>
      </c>
      <c r="H8" s="356" t="s">
        <v>739</v>
      </c>
      <c r="I8" s="356" t="s">
        <v>740</v>
      </c>
      <c r="J8" s="356" t="s">
        <v>741</v>
      </c>
      <c r="K8" s="356" t="s">
        <v>736</v>
      </c>
      <c r="L8" s="356" t="s">
        <v>742</v>
      </c>
      <c r="M8" s="356" t="s">
        <v>743</v>
      </c>
      <c r="N8" s="356" t="s">
        <v>2</v>
      </c>
      <c r="O8" s="356" t="s">
        <v>744</v>
      </c>
      <c r="P8" s="356" t="s">
        <v>745</v>
      </c>
      <c r="Q8" s="290"/>
      <c r="R8" s="357"/>
      <c r="S8" s="357"/>
      <c r="T8" s="357"/>
    </row>
    <row r="9" spans="1:20" ht="15.75">
      <c r="A9" s="8"/>
      <c r="B9" s="8"/>
      <c r="C9" s="290"/>
      <c r="D9" s="290">
        <v>113.25</v>
      </c>
      <c r="E9" s="290"/>
      <c r="F9" s="290">
        <v>113.25</v>
      </c>
      <c r="G9" s="290"/>
      <c r="H9" s="290">
        <v>70</v>
      </c>
      <c r="I9" s="290"/>
      <c r="J9" s="290"/>
      <c r="K9" s="290"/>
      <c r="L9" s="290"/>
      <c r="M9" s="290"/>
      <c r="N9" s="290"/>
      <c r="O9" s="290"/>
      <c r="P9" s="290"/>
      <c r="Q9" s="290"/>
      <c r="R9" s="357"/>
      <c r="S9" s="357"/>
      <c r="T9" s="357"/>
    </row>
    <row r="10" spans="1:20" ht="15.75">
      <c r="A10" s="3" t="s">
        <v>746</v>
      </c>
      <c r="B10" s="8"/>
      <c r="C10" s="290"/>
      <c r="D10" s="290"/>
      <c r="E10" s="290"/>
      <c r="F10" s="358"/>
      <c r="G10" s="358"/>
      <c r="H10" s="358"/>
      <c r="I10" s="358"/>
      <c r="J10" s="358"/>
      <c r="K10" s="358"/>
      <c r="L10" s="359"/>
      <c r="M10" s="290"/>
      <c r="N10" s="290"/>
      <c r="O10" s="290"/>
      <c r="P10" s="290"/>
      <c r="Q10" s="290"/>
      <c r="R10" s="357"/>
      <c r="S10" s="357"/>
      <c r="T10" s="357"/>
    </row>
    <row r="11" spans="1:20" ht="15.75">
      <c r="A11" s="360" t="s">
        <v>675</v>
      </c>
      <c r="B11" s="8"/>
      <c r="C11" s="290">
        <v>655.54</v>
      </c>
      <c r="D11" s="290">
        <f>+C11*113.25</f>
        <v>74239.904999999999</v>
      </c>
      <c r="E11" s="290">
        <v>256.44</v>
      </c>
      <c r="F11" s="361">
        <f>+E11*113.25</f>
        <v>29041.829999999998</v>
      </c>
      <c r="G11" s="361">
        <v>22.25</v>
      </c>
      <c r="H11" s="361">
        <f>+G11*70</f>
        <v>1557.5</v>
      </c>
      <c r="I11" s="361">
        <f>+C11+E11+G11</f>
        <v>934.23</v>
      </c>
      <c r="J11" s="361">
        <f>+D11+F11+H11</f>
        <v>104839.235</v>
      </c>
      <c r="K11" s="361">
        <v>10.805</v>
      </c>
      <c r="L11" s="362">
        <v>1326.05</v>
      </c>
      <c r="M11" s="290">
        <v>13670.28</v>
      </c>
      <c r="N11" s="290">
        <f t="shared" ref="N11:N22" si="0">+D11+F11+H11+L11+M11</f>
        <v>119835.565</v>
      </c>
      <c r="O11" s="290">
        <v>119835.57</v>
      </c>
      <c r="P11" s="290">
        <f t="shared" ref="P11:P22" si="1">+N11-O11</f>
        <v>-5.0000000046566129E-3</v>
      </c>
      <c r="Q11" s="290"/>
      <c r="R11" s="357"/>
      <c r="S11" s="357"/>
      <c r="T11" s="357"/>
    </row>
    <row r="12" spans="1:20" ht="15.75">
      <c r="A12" s="360" t="s">
        <v>676</v>
      </c>
      <c r="B12" s="8"/>
      <c r="C12" s="290">
        <v>565.52</v>
      </c>
      <c r="D12" s="290">
        <f t="shared" ref="D12:D22" si="2">+C12*113.25</f>
        <v>64045.14</v>
      </c>
      <c r="E12" s="290">
        <v>221.41</v>
      </c>
      <c r="F12" s="361">
        <f t="shared" ref="F12:F22" si="3">+E12*113.25</f>
        <v>25074.682499999999</v>
      </c>
      <c r="G12" s="361">
        <v>14.96</v>
      </c>
      <c r="H12" s="361">
        <f t="shared" ref="H12:H22" si="4">+G12*70</f>
        <v>1047.2</v>
      </c>
      <c r="I12" s="361">
        <f t="shared" ref="I12:J22" si="5">+C12+E12+G12</f>
        <v>801.89</v>
      </c>
      <c r="J12" s="361">
        <f t="shared" si="5"/>
        <v>90167.022499999992</v>
      </c>
      <c r="K12" s="361">
        <v>10.8</v>
      </c>
      <c r="L12" s="362">
        <v>1339.05</v>
      </c>
      <c r="M12" s="290">
        <v>10573.03</v>
      </c>
      <c r="N12" s="290">
        <f t="shared" si="0"/>
        <v>102079.10249999999</v>
      </c>
      <c r="O12" s="290">
        <v>102079.1</v>
      </c>
      <c r="P12" s="290">
        <f t="shared" si="1"/>
        <v>2.4999999877763912E-3</v>
      </c>
      <c r="Q12" s="290"/>
      <c r="R12" s="357"/>
      <c r="S12" s="357"/>
      <c r="T12" s="357"/>
    </row>
    <row r="13" spans="1:20" ht="15.75">
      <c r="A13" s="360" t="s">
        <v>677</v>
      </c>
      <c r="B13" s="8"/>
      <c r="C13" s="290">
        <v>592.12</v>
      </c>
      <c r="D13" s="290">
        <f t="shared" si="2"/>
        <v>67057.59</v>
      </c>
      <c r="E13" s="290">
        <v>209.72</v>
      </c>
      <c r="F13" s="361">
        <f t="shared" si="3"/>
        <v>23750.79</v>
      </c>
      <c r="G13" s="361">
        <v>16.14</v>
      </c>
      <c r="H13" s="361">
        <f t="shared" si="4"/>
        <v>1129.8</v>
      </c>
      <c r="I13" s="361">
        <f t="shared" si="5"/>
        <v>817.98</v>
      </c>
      <c r="J13" s="361">
        <f t="shared" si="5"/>
        <v>91938.180000000008</v>
      </c>
      <c r="K13" s="361">
        <v>9.26</v>
      </c>
      <c r="L13" s="362">
        <f t="shared" ref="L13:L20" si="6">+K13*123.93</f>
        <v>1147.5918000000001</v>
      </c>
      <c r="M13" s="290">
        <v>8390.07</v>
      </c>
      <c r="N13" s="290">
        <f t="shared" si="0"/>
        <v>101475.84179999999</v>
      </c>
      <c r="O13" s="290">
        <v>100328.25</v>
      </c>
      <c r="P13" s="290">
        <f t="shared" si="1"/>
        <v>1147.5917999999947</v>
      </c>
      <c r="Q13" s="290"/>
      <c r="R13" s="357"/>
      <c r="S13" s="357"/>
      <c r="T13" s="357"/>
    </row>
    <row r="14" spans="1:20" ht="15.75">
      <c r="A14" s="360" t="s">
        <v>678</v>
      </c>
      <c r="B14" s="8"/>
      <c r="C14" s="290">
        <v>619.35</v>
      </c>
      <c r="D14" s="290">
        <f t="shared" si="2"/>
        <v>70141.387499999997</v>
      </c>
      <c r="E14" s="290">
        <v>213.64</v>
      </c>
      <c r="F14" s="361">
        <f t="shared" si="3"/>
        <v>24194.73</v>
      </c>
      <c r="G14" s="361">
        <v>20.77</v>
      </c>
      <c r="H14" s="361">
        <f t="shared" si="4"/>
        <v>1453.8999999999999</v>
      </c>
      <c r="I14" s="361">
        <f t="shared" si="5"/>
        <v>853.76</v>
      </c>
      <c r="J14" s="361">
        <f t="shared" si="5"/>
        <v>95790.017499999987</v>
      </c>
      <c r="K14" s="361">
        <v>4.7629999999999999</v>
      </c>
      <c r="L14" s="362">
        <f t="shared" si="6"/>
        <v>590.27859000000001</v>
      </c>
      <c r="M14" s="290">
        <v>7961.5</v>
      </c>
      <c r="N14" s="290">
        <f t="shared" si="0"/>
        <v>104341.79608999999</v>
      </c>
      <c r="O14" s="290">
        <v>104899.12</v>
      </c>
      <c r="P14" s="290">
        <f t="shared" si="1"/>
        <v>-557.32391000000644</v>
      </c>
      <c r="Q14" s="290"/>
      <c r="R14" s="357"/>
      <c r="S14" s="357"/>
      <c r="T14" s="357"/>
    </row>
    <row r="15" spans="1:20" ht="15.75">
      <c r="A15" s="360" t="s">
        <v>679</v>
      </c>
      <c r="B15" s="8"/>
      <c r="C15" s="290">
        <v>538.84</v>
      </c>
      <c r="D15" s="290">
        <f t="shared" si="2"/>
        <v>61023.630000000005</v>
      </c>
      <c r="E15" s="290">
        <v>247.42</v>
      </c>
      <c r="F15" s="361">
        <f t="shared" si="3"/>
        <v>28020.314999999999</v>
      </c>
      <c r="G15" s="361">
        <v>21.62</v>
      </c>
      <c r="H15" s="361">
        <f t="shared" si="4"/>
        <v>1513.4</v>
      </c>
      <c r="I15" s="361">
        <f t="shared" si="5"/>
        <v>807.88</v>
      </c>
      <c r="J15" s="361">
        <f t="shared" si="5"/>
        <v>90557.345000000001</v>
      </c>
      <c r="K15" s="361">
        <v>11.31</v>
      </c>
      <c r="L15" s="362">
        <f t="shared" si="6"/>
        <v>1401.6483000000001</v>
      </c>
      <c r="M15" s="290">
        <v>11524.7</v>
      </c>
      <c r="N15" s="290">
        <f t="shared" si="0"/>
        <v>103483.6933</v>
      </c>
      <c r="O15" s="290">
        <v>102672.28</v>
      </c>
      <c r="P15" s="290">
        <f t="shared" si="1"/>
        <v>811.41330000000016</v>
      </c>
      <c r="Q15" s="290"/>
      <c r="R15" s="357"/>
      <c r="S15" s="357"/>
      <c r="T15" s="357"/>
    </row>
    <row r="16" spans="1:20" ht="15.75">
      <c r="A16" s="360" t="s">
        <v>558</v>
      </c>
      <c r="B16" s="8"/>
      <c r="C16" s="290">
        <v>591.86</v>
      </c>
      <c r="D16" s="290">
        <f t="shared" si="2"/>
        <v>67028.145000000004</v>
      </c>
      <c r="E16" s="290">
        <v>233.95</v>
      </c>
      <c r="F16" s="361">
        <f t="shared" si="3"/>
        <v>26494.837499999998</v>
      </c>
      <c r="G16" s="362">
        <v>20.91</v>
      </c>
      <c r="H16" s="361">
        <f t="shared" si="4"/>
        <v>1463.7</v>
      </c>
      <c r="I16" s="361">
        <f t="shared" si="5"/>
        <v>846.71999999999991</v>
      </c>
      <c r="J16" s="361">
        <f t="shared" si="5"/>
        <v>94986.682499999995</v>
      </c>
      <c r="K16" s="361">
        <v>11.085000000000001</v>
      </c>
      <c r="L16" s="362">
        <f t="shared" si="6"/>
        <v>1373.7640500000002</v>
      </c>
      <c r="M16" s="290">
        <v>9589.9500000000007</v>
      </c>
      <c r="N16" s="290">
        <f t="shared" si="0"/>
        <v>105950.39654999999</v>
      </c>
      <c r="O16" s="290">
        <v>105978.29</v>
      </c>
      <c r="P16" s="290">
        <f t="shared" si="1"/>
        <v>-27.893450000003213</v>
      </c>
      <c r="Q16" s="290"/>
      <c r="R16" s="357"/>
      <c r="S16" s="357"/>
      <c r="T16" s="357"/>
    </row>
    <row r="17" spans="1:20" ht="15.75">
      <c r="A17" s="360" t="s">
        <v>680</v>
      </c>
      <c r="B17" s="8"/>
      <c r="C17" s="290">
        <v>607.02</v>
      </c>
      <c r="D17" s="290">
        <f t="shared" si="2"/>
        <v>68745.014999999999</v>
      </c>
      <c r="E17" s="290">
        <v>209.48</v>
      </c>
      <c r="F17" s="361">
        <f t="shared" si="3"/>
        <v>23723.61</v>
      </c>
      <c r="G17" s="361">
        <v>23.89</v>
      </c>
      <c r="H17" s="361">
        <f t="shared" si="4"/>
        <v>1672.3</v>
      </c>
      <c r="I17" s="361">
        <f t="shared" si="5"/>
        <v>840.39</v>
      </c>
      <c r="J17" s="361">
        <f t="shared" si="5"/>
        <v>94140.925000000003</v>
      </c>
      <c r="K17" s="361">
        <v>3.355</v>
      </c>
      <c r="L17" s="362">
        <f t="shared" si="6"/>
        <v>415.78515000000004</v>
      </c>
      <c r="M17" s="290">
        <v>4890.1000000000004</v>
      </c>
      <c r="N17" s="290">
        <f t="shared" si="0"/>
        <v>99446.810150000005</v>
      </c>
      <c r="O17" s="290">
        <v>100457.16</v>
      </c>
      <c r="P17" s="290">
        <f t="shared" si="1"/>
        <v>-1010.3498499999987</v>
      </c>
      <c r="Q17" s="290"/>
      <c r="R17" s="357"/>
      <c r="S17" s="357"/>
      <c r="T17" s="357"/>
    </row>
    <row r="18" spans="1:20" ht="15.75">
      <c r="A18" s="360" t="s">
        <v>681</v>
      </c>
      <c r="B18" s="8"/>
      <c r="C18" s="290">
        <v>617.73</v>
      </c>
      <c r="D18" s="290">
        <f t="shared" si="2"/>
        <v>69957.922500000001</v>
      </c>
      <c r="E18" s="290">
        <v>199.64</v>
      </c>
      <c r="F18" s="361">
        <f t="shared" si="3"/>
        <v>22609.23</v>
      </c>
      <c r="G18" s="361">
        <v>3.42</v>
      </c>
      <c r="H18" s="361">
        <f t="shared" si="4"/>
        <v>239.4</v>
      </c>
      <c r="I18" s="361">
        <f t="shared" si="5"/>
        <v>820.79</v>
      </c>
      <c r="J18" s="361">
        <f t="shared" si="5"/>
        <v>92806.552499999991</v>
      </c>
      <c r="K18" s="361">
        <v>10.265000000000001</v>
      </c>
      <c r="L18" s="362">
        <f t="shared" si="6"/>
        <v>1272.1414500000001</v>
      </c>
      <c r="M18" s="290">
        <v>11430.1</v>
      </c>
      <c r="N18" s="290">
        <f t="shared" si="0"/>
        <v>105508.79394999999</v>
      </c>
      <c r="O18" s="290">
        <v>104651.31</v>
      </c>
      <c r="P18" s="290">
        <f t="shared" si="1"/>
        <v>857.48394999999437</v>
      </c>
      <c r="Q18" s="290"/>
      <c r="R18" s="357"/>
      <c r="S18" s="357"/>
      <c r="T18" s="357"/>
    </row>
    <row r="19" spans="1:20" ht="15.75">
      <c r="A19" s="360" t="s">
        <v>559</v>
      </c>
      <c r="B19" s="8"/>
      <c r="C19" s="290">
        <v>691.61</v>
      </c>
      <c r="D19" s="290">
        <f t="shared" si="2"/>
        <v>78324.832500000004</v>
      </c>
      <c r="E19" s="290">
        <v>224.12</v>
      </c>
      <c r="F19" s="361">
        <f t="shared" si="3"/>
        <v>25381.59</v>
      </c>
      <c r="G19" s="361"/>
      <c r="H19" s="361">
        <f t="shared" si="4"/>
        <v>0</v>
      </c>
      <c r="I19" s="361">
        <f t="shared" si="5"/>
        <v>915.73</v>
      </c>
      <c r="J19" s="361">
        <f t="shared" si="5"/>
        <v>103706.4225</v>
      </c>
      <c r="K19" s="361">
        <v>9.98</v>
      </c>
      <c r="L19" s="362">
        <f t="shared" si="6"/>
        <v>1236.8214</v>
      </c>
      <c r="M19" s="290">
        <v>7533.3</v>
      </c>
      <c r="N19" s="290">
        <f t="shared" si="0"/>
        <v>112476.5439</v>
      </c>
      <c r="O19" s="290">
        <v>111239.72</v>
      </c>
      <c r="P19" s="290">
        <f t="shared" si="1"/>
        <v>1236.8239000000031</v>
      </c>
      <c r="Q19" s="290"/>
      <c r="R19" s="357"/>
      <c r="S19" s="357"/>
      <c r="T19" s="357"/>
    </row>
    <row r="20" spans="1:20" ht="15.75">
      <c r="A20" s="360" t="s">
        <v>682</v>
      </c>
      <c r="B20" s="8"/>
      <c r="C20" s="290">
        <v>782.42</v>
      </c>
      <c r="D20" s="290">
        <f t="shared" si="2"/>
        <v>88609.065000000002</v>
      </c>
      <c r="E20" s="290">
        <v>333.46</v>
      </c>
      <c r="F20" s="361">
        <f t="shared" si="3"/>
        <v>37764.345000000001</v>
      </c>
      <c r="G20" s="361">
        <v>16.84</v>
      </c>
      <c r="H20" s="361">
        <f t="shared" si="4"/>
        <v>1178.8</v>
      </c>
      <c r="I20" s="361">
        <f t="shared" si="5"/>
        <v>1132.7199999999998</v>
      </c>
      <c r="J20" s="361">
        <f t="shared" si="5"/>
        <v>127552.21</v>
      </c>
      <c r="K20" s="361"/>
      <c r="L20" s="362">
        <f t="shared" si="6"/>
        <v>0</v>
      </c>
      <c r="M20" s="290">
        <v>11396.68</v>
      </c>
      <c r="N20" s="290">
        <f t="shared" si="0"/>
        <v>138948.89000000001</v>
      </c>
      <c r="O20" s="290">
        <v>141457.85999999999</v>
      </c>
      <c r="P20" s="290">
        <f t="shared" si="1"/>
        <v>-2508.9699999999721</v>
      </c>
      <c r="Q20" s="290"/>
      <c r="R20" s="357"/>
      <c r="S20" s="357"/>
      <c r="T20" s="357"/>
    </row>
    <row r="21" spans="1:20" ht="15.75">
      <c r="A21" s="360" t="s">
        <v>683</v>
      </c>
      <c r="B21" s="8"/>
      <c r="C21" s="290">
        <v>759.18</v>
      </c>
      <c r="D21" s="290">
        <f t="shared" si="2"/>
        <v>85977.134999999995</v>
      </c>
      <c r="E21" s="290">
        <v>263.31</v>
      </c>
      <c r="F21" s="361">
        <f t="shared" si="3"/>
        <v>29819.857500000002</v>
      </c>
      <c r="G21" s="361">
        <v>28.07</v>
      </c>
      <c r="H21" s="361">
        <f t="shared" si="4"/>
        <v>1964.9</v>
      </c>
      <c r="I21" s="361">
        <f t="shared" si="5"/>
        <v>1050.56</v>
      </c>
      <c r="J21" s="361">
        <f t="shared" si="5"/>
        <v>117761.89249999999</v>
      </c>
      <c r="K21" s="361">
        <v>11.835000000000001</v>
      </c>
      <c r="L21" s="362">
        <f>+K21*125.97</f>
        <v>1490.8549500000001</v>
      </c>
      <c r="M21" s="290">
        <v>13292.8</v>
      </c>
      <c r="N21" s="290">
        <f t="shared" si="0"/>
        <v>132545.54744999998</v>
      </c>
      <c r="O21" s="290">
        <v>131054.7</v>
      </c>
      <c r="P21" s="290">
        <f t="shared" si="1"/>
        <v>1490.8474499999866</v>
      </c>
      <c r="Q21" s="290"/>
      <c r="R21" s="357"/>
      <c r="S21" s="357"/>
      <c r="T21" s="357"/>
    </row>
    <row r="22" spans="1:20" ht="15.75">
      <c r="A22" s="360" t="s">
        <v>684</v>
      </c>
      <c r="B22" s="8"/>
      <c r="C22" s="296">
        <v>772.97</v>
      </c>
      <c r="D22" s="296">
        <f t="shared" si="2"/>
        <v>87538.852500000008</v>
      </c>
      <c r="E22" s="296">
        <v>381.16</v>
      </c>
      <c r="F22" s="363">
        <f t="shared" si="3"/>
        <v>43166.37</v>
      </c>
      <c r="G22" s="363">
        <v>24.11</v>
      </c>
      <c r="H22" s="363">
        <f t="shared" si="4"/>
        <v>1687.7</v>
      </c>
      <c r="I22" s="363">
        <f t="shared" si="5"/>
        <v>1178.24</v>
      </c>
      <c r="J22" s="363">
        <f t="shared" si="5"/>
        <v>132392.92250000002</v>
      </c>
      <c r="K22" s="363">
        <v>5.0750000000000002</v>
      </c>
      <c r="L22" s="363">
        <f>+K22*125.97</f>
        <v>639.29775000000006</v>
      </c>
      <c r="M22" s="296">
        <v>14679.2</v>
      </c>
      <c r="N22" s="296">
        <f t="shared" si="0"/>
        <v>147711.42025000002</v>
      </c>
      <c r="O22" s="296">
        <v>148562.97</v>
      </c>
      <c r="P22" s="296">
        <f t="shared" si="1"/>
        <v>-851.54974999997648</v>
      </c>
      <c r="Q22" s="290"/>
      <c r="R22" s="357"/>
      <c r="S22" s="357"/>
      <c r="T22" s="357"/>
    </row>
    <row r="23" spans="1:20" ht="15.75">
      <c r="A23" s="8"/>
      <c r="B23" s="8"/>
      <c r="C23" s="290">
        <f>SUM(C11:C22)</f>
        <v>7794.16</v>
      </c>
      <c r="D23" s="290">
        <f>SUM(D11:D22)</f>
        <v>882688.62000000011</v>
      </c>
      <c r="E23" s="290">
        <f t="shared" ref="E23:P23" si="7">SUM(E11:E22)</f>
        <v>2993.75</v>
      </c>
      <c r="F23" s="290">
        <f t="shared" si="7"/>
        <v>339042.18749999994</v>
      </c>
      <c r="G23" s="290">
        <f t="shared" si="7"/>
        <v>212.98000000000002</v>
      </c>
      <c r="H23" s="290">
        <f t="shared" si="7"/>
        <v>14908.599999999999</v>
      </c>
      <c r="I23" s="290">
        <f t="shared" si="7"/>
        <v>11000.89</v>
      </c>
      <c r="J23" s="290">
        <f t="shared" si="7"/>
        <v>1236639.4075</v>
      </c>
      <c r="K23" s="290">
        <f t="shared" si="7"/>
        <v>98.533000000000001</v>
      </c>
      <c r="L23" s="290">
        <f t="shared" si="7"/>
        <v>12233.283440000001</v>
      </c>
      <c r="M23" s="290">
        <f t="shared" si="7"/>
        <v>124931.71000000002</v>
      </c>
      <c r="N23" s="290">
        <f t="shared" si="7"/>
        <v>1373804.4009400001</v>
      </c>
      <c r="O23" s="290">
        <f t="shared" si="7"/>
        <v>1373216.33</v>
      </c>
      <c r="P23" s="290">
        <f t="shared" si="7"/>
        <v>588.07094000000507</v>
      </c>
      <c r="Q23" s="290"/>
      <c r="R23" s="357"/>
      <c r="S23" s="357"/>
      <c r="T23" s="357"/>
    </row>
    <row r="24" spans="1:20" ht="15.75">
      <c r="A24" s="8"/>
      <c r="B24" s="8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/>
      <c r="P24" s="290"/>
      <c r="Q24" s="290"/>
      <c r="R24" s="357"/>
      <c r="S24" s="357"/>
      <c r="T24" s="357"/>
    </row>
    <row r="25" spans="1:20" ht="15.75">
      <c r="A25" s="290" t="s">
        <v>747</v>
      </c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>
        <v>639.29999999999995</v>
      </c>
      <c r="P25" s="290"/>
      <c r="Q25" s="290"/>
      <c r="R25" s="357"/>
      <c r="S25" s="357"/>
      <c r="T25" s="357"/>
    </row>
    <row r="26" spans="1:20" ht="15.75">
      <c r="A26" s="290" t="s">
        <v>748</v>
      </c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296"/>
      <c r="O26" s="296">
        <v>-51.23</v>
      </c>
      <c r="P26" s="290"/>
      <c r="Q26" s="290"/>
      <c r="R26" s="357"/>
      <c r="S26" s="357"/>
      <c r="T26" s="357"/>
    </row>
    <row r="27" spans="1:20" ht="15.75">
      <c r="A27" s="290" t="s">
        <v>745</v>
      </c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>
        <f>SUM(N23:N26)</f>
        <v>1373804.4009400001</v>
      </c>
      <c r="O27" s="290">
        <f>SUM(O23:O26)</f>
        <v>1373804.4000000001</v>
      </c>
      <c r="P27" s="290">
        <f>SUM(P23:P26)</f>
        <v>588.07094000000507</v>
      </c>
      <c r="Q27" s="290"/>
      <c r="R27" s="357"/>
      <c r="S27" s="357"/>
      <c r="T27" s="357"/>
    </row>
    <row r="28" spans="1:20" ht="15.75">
      <c r="C28" s="357"/>
      <c r="D28" s="357"/>
      <c r="E28" s="357"/>
      <c r="F28" s="357"/>
      <c r="G28" s="357"/>
      <c r="H28" s="357"/>
      <c r="I28" s="357"/>
      <c r="J28" s="357"/>
      <c r="K28" s="357"/>
      <c r="L28" s="357"/>
      <c r="M28" s="357"/>
      <c r="N28" s="357"/>
      <c r="O28" s="357"/>
      <c r="P28" s="357"/>
      <c r="Q28" s="357"/>
      <c r="R28" s="357"/>
      <c r="S28" s="357"/>
      <c r="T28" s="357"/>
    </row>
    <row r="29" spans="1:20" ht="15.75">
      <c r="A29" s="290" t="s">
        <v>749</v>
      </c>
      <c r="C29" s="357"/>
      <c r="D29" s="357"/>
      <c r="E29" s="357"/>
      <c r="F29" s="357"/>
      <c r="G29" s="357"/>
      <c r="H29" s="357"/>
      <c r="I29" s="357"/>
      <c r="J29" s="357"/>
      <c r="K29" s="357"/>
      <c r="L29" s="357"/>
      <c r="M29" s="357"/>
      <c r="N29" s="357"/>
      <c r="O29" s="357"/>
      <c r="P29" s="357"/>
      <c r="Q29" s="357"/>
      <c r="R29" s="357"/>
      <c r="S29" s="357"/>
      <c r="T29" s="357"/>
    </row>
    <row r="30" spans="1:20" ht="15.75">
      <c r="A30" s="290" t="s">
        <v>750</v>
      </c>
      <c r="D30" s="364">
        <f>6.75*C23</f>
        <v>52610.58</v>
      </c>
      <c r="E30" s="357"/>
      <c r="F30" s="364">
        <f>6.75*E23</f>
        <v>20207.8125</v>
      </c>
      <c r="G30" s="357"/>
      <c r="H30" s="357"/>
      <c r="I30" s="357"/>
      <c r="J30" s="363">
        <f>+D30+F30+H30</f>
        <v>72818.392500000002</v>
      </c>
      <c r="K30" s="357"/>
      <c r="L30" s="364">
        <v>0</v>
      </c>
      <c r="M30" s="357"/>
      <c r="N30" s="296">
        <f>+D30+F30+H30+L30+M30</f>
        <v>72818.392500000002</v>
      </c>
      <c r="O30" s="296">
        <f>+E30+G30+I30+M30+N30</f>
        <v>72818.392500000002</v>
      </c>
      <c r="P30" s="357"/>
      <c r="Q30" s="357"/>
      <c r="R30" s="357"/>
      <c r="S30" s="357"/>
      <c r="T30" s="357"/>
    </row>
    <row r="31" spans="1:20" ht="15.75">
      <c r="A31" s="290" t="s">
        <v>751</v>
      </c>
      <c r="C31" s="357"/>
      <c r="D31" s="357">
        <f>+D23+D30</f>
        <v>935299.20000000007</v>
      </c>
      <c r="E31" s="357"/>
      <c r="F31" s="357">
        <f>+F23+F30</f>
        <v>359249.99999999994</v>
      </c>
      <c r="G31" s="357"/>
      <c r="H31" s="357"/>
      <c r="I31" s="357"/>
      <c r="J31" s="357">
        <f>+J23+J30</f>
        <v>1309457.8</v>
      </c>
      <c r="K31" s="357"/>
      <c r="L31" s="357">
        <f>+L23+L30</f>
        <v>12233.283440000001</v>
      </c>
      <c r="M31" s="357"/>
      <c r="N31" s="357">
        <f>+N27+N30</f>
        <v>1446622.7934400002</v>
      </c>
      <c r="O31" s="357">
        <f>+O27+O30</f>
        <v>1446622.7925000002</v>
      </c>
      <c r="P31" s="357"/>
      <c r="Q31" s="357"/>
      <c r="R31" s="357"/>
      <c r="S31" s="357"/>
      <c r="T31" s="357"/>
    </row>
    <row r="32" spans="1:20" ht="15.75">
      <c r="C32" s="357"/>
      <c r="D32" s="357"/>
      <c r="E32" s="357"/>
      <c r="F32" s="357"/>
      <c r="G32" s="357"/>
      <c r="H32" s="357"/>
      <c r="I32" s="357"/>
      <c r="J32" s="357"/>
      <c r="K32" s="357"/>
      <c r="L32" s="357"/>
      <c r="M32" s="357"/>
      <c r="N32" s="357"/>
      <c r="O32" s="357"/>
      <c r="P32" s="357"/>
      <c r="Q32" s="357"/>
      <c r="R32" s="357"/>
      <c r="S32" s="357"/>
      <c r="T32" s="357"/>
    </row>
    <row r="34" spans="14:14">
      <c r="N34" s="297"/>
    </row>
    <row r="35" spans="14:14">
      <c r="N35" s="2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98AEF6A6CC730499F10683CE471E941" ma:contentTypeVersion="52" ma:contentTypeDescription="" ma:contentTypeScope="" ma:versionID="8de7f9813800515703e4e12221c2c47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2020-12-15T08:00:00+00:00</OpenedDate>
    <SignificantOrder xmlns="dc463f71-b30c-4ab2-9473-d307f9d35888">false</SignificantOrder>
    <Date1 xmlns="dc463f71-b30c-4ab2-9473-d307f9d35888">2020-12-15T08:00:00+00:00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PENINSULA SANITATION SERVICE, INC.</CaseCompanyNames>
    <Nickname xmlns="http://schemas.microsoft.com/sharepoint/v3" xsi:nil="true"/>
    <DocketNumber xmlns="dc463f71-b30c-4ab2-9473-d307f9d35888">200987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FA3BBF4D-3AAF-41B4-BC29-EA71335F6E4E}"/>
</file>

<file path=customXml/itemProps2.xml><?xml version="1.0" encoding="utf-8"?>
<ds:datastoreItem xmlns:ds="http://schemas.openxmlformats.org/officeDocument/2006/customXml" ds:itemID="{68090520-6A8A-4E58-BA56-D9A9D55B9F11}"/>
</file>

<file path=customXml/itemProps3.xml><?xml version="1.0" encoding="utf-8"?>
<ds:datastoreItem xmlns:ds="http://schemas.openxmlformats.org/officeDocument/2006/customXml" ds:itemID="{3F663E20-7F72-4DB6-A9ED-9A64E78927EA}"/>
</file>

<file path=customXml/itemProps4.xml><?xml version="1.0" encoding="utf-8"?>
<ds:datastoreItem xmlns:ds="http://schemas.openxmlformats.org/officeDocument/2006/customXml" ds:itemID="{999AB7B1-3C21-4369-8199-F974255E753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22</vt:i4>
      </vt:variant>
    </vt:vector>
  </HeadingPairs>
  <TitlesOfParts>
    <vt:vector size="43" baseType="lpstr">
      <vt:lpstr>Lurito</vt:lpstr>
      <vt:lpstr>Balance Sheet 9-30-2020</vt:lpstr>
      <vt:lpstr>Monthly P&amp;L</vt:lpstr>
      <vt:lpstr>Pro Forma</vt:lpstr>
      <vt:lpstr>Restating Entries</vt:lpstr>
      <vt:lpstr>Restating Entry Explanation</vt:lpstr>
      <vt:lpstr>Pro Forma Entries</vt:lpstr>
      <vt:lpstr>Pro Forma Entry Explanation</vt:lpstr>
      <vt:lpstr>Disposal Cost</vt:lpstr>
      <vt:lpstr>Disposal Cost Increase</vt:lpstr>
      <vt:lpstr>Regulatory Depreciation</vt:lpstr>
      <vt:lpstr>Rents</vt:lpstr>
      <vt:lpstr>Revenue</vt:lpstr>
      <vt:lpstr>Price Out</vt:lpstr>
      <vt:lpstr>Advertising-Dues</vt:lpstr>
      <vt:lpstr>Meals-Entertainment &amp; Travel</vt:lpstr>
      <vt:lpstr>Fuel Cost</vt:lpstr>
      <vt:lpstr>Payroll 10-2019 to 9-2020</vt:lpstr>
      <vt:lpstr>Insurance Cost</vt:lpstr>
      <vt:lpstr>Rate Case Cost</vt:lpstr>
      <vt:lpstr>Affiliated Interest</vt:lpstr>
      <vt:lpstr>Lurito!Debt_Rate</vt:lpstr>
      <vt:lpstr>Lurito!debtP</vt:lpstr>
      <vt:lpstr>Lurito!Equity_percent</vt:lpstr>
      <vt:lpstr>Lurito!equityP</vt:lpstr>
      <vt:lpstr>Lurito!expenses</vt:lpstr>
      <vt:lpstr>Lurito!Investment</vt:lpstr>
      <vt:lpstr>Lurito!Pfd_weighted</vt:lpstr>
      <vt:lpstr>Lurito!Print_Area</vt:lpstr>
      <vt:lpstr>'Monthly P&amp;L'!Print_Area</vt:lpstr>
      <vt:lpstr>'Price Out'!Print_Area</vt:lpstr>
      <vt:lpstr>'Pro Forma'!Print_Area</vt:lpstr>
      <vt:lpstr>'Monthly P&amp;L'!Print_Titles</vt:lpstr>
      <vt:lpstr>'Price Out'!Print_Titles</vt:lpstr>
      <vt:lpstr>'Pro Forma'!Print_Titles</vt:lpstr>
      <vt:lpstr>Lurito!regDebt_weighted</vt:lpstr>
      <vt:lpstr>Lurito!Revenue</vt:lpstr>
      <vt:lpstr>slope</vt:lpstr>
      <vt:lpstr>Lurito!taxrate</vt:lpstr>
      <vt:lpstr>y_inter1</vt:lpstr>
      <vt:lpstr>y_inter2</vt:lpstr>
      <vt:lpstr>y_inter3</vt:lpstr>
      <vt:lpstr>y_inter4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Weldon Burton</dc:creator>
  <cp:lastModifiedBy>Weldon Burton</cp:lastModifiedBy>
  <cp:lastPrinted>2020-12-13T21:27:07Z</cp:lastPrinted>
  <dcterms:created xsi:type="dcterms:W3CDTF">2020-11-03T17:51:09Z</dcterms:created>
  <dcterms:modified xsi:type="dcterms:W3CDTF">2020-12-15T22:48:59Z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0x0101006E56B4D1795A2E4DB2F0B01679ED314A00C98AEF6A6CC730499F10683CE471E941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