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0" yWindow="120" windowWidth="19200" windowHeight="7365"/>
  </bookViews>
  <sheets>
    <sheet name="Lead E" sheetId="1" r:id="rId1"/>
    <sheet name="storm" sheetId="18" r:id="rId2"/>
  </sheets>
  <definedNames>
    <definedName name="_xlnm.Print_Area" localSheetId="0">'Lead E'!$A$4:$G$35</definedName>
  </definedNames>
  <calcPr calcId="162913"/>
</workbook>
</file>

<file path=xl/calcChain.xml><?xml version="1.0" encoding="utf-8"?>
<calcChain xmlns="http://schemas.openxmlformats.org/spreadsheetml/2006/main">
  <c r="H29" i="1" l="1"/>
  <c r="H23" i="1"/>
  <c r="H22" i="1"/>
  <c r="H70" i="18"/>
  <c r="H78" i="18" s="1"/>
  <c r="G70" i="18"/>
  <c r="G78" i="18" s="1"/>
  <c r="H71" i="18"/>
  <c r="G71" i="18"/>
  <c r="F71" i="18"/>
  <c r="H69" i="18"/>
  <c r="H77" i="18" s="1"/>
  <c r="H79" i="18" s="1"/>
  <c r="H68" i="18"/>
  <c r="H67" i="18"/>
  <c r="H66" i="18"/>
  <c r="H65" i="18"/>
  <c r="G69" i="18"/>
  <c r="G77" i="18" s="1"/>
  <c r="G68" i="18"/>
  <c r="G67" i="18"/>
  <c r="G66" i="18"/>
  <c r="G65" i="18"/>
  <c r="F68" i="18"/>
  <c r="F67" i="18"/>
  <c r="F66" i="18"/>
  <c r="F65" i="18"/>
  <c r="I65" i="18" s="1"/>
  <c r="F70" i="18"/>
  <c r="F69" i="18"/>
  <c r="F22" i="1"/>
  <c r="E22" i="1"/>
  <c r="F21" i="1"/>
  <c r="E21" i="1"/>
  <c r="F20" i="1"/>
  <c r="E20" i="1"/>
  <c r="F19" i="1"/>
  <c r="E19" i="1"/>
  <c r="F18" i="1"/>
  <c r="E18" i="1"/>
  <c r="E29" i="1"/>
  <c r="I67" i="18" l="1"/>
  <c r="I70" i="18"/>
  <c r="F78" i="18"/>
  <c r="G79" i="18"/>
  <c r="I69" i="18"/>
  <c r="I66" i="18"/>
  <c r="F77" i="18"/>
  <c r="F79" i="18" s="1"/>
  <c r="I68" i="18"/>
  <c r="I71" i="18"/>
  <c r="I77" i="18" l="1"/>
  <c r="F29" i="1" l="1"/>
  <c r="D29" i="1"/>
  <c r="C29" i="1"/>
  <c r="I58" i="18"/>
  <c r="C23" i="1" s="1"/>
  <c r="I59" i="18"/>
  <c r="I60" i="18"/>
  <c r="I61" i="18"/>
  <c r="I62" i="18"/>
  <c r="D23" i="1" l="1"/>
  <c r="H82" i="18"/>
  <c r="F82" i="18"/>
  <c r="G82" i="18"/>
  <c r="C22" i="1"/>
  <c r="D22" i="1"/>
  <c r="I82" i="18" l="1"/>
  <c r="G22" i="1"/>
  <c r="G29" i="1"/>
  <c r="F59" i="18"/>
  <c r="G59" i="18"/>
  <c r="H59" i="18"/>
  <c r="F60" i="18"/>
  <c r="G60" i="18"/>
  <c r="H60" i="18"/>
  <c r="F61" i="18"/>
  <c r="G61" i="18"/>
  <c r="H61" i="18"/>
  <c r="F62" i="18"/>
  <c r="G62" i="18"/>
  <c r="E23" i="1" s="1"/>
  <c r="H62" i="18"/>
  <c r="F23" i="1" s="1"/>
  <c r="G58" i="18"/>
  <c r="G72" i="18" s="1"/>
  <c r="H58" i="18"/>
  <c r="F58" i="18"/>
  <c r="D21" i="1"/>
  <c r="D20" i="1"/>
  <c r="D19" i="1"/>
  <c r="D18" i="1"/>
  <c r="C21" i="1"/>
  <c r="C20" i="1"/>
  <c r="C19" i="1"/>
  <c r="C18" i="1"/>
  <c r="A16" i="1"/>
  <c r="A17" i="1" s="1"/>
  <c r="A18" i="1" s="1"/>
  <c r="A19" i="1" s="1"/>
  <c r="A20" i="1" s="1"/>
  <c r="G23" i="1" l="1"/>
  <c r="F72" i="18"/>
  <c r="I79" i="18"/>
  <c r="G83" i="18"/>
  <c r="G73" i="18"/>
  <c r="G84" i="18"/>
  <c r="H72" i="18"/>
  <c r="I78" i="18"/>
  <c r="E24" i="1"/>
  <c r="E26" i="1" s="1"/>
  <c r="E31" i="1" s="1"/>
  <c r="G21" i="1"/>
  <c r="G20" i="1"/>
  <c r="G19" i="1"/>
  <c r="D24" i="1"/>
  <c r="D26" i="1" s="1"/>
  <c r="G18" i="1"/>
  <c r="F24" i="1"/>
  <c r="F26" i="1" s="1"/>
  <c r="F31" i="1" s="1"/>
  <c r="A22" i="1"/>
  <c r="A21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C24" i="1"/>
  <c r="C26" i="1" s="1"/>
  <c r="C31" i="1" s="1"/>
  <c r="H83" i="18" l="1"/>
  <c r="H73" i="18"/>
  <c r="H84" i="18"/>
  <c r="I72" i="18"/>
  <c r="I73" i="18" s="1"/>
  <c r="F83" i="18"/>
  <c r="I83" i="18" s="1"/>
  <c r="F84" i="18"/>
  <c r="F73" i="18"/>
  <c r="D31" i="1"/>
  <c r="G24" i="1"/>
  <c r="G26" i="1" s="1"/>
  <c r="G31" i="1" s="1"/>
  <c r="G33" i="1" s="1"/>
  <c r="G35" i="1" s="1"/>
  <c r="I84" i="18" l="1"/>
</calcChain>
</file>

<file path=xl/sharedStrings.xml><?xml version="1.0" encoding="utf-8"?>
<sst xmlns="http://schemas.openxmlformats.org/spreadsheetml/2006/main" count="165" uniqueCount="113">
  <si>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</si>
  <si>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</si>
  <si>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</si>
  <si>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</si>
  <si>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</si>
  <si>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</si>
  <si>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</si>
  <si>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</si>
  <si>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</si>
  <si>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</si>
  <si>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</si>
  <si>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</si>
  <si>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</si>
  <si>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>INCREASE (DECREASE) OPERATING EXPENSE (LINE 11-LINE 14)</t>
  </si>
  <si>
    <t>COMMISSION BASIS REPORT</t>
  </si>
  <si>
    <t xml:space="preserve">  TWELVE MONTHS ENDED 12/31/14</t>
  </si>
  <si>
    <t xml:space="preserve">  TWELVE MONTHS ENDED 12/31/15</t>
  </si>
  <si>
    <t xml:space="preserve">  TWELVE MONTHS ENDED 12/31/16</t>
  </si>
  <si>
    <t>INCREASE (DECREASE) NOI</t>
  </si>
  <si>
    <t>Overall Result</t>
  </si>
  <si>
    <t xml:space="preserve">  TWELVE MONTHS ENDED 12/31/17 </t>
  </si>
  <si>
    <t xml:space="preserve">  TWELVE MONTHS ENDED 12/31/18</t>
  </si>
  <si>
    <t>INCREASE (DECREASE) FIT @ 21% (LINE 46 X 21%)</t>
  </si>
  <si>
    <t>CO Order</t>
  </si>
  <si>
    <t xml:space="preserve">  STORM DAMAGE EXPENSE (TEST YEAR)</t>
  </si>
  <si>
    <t>FOR THE 12ME TWELVE MONTHS ENDED DECEMBER 31, 2019</t>
  </si>
  <si>
    <t>Project type</t>
  </si>
  <si>
    <t>Regulatory indicator</t>
  </si>
  <si>
    <t>Fiscal year</t>
  </si>
  <si>
    <t>Result</t>
  </si>
  <si>
    <t>Amount</t>
  </si>
  <si>
    <t xml:space="preserve">  TWELVE MONTHS ENDED 12/31/19</t>
  </si>
  <si>
    <t>CHARGED TO EXPENSE  12 MONTH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</si>
  <si>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</si>
  <si>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</si>
  <si>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</si>
  <si>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</si>
  <si>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</si>
  <si>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</si>
  <si>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</si>
  <si>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</si>
  <si>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</si>
  <si>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</si>
  <si>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</si>
  <si>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</si>
  <si>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</si>
  <si>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</si>
  <si>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</si>
  <si>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</si>
  <si>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</si>
  <si>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Filter</t>
  </si>
  <si>
    <t>Table</t>
  </si>
  <si>
    <t>Aux. Acct Asgmt</t>
  </si>
  <si>
    <t>Aux.Acct Assgn Type</t>
  </si>
  <si>
    <t>FERC Account\Cost Element</t>
  </si>
  <si>
    <t>Assessment Use-Taxes</t>
  </si>
  <si>
    <t>Assessment Use-Benefits</t>
  </si>
  <si>
    <t>Net expense excluding benefits and taxes</t>
  </si>
  <si>
    <t>Capital Reg. Ind.</t>
  </si>
  <si>
    <t>Chart of accounts</t>
  </si>
  <si>
    <t>Company code</t>
  </si>
  <si>
    <t>Cost Element</t>
  </si>
  <si>
    <t>Costing Sheet</t>
  </si>
  <si>
    <t>Employee Group</t>
  </si>
  <si>
    <t>Employee</t>
  </si>
  <si>
    <t>Equipment</t>
  </si>
  <si>
    <t>FERC Account</t>
  </si>
  <si>
    <t>Fiscal year/period</t>
  </si>
  <si>
    <t>001/2014..012/2019</t>
  </si>
  <si>
    <t>Functional Area (CO)</t>
  </si>
  <si>
    <t>Functional area</t>
  </si>
  <si>
    <t>G/L Account</t>
  </si>
  <si>
    <t>Job</t>
  </si>
  <si>
    <t>Key Figures</t>
  </si>
  <si>
    <t>,Amount</t>
  </si>
  <si>
    <t>Leading Order</t>
  </si>
  <si>
    <t>MAT Code</t>
  </si>
  <si>
    <t>Material</t>
  </si>
  <si>
    <t>Notification</t>
  </si>
  <si>
    <t>OMRC WBS</t>
  </si>
  <si>
    <t>Org. Unit</t>
  </si>
  <si>
    <t>Partner company code</t>
  </si>
  <si>
    <t>Partner Object Type</t>
  </si>
  <si>
    <t>Partner object</t>
  </si>
  <si>
    <t>Plant</t>
  </si>
  <si>
    <t>Position</t>
  </si>
  <si>
    <t>Project Type-WBS</t>
  </si>
  <si>
    <t>Project</t>
  </si>
  <si>
    <t>Regulatory Indicator</t>
  </si>
  <si>
    <t>Regulatory Not Relev</t>
  </si>
  <si>
    <t>Resp Cost Ctr-Order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</si>
  <si>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</si>
  <si>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</si>
  <si>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</si>
  <si>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</si>
  <si>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</si>
  <si>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</si>
  <si>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</si>
  <si>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</si>
  <si>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Assessment Use-Taxes, Assessment Use-Benefits, Net expense excluding benefits and taxes</t>
  </si>
  <si>
    <t>570, 571, 583, 584, 592, 593, 594</t>
  </si>
  <si>
    <t>OS O&amp;M Storm, 57 Electric T&amp;D O&amp;M Storm-DO NOT USE</t>
  </si>
  <si>
    <t>Type</t>
  </si>
  <si>
    <t>2019 for 6 Year Average</t>
  </si>
  <si>
    <t>2019 Test Year</t>
  </si>
  <si>
    <t>2018 for 6 Year Average</t>
  </si>
  <si>
    <t>2018 Per SAP</t>
  </si>
  <si>
    <t>2018 Correction (Note 1)</t>
  </si>
  <si>
    <t>2019 Correction (Note 1)</t>
  </si>
  <si>
    <t>(Note 1)</t>
  </si>
  <si>
    <t>and should have been expensed.</t>
  </si>
  <si>
    <t>Correction to SAP data for storm under $500,000 threshold that was erroneously deferred in 2018</t>
  </si>
  <si>
    <t>&lt;--- Check and follow for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</si>
</sst>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1" fontId="3" fillId="0" borderId="0" xfId="0" applyNumberFormat="1" applyFont="1" applyFill="1" applyAlignment="1" applyProtection="1">
      <alignment horizontal="left"/>
      <protection locked="0"/>
    </xf>
    <xf numFmtId="6" fontId="0" fillId="0" borderId="0" xfId="0" applyNumberFormat="1" applyFill="1" applyAlignment="1"/>
    <xf numFmtId="6" fontId="0" fillId="0" borderId="0" xfId="0" applyNumberFormat="1" applyBorder="1"/>
    <xf numFmtId="6" fontId="0" fillId="0" borderId="3" xfId="0" applyNumberFormat="1" applyBorder="1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topLeftCell="A4" zoomScale="98" zoomScaleNormal="98" workbookViewId="0">
      <selection activeCell="J18" sqref="J18"/>
    </sheetView>
  </sheetViews>
  <sheetFormatPr defaultColWidth="8.85546875" defaultRowHeight="15" x14ac:dyDescent="0.25"/>
  <cols>
    <col min="1" max="1" width="5.42578125" style="9" bestFit="1" customWidth="1"/>
    <col min="2" max="2" width="47.85546875" style="9" customWidth="1"/>
    <col min="3" max="3" width="13.28515625" style="9" bestFit="1" customWidth="1"/>
    <col min="4" max="6" width="13.7109375" style="9" bestFit="1" customWidth="1"/>
    <col min="7" max="7" width="12.7109375" style="9" customWidth="1"/>
    <col min="8" max="8" width="4.42578125" style="9" bestFit="1" customWidth="1"/>
    <col min="9" max="9" width="12" style="9" customWidth="1"/>
    <col min="10" max="10" width="12.28515625" style="9" customWidth="1"/>
    <col min="11" max="253" width="8.85546875" style="9"/>
    <col min="254" max="254" width="5.42578125" style="9" bestFit="1" customWidth="1"/>
    <col min="255" max="255" width="69.42578125" style="9" customWidth="1"/>
    <col min="256" max="256" width="12.85546875" style="9" bestFit="1" customWidth="1"/>
    <col min="257" max="257" width="13.140625" style="9" customWidth="1"/>
    <col min="258" max="258" width="12.7109375" style="9" customWidth="1"/>
    <col min="259" max="259" width="13.5703125" style="9" customWidth="1"/>
    <col min="260" max="509" width="8.85546875" style="9"/>
    <col min="510" max="510" width="5.42578125" style="9" bestFit="1" customWidth="1"/>
    <col min="511" max="511" width="69.42578125" style="9" customWidth="1"/>
    <col min="512" max="512" width="12.85546875" style="9" bestFit="1" customWidth="1"/>
    <col min="513" max="513" width="13.140625" style="9" customWidth="1"/>
    <col min="514" max="514" width="12.7109375" style="9" customWidth="1"/>
    <col min="515" max="515" width="13.5703125" style="9" customWidth="1"/>
    <col min="516" max="765" width="8.85546875" style="9"/>
    <col min="766" max="766" width="5.42578125" style="9" bestFit="1" customWidth="1"/>
    <col min="767" max="767" width="69.42578125" style="9" customWidth="1"/>
    <col min="768" max="768" width="12.85546875" style="9" bestFit="1" customWidth="1"/>
    <col min="769" max="769" width="13.140625" style="9" customWidth="1"/>
    <col min="770" max="770" width="12.7109375" style="9" customWidth="1"/>
    <col min="771" max="771" width="13.5703125" style="9" customWidth="1"/>
    <col min="772" max="1021" width="8.85546875" style="9"/>
    <col min="1022" max="1022" width="5.42578125" style="9" bestFit="1" customWidth="1"/>
    <col min="1023" max="1023" width="69.42578125" style="9" customWidth="1"/>
    <col min="1024" max="1024" width="12.85546875" style="9" bestFit="1" customWidth="1"/>
    <col min="1025" max="1025" width="13.140625" style="9" customWidth="1"/>
    <col min="1026" max="1026" width="12.7109375" style="9" customWidth="1"/>
    <col min="1027" max="1027" width="13.5703125" style="9" customWidth="1"/>
    <col min="1028" max="1277" width="8.85546875" style="9"/>
    <col min="1278" max="1278" width="5.42578125" style="9" bestFit="1" customWidth="1"/>
    <col min="1279" max="1279" width="69.42578125" style="9" customWidth="1"/>
    <col min="1280" max="1280" width="12.85546875" style="9" bestFit="1" customWidth="1"/>
    <col min="1281" max="1281" width="13.140625" style="9" customWidth="1"/>
    <col min="1282" max="1282" width="12.7109375" style="9" customWidth="1"/>
    <col min="1283" max="1283" width="13.5703125" style="9" customWidth="1"/>
    <col min="1284" max="1533" width="8.85546875" style="9"/>
    <col min="1534" max="1534" width="5.42578125" style="9" bestFit="1" customWidth="1"/>
    <col min="1535" max="1535" width="69.42578125" style="9" customWidth="1"/>
    <col min="1536" max="1536" width="12.85546875" style="9" bestFit="1" customWidth="1"/>
    <col min="1537" max="1537" width="13.140625" style="9" customWidth="1"/>
    <col min="1538" max="1538" width="12.7109375" style="9" customWidth="1"/>
    <col min="1539" max="1539" width="13.5703125" style="9" customWidth="1"/>
    <col min="1540" max="1789" width="8.85546875" style="9"/>
    <col min="1790" max="1790" width="5.42578125" style="9" bestFit="1" customWidth="1"/>
    <col min="1791" max="1791" width="69.42578125" style="9" customWidth="1"/>
    <col min="1792" max="1792" width="12.85546875" style="9" bestFit="1" customWidth="1"/>
    <col min="1793" max="1793" width="13.140625" style="9" customWidth="1"/>
    <col min="1794" max="1794" width="12.7109375" style="9" customWidth="1"/>
    <col min="1795" max="1795" width="13.5703125" style="9" customWidth="1"/>
    <col min="1796" max="2045" width="8.85546875" style="9"/>
    <col min="2046" max="2046" width="5.42578125" style="9" bestFit="1" customWidth="1"/>
    <col min="2047" max="2047" width="69.42578125" style="9" customWidth="1"/>
    <col min="2048" max="2048" width="12.85546875" style="9" bestFit="1" customWidth="1"/>
    <col min="2049" max="2049" width="13.140625" style="9" customWidth="1"/>
    <col min="2050" max="2050" width="12.7109375" style="9" customWidth="1"/>
    <col min="2051" max="2051" width="13.5703125" style="9" customWidth="1"/>
    <col min="2052" max="2301" width="8.85546875" style="9"/>
    <col min="2302" max="2302" width="5.42578125" style="9" bestFit="1" customWidth="1"/>
    <col min="2303" max="2303" width="69.42578125" style="9" customWidth="1"/>
    <col min="2304" max="2304" width="12.85546875" style="9" bestFit="1" customWidth="1"/>
    <col min="2305" max="2305" width="13.140625" style="9" customWidth="1"/>
    <col min="2306" max="2306" width="12.7109375" style="9" customWidth="1"/>
    <col min="2307" max="2307" width="13.5703125" style="9" customWidth="1"/>
    <col min="2308" max="2557" width="8.85546875" style="9"/>
    <col min="2558" max="2558" width="5.42578125" style="9" bestFit="1" customWidth="1"/>
    <col min="2559" max="2559" width="69.42578125" style="9" customWidth="1"/>
    <col min="2560" max="2560" width="12.85546875" style="9" bestFit="1" customWidth="1"/>
    <col min="2561" max="2561" width="13.140625" style="9" customWidth="1"/>
    <col min="2562" max="2562" width="12.7109375" style="9" customWidth="1"/>
    <col min="2563" max="2563" width="13.5703125" style="9" customWidth="1"/>
    <col min="2564" max="2813" width="8.85546875" style="9"/>
    <col min="2814" max="2814" width="5.42578125" style="9" bestFit="1" customWidth="1"/>
    <col min="2815" max="2815" width="69.42578125" style="9" customWidth="1"/>
    <col min="2816" max="2816" width="12.85546875" style="9" bestFit="1" customWidth="1"/>
    <col min="2817" max="2817" width="13.140625" style="9" customWidth="1"/>
    <col min="2818" max="2818" width="12.7109375" style="9" customWidth="1"/>
    <col min="2819" max="2819" width="13.5703125" style="9" customWidth="1"/>
    <col min="2820" max="3069" width="8.85546875" style="9"/>
    <col min="3070" max="3070" width="5.42578125" style="9" bestFit="1" customWidth="1"/>
    <col min="3071" max="3071" width="69.42578125" style="9" customWidth="1"/>
    <col min="3072" max="3072" width="12.85546875" style="9" bestFit="1" customWidth="1"/>
    <col min="3073" max="3073" width="13.140625" style="9" customWidth="1"/>
    <col min="3074" max="3074" width="12.7109375" style="9" customWidth="1"/>
    <col min="3075" max="3075" width="13.5703125" style="9" customWidth="1"/>
    <col min="3076" max="3325" width="8.85546875" style="9"/>
    <col min="3326" max="3326" width="5.42578125" style="9" bestFit="1" customWidth="1"/>
    <col min="3327" max="3327" width="69.42578125" style="9" customWidth="1"/>
    <col min="3328" max="3328" width="12.85546875" style="9" bestFit="1" customWidth="1"/>
    <col min="3329" max="3329" width="13.140625" style="9" customWidth="1"/>
    <col min="3330" max="3330" width="12.7109375" style="9" customWidth="1"/>
    <col min="3331" max="3331" width="13.5703125" style="9" customWidth="1"/>
    <col min="3332" max="3581" width="8.85546875" style="9"/>
    <col min="3582" max="3582" width="5.42578125" style="9" bestFit="1" customWidth="1"/>
    <col min="3583" max="3583" width="69.42578125" style="9" customWidth="1"/>
    <col min="3584" max="3584" width="12.85546875" style="9" bestFit="1" customWidth="1"/>
    <col min="3585" max="3585" width="13.140625" style="9" customWidth="1"/>
    <col min="3586" max="3586" width="12.7109375" style="9" customWidth="1"/>
    <col min="3587" max="3587" width="13.5703125" style="9" customWidth="1"/>
    <col min="3588" max="3837" width="8.85546875" style="9"/>
    <col min="3838" max="3838" width="5.42578125" style="9" bestFit="1" customWidth="1"/>
    <col min="3839" max="3839" width="69.42578125" style="9" customWidth="1"/>
    <col min="3840" max="3840" width="12.85546875" style="9" bestFit="1" customWidth="1"/>
    <col min="3841" max="3841" width="13.140625" style="9" customWidth="1"/>
    <col min="3842" max="3842" width="12.7109375" style="9" customWidth="1"/>
    <col min="3843" max="3843" width="13.5703125" style="9" customWidth="1"/>
    <col min="3844" max="4093" width="8.85546875" style="9"/>
    <col min="4094" max="4094" width="5.42578125" style="9" bestFit="1" customWidth="1"/>
    <col min="4095" max="4095" width="69.42578125" style="9" customWidth="1"/>
    <col min="4096" max="4096" width="12.85546875" style="9" bestFit="1" customWidth="1"/>
    <col min="4097" max="4097" width="13.140625" style="9" customWidth="1"/>
    <col min="4098" max="4098" width="12.7109375" style="9" customWidth="1"/>
    <col min="4099" max="4099" width="13.5703125" style="9" customWidth="1"/>
    <col min="4100" max="4349" width="8.85546875" style="9"/>
    <col min="4350" max="4350" width="5.42578125" style="9" bestFit="1" customWidth="1"/>
    <col min="4351" max="4351" width="69.42578125" style="9" customWidth="1"/>
    <col min="4352" max="4352" width="12.85546875" style="9" bestFit="1" customWidth="1"/>
    <col min="4353" max="4353" width="13.140625" style="9" customWidth="1"/>
    <col min="4354" max="4354" width="12.7109375" style="9" customWidth="1"/>
    <col min="4355" max="4355" width="13.5703125" style="9" customWidth="1"/>
    <col min="4356" max="4605" width="8.85546875" style="9"/>
    <col min="4606" max="4606" width="5.42578125" style="9" bestFit="1" customWidth="1"/>
    <col min="4607" max="4607" width="69.42578125" style="9" customWidth="1"/>
    <col min="4608" max="4608" width="12.85546875" style="9" bestFit="1" customWidth="1"/>
    <col min="4609" max="4609" width="13.140625" style="9" customWidth="1"/>
    <col min="4610" max="4610" width="12.7109375" style="9" customWidth="1"/>
    <col min="4611" max="4611" width="13.5703125" style="9" customWidth="1"/>
    <col min="4612" max="4861" width="8.85546875" style="9"/>
    <col min="4862" max="4862" width="5.42578125" style="9" bestFit="1" customWidth="1"/>
    <col min="4863" max="4863" width="69.42578125" style="9" customWidth="1"/>
    <col min="4864" max="4864" width="12.85546875" style="9" bestFit="1" customWidth="1"/>
    <col min="4865" max="4865" width="13.140625" style="9" customWidth="1"/>
    <col min="4866" max="4866" width="12.7109375" style="9" customWidth="1"/>
    <col min="4867" max="4867" width="13.5703125" style="9" customWidth="1"/>
    <col min="4868" max="5117" width="8.85546875" style="9"/>
    <col min="5118" max="5118" width="5.42578125" style="9" bestFit="1" customWidth="1"/>
    <col min="5119" max="5119" width="69.42578125" style="9" customWidth="1"/>
    <col min="5120" max="5120" width="12.85546875" style="9" bestFit="1" customWidth="1"/>
    <col min="5121" max="5121" width="13.140625" style="9" customWidth="1"/>
    <col min="5122" max="5122" width="12.7109375" style="9" customWidth="1"/>
    <col min="5123" max="5123" width="13.5703125" style="9" customWidth="1"/>
    <col min="5124" max="5373" width="8.85546875" style="9"/>
    <col min="5374" max="5374" width="5.42578125" style="9" bestFit="1" customWidth="1"/>
    <col min="5375" max="5375" width="69.42578125" style="9" customWidth="1"/>
    <col min="5376" max="5376" width="12.85546875" style="9" bestFit="1" customWidth="1"/>
    <col min="5377" max="5377" width="13.140625" style="9" customWidth="1"/>
    <col min="5378" max="5378" width="12.7109375" style="9" customWidth="1"/>
    <col min="5379" max="5379" width="13.5703125" style="9" customWidth="1"/>
    <col min="5380" max="5629" width="8.85546875" style="9"/>
    <col min="5630" max="5630" width="5.42578125" style="9" bestFit="1" customWidth="1"/>
    <col min="5631" max="5631" width="69.42578125" style="9" customWidth="1"/>
    <col min="5632" max="5632" width="12.85546875" style="9" bestFit="1" customWidth="1"/>
    <col min="5633" max="5633" width="13.140625" style="9" customWidth="1"/>
    <col min="5634" max="5634" width="12.7109375" style="9" customWidth="1"/>
    <col min="5635" max="5635" width="13.5703125" style="9" customWidth="1"/>
    <col min="5636" max="5885" width="8.85546875" style="9"/>
    <col min="5886" max="5886" width="5.42578125" style="9" bestFit="1" customWidth="1"/>
    <col min="5887" max="5887" width="69.42578125" style="9" customWidth="1"/>
    <col min="5888" max="5888" width="12.85546875" style="9" bestFit="1" customWidth="1"/>
    <col min="5889" max="5889" width="13.140625" style="9" customWidth="1"/>
    <col min="5890" max="5890" width="12.7109375" style="9" customWidth="1"/>
    <col min="5891" max="5891" width="13.5703125" style="9" customWidth="1"/>
    <col min="5892" max="6141" width="8.85546875" style="9"/>
    <col min="6142" max="6142" width="5.42578125" style="9" bestFit="1" customWidth="1"/>
    <col min="6143" max="6143" width="69.42578125" style="9" customWidth="1"/>
    <col min="6144" max="6144" width="12.85546875" style="9" bestFit="1" customWidth="1"/>
    <col min="6145" max="6145" width="13.140625" style="9" customWidth="1"/>
    <col min="6146" max="6146" width="12.7109375" style="9" customWidth="1"/>
    <col min="6147" max="6147" width="13.5703125" style="9" customWidth="1"/>
    <col min="6148" max="6397" width="8.85546875" style="9"/>
    <col min="6398" max="6398" width="5.42578125" style="9" bestFit="1" customWidth="1"/>
    <col min="6399" max="6399" width="69.42578125" style="9" customWidth="1"/>
    <col min="6400" max="6400" width="12.85546875" style="9" bestFit="1" customWidth="1"/>
    <col min="6401" max="6401" width="13.140625" style="9" customWidth="1"/>
    <col min="6402" max="6402" width="12.7109375" style="9" customWidth="1"/>
    <col min="6403" max="6403" width="13.5703125" style="9" customWidth="1"/>
    <col min="6404" max="6653" width="8.85546875" style="9"/>
    <col min="6654" max="6654" width="5.42578125" style="9" bestFit="1" customWidth="1"/>
    <col min="6655" max="6655" width="69.42578125" style="9" customWidth="1"/>
    <col min="6656" max="6656" width="12.85546875" style="9" bestFit="1" customWidth="1"/>
    <col min="6657" max="6657" width="13.140625" style="9" customWidth="1"/>
    <col min="6658" max="6658" width="12.7109375" style="9" customWidth="1"/>
    <col min="6659" max="6659" width="13.5703125" style="9" customWidth="1"/>
    <col min="6660" max="6909" width="8.85546875" style="9"/>
    <col min="6910" max="6910" width="5.42578125" style="9" bestFit="1" customWidth="1"/>
    <col min="6911" max="6911" width="69.42578125" style="9" customWidth="1"/>
    <col min="6912" max="6912" width="12.85546875" style="9" bestFit="1" customWidth="1"/>
    <col min="6913" max="6913" width="13.140625" style="9" customWidth="1"/>
    <col min="6914" max="6914" width="12.7109375" style="9" customWidth="1"/>
    <col min="6915" max="6915" width="13.5703125" style="9" customWidth="1"/>
    <col min="6916" max="7165" width="8.85546875" style="9"/>
    <col min="7166" max="7166" width="5.42578125" style="9" bestFit="1" customWidth="1"/>
    <col min="7167" max="7167" width="69.42578125" style="9" customWidth="1"/>
    <col min="7168" max="7168" width="12.85546875" style="9" bestFit="1" customWidth="1"/>
    <col min="7169" max="7169" width="13.140625" style="9" customWidth="1"/>
    <col min="7170" max="7170" width="12.7109375" style="9" customWidth="1"/>
    <col min="7171" max="7171" width="13.5703125" style="9" customWidth="1"/>
    <col min="7172" max="7421" width="8.85546875" style="9"/>
    <col min="7422" max="7422" width="5.42578125" style="9" bestFit="1" customWidth="1"/>
    <col min="7423" max="7423" width="69.42578125" style="9" customWidth="1"/>
    <col min="7424" max="7424" width="12.85546875" style="9" bestFit="1" customWidth="1"/>
    <col min="7425" max="7425" width="13.140625" style="9" customWidth="1"/>
    <col min="7426" max="7426" width="12.7109375" style="9" customWidth="1"/>
    <col min="7427" max="7427" width="13.5703125" style="9" customWidth="1"/>
    <col min="7428" max="7677" width="8.85546875" style="9"/>
    <col min="7678" max="7678" width="5.42578125" style="9" bestFit="1" customWidth="1"/>
    <col min="7679" max="7679" width="69.42578125" style="9" customWidth="1"/>
    <col min="7680" max="7680" width="12.85546875" style="9" bestFit="1" customWidth="1"/>
    <col min="7681" max="7681" width="13.140625" style="9" customWidth="1"/>
    <col min="7682" max="7682" width="12.7109375" style="9" customWidth="1"/>
    <col min="7683" max="7683" width="13.5703125" style="9" customWidth="1"/>
    <col min="7684" max="7933" width="8.85546875" style="9"/>
    <col min="7934" max="7934" width="5.42578125" style="9" bestFit="1" customWidth="1"/>
    <col min="7935" max="7935" width="69.42578125" style="9" customWidth="1"/>
    <col min="7936" max="7936" width="12.85546875" style="9" bestFit="1" customWidth="1"/>
    <col min="7937" max="7937" width="13.140625" style="9" customWidth="1"/>
    <col min="7938" max="7938" width="12.7109375" style="9" customWidth="1"/>
    <col min="7939" max="7939" width="13.5703125" style="9" customWidth="1"/>
    <col min="7940" max="8189" width="8.85546875" style="9"/>
    <col min="8190" max="8190" width="5.42578125" style="9" bestFit="1" customWidth="1"/>
    <col min="8191" max="8191" width="69.42578125" style="9" customWidth="1"/>
    <col min="8192" max="8192" width="12.85546875" style="9" bestFit="1" customWidth="1"/>
    <col min="8193" max="8193" width="13.140625" style="9" customWidth="1"/>
    <col min="8194" max="8194" width="12.7109375" style="9" customWidth="1"/>
    <col min="8195" max="8195" width="13.5703125" style="9" customWidth="1"/>
    <col min="8196" max="8445" width="8.85546875" style="9"/>
    <col min="8446" max="8446" width="5.42578125" style="9" bestFit="1" customWidth="1"/>
    <col min="8447" max="8447" width="69.42578125" style="9" customWidth="1"/>
    <col min="8448" max="8448" width="12.85546875" style="9" bestFit="1" customWidth="1"/>
    <col min="8449" max="8449" width="13.140625" style="9" customWidth="1"/>
    <col min="8450" max="8450" width="12.7109375" style="9" customWidth="1"/>
    <col min="8451" max="8451" width="13.5703125" style="9" customWidth="1"/>
    <col min="8452" max="8701" width="8.85546875" style="9"/>
    <col min="8702" max="8702" width="5.42578125" style="9" bestFit="1" customWidth="1"/>
    <col min="8703" max="8703" width="69.42578125" style="9" customWidth="1"/>
    <col min="8704" max="8704" width="12.85546875" style="9" bestFit="1" customWidth="1"/>
    <col min="8705" max="8705" width="13.140625" style="9" customWidth="1"/>
    <col min="8706" max="8706" width="12.7109375" style="9" customWidth="1"/>
    <col min="8707" max="8707" width="13.5703125" style="9" customWidth="1"/>
    <col min="8708" max="8957" width="8.85546875" style="9"/>
    <col min="8958" max="8958" width="5.42578125" style="9" bestFit="1" customWidth="1"/>
    <col min="8959" max="8959" width="69.42578125" style="9" customWidth="1"/>
    <col min="8960" max="8960" width="12.85546875" style="9" bestFit="1" customWidth="1"/>
    <col min="8961" max="8961" width="13.140625" style="9" customWidth="1"/>
    <col min="8962" max="8962" width="12.7109375" style="9" customWidth="1"/>
    <col min="8963" max="8963" width="13.5703125" style="9" customWidth="1"/>
    <col min="8964" max="9213" width="8.85546875" style="9"/>
    <col min="9214" max="9214" width="5.42578125" style="9" bestFit="1" customWidth="1"/>
    <col min="9215" max="9215" width="69.42578125" style="9" customWidth="1"/>
    <col min="9216" max="9216" width="12.85546875" style="9" bestFit="1" customWidth="1"/>
    <col min="9217" max="9217" width="13.140625" style="9" customWidth="1"/>
    <col min="9218" max="9218" width="12.7109375" style="9" customWidth="1"/>
    <col min="9219" max="9219" width="13.5703125" style="9" customWidth="1"/>
    <col min="9220" max="9469" width="8.85546875" style="9"/>
    <col min="9470" max="9470" width="5.42578125" style="9" bestFit="1" customWidth="1"/>
    <col min="9471" max="9471" width="69.42578125" style="9" customWidth="1"/>
    <col min="9472" max="9472" width="12.85546875" style="9" bestFit="1" customWidth="1"/>
    <col min="9473" max="9473" width="13.140625" style="9" customWidth="1"/>
    <col min="9474" max="9474" width="12.7109375" style="9" customWidth="1"/>
    <col min="9475" max="9475" width="13.5703125" style="9" customWidth="1"/>
    <col min="9476" max="9725" width="8.85546875" style="9"/>
    <col min="9726" max="9726" width="5.42578125" style="9" bestFit="1" customWidth="1"/>
    <col min="9727" max="9727" width="69.42578125" style="9" customWidth="1"/>
    <col min="9728" max="9728" width="12.85546875" style="9" bestFit="1" customWidth="1"/>
    <col min="9729" max="9729" width="13.140625" style="9" customWidth="1"/>
    <col min="9730" max="9730" width="12.7109375" style="9" customWidth="1"/>
    <col min="9731" max="9731" width="13.5703125" style="9" customWidth="1"/>
    <col min="9732" max="9981" width="8.85546875" style="9"/>
    <col min="9982" max="9982" width="5.42578125" style="9" bestFit="1" customWidth="1"/>
    <col min="9983" max="9983" width="69.42578125" style="9" customWidth="1"/>
    <col min="9984" max="9984" width="12.85546875" style="9" bestFit="1" customWidth="1"/>
    <col min="9985" max="9985" width="13.140625" style="9" customWidth="1"/>
    <col min="9986" max="9986" width="12.7109375" style="9" customWidth="1"/>
    <col min="9987" max="9987" width="13.5703125" style="9" customWidth="1"/>
    <col min="9988" max="10237" width="8.85546875" style="9"/>
    <col min="10238" max="10238" width="5.42578125" style="9" bestFit="1" customWidth="1"/>
    <col min="10239" max="10239" width="69.42578125" style="9" customWidth="1"/>
    <col min="10240" max="10240" width="12.85546875" style="9" bestFit="1" customWidth="1"/>
    <col min="10241" max="10241" width="13.140625" style="9" customWidth="1"/>
    <col min="10242" max="10242" width="12.7109375" style="9" customWidth="1"/>
    <col min="10243" max="10243" width="13.5703125" style="9" customWidth="1"/>
    <col min="10244" max="10493" width="8.85546875" style="9"/>
    <col min="10494" max="10494" width="5.42578125" style="9" bestFit="1" customWidth="1"/>
    <col min="10495" max="10495" width="69.42578125" style="9" customWidth="1"/>
    <col min="10496" max="10496" width="12.85546875" style="9" bestFit="1" customWidth="1"/>
    <col min="10497" max="10497" width="13.140625" style="9" customWidth="1"/>
    <col min="10498" max="10498" width="12.7109375" style="9" customWidth="1"/>
    <col min="10499" max="10499" width="13.5703125" style="9" customWidth="1"/>
    <col min="10500" max="10749" width="8.85546875" style="9"/>
    <col min="10750" max="10750" width="5.42578125" style="9" bestFit="1" customWidth="1"/>
    <col min="10751" max="10751" width="69.42578125" style="9" customWidth="1"/>
    <col min="10752" max="10752" width="12.85546875" style="9" bestFit="1" customWidth="1"/>
    <col min="10753" max="10753" width="13.140625" style="9" customWidth="1"/>
    <col min="10754" max="10754" width="12.7109375" style="9" customWidth="1"/>
    <col min="10755" max="10755" width="13.5703125" style="9" customWidth="1"/>
    <col min="10756" max="11005" width="8.85546875" style="9"/>
    <col min="11006" max="11006" width="5.42578125" style="9" bestFit="1" customWidth="1"/>
    <col min="11007" max="11007" width="69.42578125" style="9" customWidth="1"/>
    <col min="11008" max="11008" width="12.85546875" style="9" bestFit="1" customWidth="1"/>
    <col min="11009" max="11009" width="13.140625" style="9" customWidth="1"/>
    <col min="11010" max="11010" width="12.7109375" style="9" customWidth="1"/>
    <col min="11011" max="11011" width="13.5703125" style="9" customWidth="1"/>
    <col min="11012" max="11261" width="8.85546875" style="9"/>
    <col min="11262" max="11262" width="5.42578125" style="9" bestFit="1" customWidth="1"/>
    <col min="11263" max="11263" width="69.42578125" style="9" customWidth="1"/>
    <col min="11264" max="11264" width="12.85546875" style="9" bestFit="1" customWidth="1"/>
    <col min="11265" max="11265" width="13.140625" style="9" customWidth="1"/>
    <col min="11266" max="11266" width="12.7109375" style="9" customWidth="1"/>
    <col min="11267" max="11267" width="13.5703125" style="9" customWidth="1"/>
    <col min="11268" max="11517" width="8.85546875" style="9"/>
    <col min="11518" max="11518" width="5.42578125" style="9" bestFit="1" customWidth="1"/>
    <col min="11519" max="11519" width="69.42578125" style="9" customWidth="1"/>
    <col min="11520" max="11520" width="12.85546875" style="9" bestFit="1" customWidth="1"/>
    <col min="11521" max="11521" width="13.140625" style="9" customWidth="1"/>
    <col min="11522" max="11522" width="12.7109375" style="9" customWidth="1"/>
    <col min="11523" max="11523" width="13.5703125" style="9" customWidth="1"/>
    <col min="11524" max="11773" width="8.85546875" style="9"/>
    <col min="11774" max="11774" width="5.42578125" style="9" bestFit="1" customWidth="1"/>
    <col min="11775" max="11775" width="69.42578125" style="9" customWidth="1"/>
    <col min="11776" max="11776" width="12.85546875" style="9" bestFit="1" customWidth="1"/>
    <col min="11777" max="11777" width="13.140625" style="9" customWidth="1"/>
    <col min="11778" max="11778" width="12.7109375" style="9" customWidth="1"/>
    <col min="11779" max="11779" width="13.5703125" style="9" customWidth="1"/>
    <col min="11780" max="12029" width="8.85546875" style="9"/>
    <col min="12030" max="12030" width="5.42578125" style="9" bestFit="1" customWidth="1"/>
    <col min="12031" max="12031" width="69.42578125" style="9" customWidth="1"/>
    <col min="12032" max="12032" width="12.85546875" style="9" bestFit="1" customWidth="1"/>
    <col min="12033" max="12033" width="13.140625" style="9" customWidth="1"/>
    <col min="12034" max="12034" width="12.7109375" style="9" customWidth="1"/>
    <col min="12035" max="12035" width="13.5703125" style="9" customWidth="1"/>
    <col min="12036" max="12285" width="8.85546875" style="9"/>
    <col min="12286" max="12286" width="5.42578125" style="9" bestFit="1" customWidth="1"/>
    <col min="12287" max="12287" width="69.42578125" style="9" customWidth="1"/>
    <col min="12288" max="12288" width="12.85546875" style="9" bestFit="1" customWidth="1"/>
    <col min="12289" max="12289" width="13.140625" style="9" customWidth="1"/>
    <col min="12290" max="12290" width="12.7109375" style="9" customWidth="1"/>
    <col min="12291" max="12291" width="13.5703125" style="9" customWidth="1"/>
    <col min="12292" max="12541" width="8.85546875" style="9"/>
    <col min="12542" max="12542" width="5.42578125" style="9" bestFit="1" customWidth="1"/>
    <col min="12543" max="12543" width="69.42578125" style="9" customWidth="1"/>
    <col min="12544" max="12544" width="12.85546875" style="9" bestFit="1" customWidth="1"/>
    <col min="12545" max="12545" width="13.140625" style="9" customWidth="1"/>
    <col min="12546" max="12546" width="12.7109375" style="9" customWidth="1"/>
    <col min="12547" max="12547" width="13.5703125" style="9" customWidth="1"/>
    <col min="12548" max="12797" width="8.85546875" style="9"/>
    <col min="12798" max="12798" width="5.42578125" style="9" bestFit="1" customWidth="1"/>
    <col min="12799" max="12799" width="69.42578125" style="9" customWidth="1"/>
    <col min="12800" max="12800" width="12.85546875" style="9" bestFit="1" customWidth="1"/>
    <col min="12801" max="12801" width="13.140625" style="9" customWidth="1"/>
    <col min="12802" max="12802" width="12.7109375" style="9" customWidth="1"/>
    <col min="12803" max="12803" width="13.5703125" style="9" customWidth="1"/>
    <col min="12804" max="13053" width="8.85546875" style="9"/>
    <col min="13054" max="13054" width="5.42578125" style="9" bestFit="1" customWidth="1"/>
    <col min="13055" max="13055" width="69.42578125" style="9" customWidth="1"/>
    <col min="13056" max="13056" width="12.85546875" style="9" bestFit="1" customWidth="1"/>
    <col min="13057" max="13057" width="13.140625" style="9" customWidth="1"/>
    <col min="13058" max="13058" width="12.7109375" style="9" customWidth="1"/>
    <col min="13059" max="13059" width="13.5703125" style="9" customWidth="1"/>
    <col min="13060" max="13309" width="8.85546875" style="9"/>
    <col min="13310" max="13310" width="5.42578125" style="9" bestFit="1" customWidth="1"/>
    <col min="13311" max="13311" width="69.42578125" style="9" customWidth="1"/>
    <col min="13312" max="13312" width="12.85546875" style="9" bestFit="1" customWidth="1"/>
    <col min="13313" max="13313" width="13.140625" style="9" customWidth="1"/>
    <col min="13314" max="13314" width="12.7109375" style="9" customWidth="1"/>
    <col min="13315" max="13315" width="13.5703125" style="9" customWidth="1"/>
    <col min="13316" max="13565" width="8.85546875" style="9"/>
    <col min="13566" max="13566" width="5.42578125" style="9" bestFit="1" customWidth="1"/>
    <col min="13567" max="13567" width="69.42578125" style="9" customWidth="1"/>
    <col min="13568" max="13568" width="12.85546875" style="9" bestFit="1" customWidth="1"/>
    <col min="13569" max="13569" width="13.140625" style="9" customWidth="1"/>
    <col min="13570" max="13570" width="12.7109375" style="9" customWidth="1"/>
    <col min="13571" max="13571" width="13.5703125" style="9" customWidth="1"/>
    <col min="13572" max="13821" width="8.85546875" style="9"/>
    <col min="13822" max="13822" width="5.42578125" style="9" bestFit="1" customWidth="1"/>
    <col min="13823" max="13823" width="69.42578125" style="9" customWidth="1"/>
    <col min="13824" max="13824" width="12.85546875" style="9" bestFit="1" customWidth="1"/>
    <col min="13825" max="13825" width="13.140625" style="9" customWidth="1"/>
    <col min="13826" max="13826" width="12.7109375" style="9" customWidth="1"/>
    <col min="13827" max="13827" width="13.5703125" style="9" customWidth="1"/>
    <col min="13828" max="14077" width="8.85546875" style="9"/>
    <col min="14078" max="14078" width="5.42578125" style="9" bestFit="1" customWidth="1"/>
    <col min="14079" max="14079" width="69.42578125" style="9" customWidth="1"/>
    <col min="14080" max="14080" width="12.85546875" style="9" bestFit="1" customWidth="1"/>
    <col min="14081" max="14081" width="13.140625" style="9" customWidth="1"/>
    <col min="14082" max="14082" width="12.7109375" style="9" customWidth="1"/>
    <col min="14083" max="14083" width="13.5703125" style="9" customWidth="1"/>
    <col min="14084" max="14333" width="8.85546875" style="9"/>
    <col min="14334" max="14334" width="5.42578125" style="9" bestFit="1" customWidth="1"/>
    <col min="14335" max="14335" width="69.42578125" style="9" customWidth="1"/>
    <col min="14336" max="14336" width="12.85546875" style="9" bestFit="1" customWidth="1"/>
    <col min="14337" max="14337" width="13.140625" style="9" customWidth="1"/>
    <col min="14338" max="14338" width="12.7109375" style="9" customWidth="1"/>
    <col min="14339" max="14339" width="13.5703125" style="9" customWidth="1"/>
    <col min="14340" max="14589" width="8.85546875" style="9"/>
    <col min="14590" max="14590" width="5.42578125" style="9" bestFit="1" customWidth="1"/>
    <col min="14591" max="14591" width="69.42578125" style="9" customWidth="1"/>
    <col min="14592" max="14592" width="12.85546875" style="9" bestFit="1" customWidth="1"/>
    <col min="14593" max="14593" width="13.140625" style="9" customWidth="1"/>
    <col min="14594" max="14594" width="12.7109375" style="9" customWidth="1"/>
    <col min="14595" max="14595" width="13.5703125" style="9" customWidth="1"/>
    <col min="14596" max="14845" width="8.85546875" style="9"/>
    <col min="14846" max="14846" width="5.42578125" style="9" bestFit="1" customWidth="1"/>
    <col min="14847" max="14847" width="69.42578125" style="9" customWidth="1"/>
    <col min="14848" max="14848" width="12.85546875" style="9" bestFit="1" customWidth="1"/>
    <col min="14849" max="14849" width="13.140625" style="9" customWidth="1"/>
    <col min="14850" max="14850" width="12.7109375" style="9" customWidth="1"/>
    <col min="14851" max="14851" width="13.5703125" style="9" customWidth="1"/>
    <col min="14852" max="15101" width="8.85546875" style="9"/>
    <col min="15102" max="15102" width="5.42578125" style="9" bestFit="1" customWidth="1"/>
    <col min="15103" max="15103" width="69.42578125" style="9" customWidth="1"/>
    <col min="15104" max="15104" width="12.85546875" style="9" bestFit="1" customWidth="1"/>
    <col min="15105" max="15105" width="13.140625" style="9" customWidth="1"/>
    <col min="15106" max="15106" width="12.7109375" style="9" customWidth="1"/>
    <col min="15107" max="15107" width="13.5703125" style="9" customWidth="1"/>
    <col min="15108" max="15357" width="8.85546875" style="9"/>
    <col min="15358" max="15358" width="5.42578125" style="9" bestFit="1" customWidth="1"/>
    <col min="15359" max="15359" width="69.42578125" style="9" customWidth="1"/>
    <col min="15360" max="15360" width="12.85546875" style="9" bestFit="1" customWidth="1"/>
    <col min="15361" max="15361" width="13.140625" style="9" customWidth="1"/>
    <col min="15362" max="15362" width="12.7109375" style="9" customWidth="1"/>
    <col min="15363" max="15363" width="13.5703125" style="9" customWidth="1"/>
    <col min="15364" max="15613" width="8.85546875" style="9"/>
    <col min="15614" max="15614" width="5.42578125" style="9" bestFit="1" customWidth="1"/>
    <col min="15615" max="15615" width="69.42578125" style="9" customWidth="1"/>
    <col min="15616" max="15616" width="12.85546875" style="9" bestFit="1" customWidth="1"/>
    <col min="15617" max="15617" width="13.140625" style="9" customWidth="1"/>
    <col min="15618" max="15618" width="12.7109375" style="9" customWidth="1"/>
    <col min="15619" max="15619" width="13.5703125" style="9" customWidth="1"/>
    <col min="15620" max="15869" width="8.85546875" style="9"/>
    <col min="15870" max="15870" width="5.42578125" style="9" bestFit="1" customWidth="1"/>
    <col min="15871" max="15871" width="69.42578125" style="9" customWidth="1"/>
    <col min="15872" max="15872" width="12.85546875" style="9" bestFit="1" customWidth="1"/>
    <col min="15873" max="15873" width="13.140625" style="9" customWidth="1"/>
    <col min="15874" max="15874" width="12.7109375" style="9" customWidth="1"/>
    <col min="15875" max="15875" width="13.5703125" style="9" customWidth="1"/>
    <col min="15876" max="16125" width="8.85546875" style="9"/>
    <col min="16126" max="16126" width="5.42578125" style="9" bestFit="1" customWidth="1"/>
    <col min="16127" max="16127" width="69.42578125" style="9" customWidth="1"/>
    <col min="16128" max="16128" width="12.85546875" style="9" bestFit="1" customWidth="1"/>
    <col min="16129" max="16129" width="13.140625" style="9" customWidth="1"/>
    <col min="16130" max="16130" width="12.7109375" style="9" customWidth="1"/>
    <col min="16131" max="16131" width="13.5703125" style="9" customWidth="1"/>
    <col min="16132" max="16384" width="8.85546875" style="9"/>
  </cols>
  <sheetData>
    <row r="2" spans="1:7" x14ac:dyDescent="0.25">
      <c r="G2" s="10"/>
    </row>
    <row r="3" spans="1:7" x14ac:dyDescent="0.25">
      <c r="A3" s="11"/>
      <c r="B3" s="12"/>
      <c r="C3" s="12"/>
      <c r="D3" s="12"/>
      <c r="E3" s="12"/>
      <c r="F3" s="12"/>
      <c r="G3" s="10"/>
    </row>
    <row r="4" spans="1:7" x14ac:dyDescent="0.25">
      <c r="A4" s="13"/>
      <c r="B4" s="13"/>
      <c r="C4" s="13"/>
      <c r="D4" s="13"/>
      <c r="E4" s="13"/>
      <c r="F4" s="13"/>
      <c r="G4" s="42"/>
    </row>
    <row r="5" spans="1:7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15" t="s">
        <v>0</v>
      </c>
      <c r="B6" s="16"/>
      <c r="C6" s="16"/>
      <c r="D6" s="16"/>
      <c r="E6" s="16"/>
      <c r="F6" s="16"/>
      <c r="G6" s="16"/>
    </row>
    <row r="7" spans="1:7" x14ac:dyDescent="0.25">
      <c r="A7" s="16" t="s">
        <v>1</v>
      </c>
      <c r="B7" s="16"/>
      <c r="C7" s="16"/>
      <c r="D7" s="16"/>
      <c r="E7" s="16"/>
      <c r="F7" s="16"/>
      <c r="G7" s="16"/>
    </row>
    <row r="8" spans="1:7" x14ac:dyDescent="0.25">
      <c r="A8" s="16" t="s">
        <v>25</v>
      </c>
      <c r="B8" s="16"/>
      <c r="C8" s="16"/>
      <c r="D8" s="16"/>
      <c r="E8" s="16"/>
      <c r="F8" s="16"/>
      <c r="G8" s="16"/>
    </row>
    <row r="9" spans="1:7" x14ac:dyDescent="0.25">
      <c r="A9" s="15" t="s">
        <v>14</v>
      </c>
      <c r="B9" s="16"/>
      <c r="C9" s="16"/>
      <c r="D9" s="16"/>
      <c r="E9" s="16"/>
      <c r="F9" s="16"/>
      <c r="G9" s="16"/>
    </row>
    <row r="10" spans="1:7" x14ac:dyDescent="0.25">
      <c r="A10" s="14"/>
      <c r="B10" s="17"/>
      <c r="C10" s="17"/>
      <c r="D10" s="17"/>
      <c r="E10" s="17"/>
      <c r="F10" s="17"/>
      <c r="G10" s="17"/>
    </row>
    <row r="11" spans="1:7" x14ac:dyDescent="0.25">
      <c r="A11" s="18" t="s">
        <v>2</v>
      </c>
      <c r="B11" s="19"/>
      <c r="C11" s="19"/>
      <c r="D11" s="19"/>
      <c r="E11" s="19"/>
      <c r="F11" s="19"/>
      <c r="G11" s="19"/>
    </row>
    <row r="12" spans="1:7" x14ac:dyDescent="0.25">
      <c r="A12" s="20" t="s">
        <v>3</v>
      </c>
      <c r="B12" s="21" t="s">
        <v>4</v>
      </c>
      <c r="C12" s="22"/>
      <c r="D12" s="22"/>
      <c r="E12" s="22"/>
      <c r="F12" s="22"/>
      <c r="G12" s="21" t="s">
        <v>5</v>
      </c>
    </row>
    <row r="13" spans="1:7" x14ac:dyDescent="0.25">
      <c r="A13" s="23"/>
      <c r="B13" s="23"/>
      <c r="C13" s="23"/>
      <c r="D13" s="23"/>
      <c r="E13" s="23"/>
      <c r="F13" s="23"/>
      <c r="G13" s="23"/>
    </row>
    <row r="14" spans="1:7" x14ac:dyDescent="0.25">
      <c r="A14" s="24"/>
      <c r="B14" s="25" t="s">
        <v>6</v>
      </c>
      <c r="C14" s="25"/>
      <c r="D14" s="26"/>
      <c r="E14" s="26"/>
      <c r="F14" s="26"/>
      <c r="G14" s="26"/>
    </row>
    <row r="15" spans="1:7" x14ac:dyDescent="0.25">
      <c r="A15" s="45">
        <v>1</v>
      </c>
      <c r="B15" s="27"/>
      <c r="C15" s="27" t="s">
        <v>7</v>
      </c>
      <c r="D15" s="27" t="s">
        <v>8</v>
      </c>
      <c r="E15" s="27" t="s">
        <v>91</v>
      </c>
      <c r="F15" s="27" t="s">
        <v>92</v>
      </c>
      <c r="G15" s="27" t="s">
        <v>9</v>
      </c>
    </row>
    <row r="16" spans="1:7" x14ac:dyDescent="0.25">
      <c r="A16" s="45">
        <f t="shared" ref="A16:A35" si="0">A15+1</f>
        <v>2</v>
      </c>
      <c r="B16" s="28" t="s">
        <v>10</v>
      </c>
      <c r="C16" s="28"/>
      <c r="D16" s="28"/>
      <c r="E16" s="28"/>
      <c r="F16" s="28"/>
      <c r="G16" s="29"/>
    </row>
    <row r="17" spans="1:10" x14ac:dyDescent="0.25">
      <c r="A17" s="45">
        <f t="shared" si="0"/>
        <v>3</v>
      </c>
      <c r="B17" s="30"/>
      <c r="C17" s="43"/>
      <c r="D17" s="43"/>
      <c r="E17" s="43"/>
      <c r="F17" s="43"/>
      <c r="G17" s="43"/>
      <c r="I17" s="43"/>
      <c r="J17" s="43"/>
    </row>
    <row r="18" spans="1:10" x14ac:dyDescent="0.25">
      <c r="A18" s="45">
        <f t="shared" si="0"/>
        <v>4</v>
      </c>
      <c r="B18" s="30" t="s">
        <v>15</v>
      </c>
      <c r="C18" s="54">
        <f>SUMIFS(storm!I:I,storm!D:D,"2014",storm!E:E,"570")+SUMIFS(storm!I:I,storm!D:D,"2014",storm!E:E,"571")</f>
        <v>462974</v>
      </c>
      <c r="D18" s="54">
        <f>SUMIFS(storm!I:I,storm!D:D,"2014",storm!E:E,"583")+SUMIFS(storm!I:I,storm!D:D,"2014",storm!E:E,"584")+SUMIFS(storm!I:I,storm!D:D,"2014",storm!E:E,"592")+SUMIFS(storm!I:I,storm!D:D,"2014",storm!E:E,"593")+SUMIFS(storm!I:I,storm!D:D,"2014",storm!E:E,"594")</f>
        <v>10858538</v>
      </c>
      <c r="E18" s="54">
        <f>SUMIFS(storm!G:G,storm!D:D,"2014",storm!E:E,"Result")</f>
        <v>75904</v>
      </c>
      <c r="F18" s="54">
        <f>SUMIFS(storm!H:H,storm!D:D,"2014",storm!E:E,"Result")</f>
        <v>284077</v>
      </c>
      <c r="G18" s="31">
        <f t="shared" ref="G18:G23" si="1">SUM(C18:F18)</f>
        <v>11681493</v>
      </c>
      <c r="I18" s="31"/>
      <c r="J18" s="31"/>
    </row>
    <row r="19" spans="1:10" x14ac:dyDescent="0.25">
      <c r="A19" s="45">
        <f t="shared" si="0"/>
        <v>5</v>
      </c>
      <c r="B19" s="30" t="s">
        <v>16</v>
      </c>
      <c r="C19" s="31">
        <f>SUMIFS(storm!I:I,storm!D:D,"2015",storm!E:E,"570")+SUMIFS(storm!I:I,storm!D:D,"2015",storm!E:E,"571")</f>
        <v>542677</v>
      </c>
      <c r="D19" s="31">
        <f>SUMIFS(storm!I:I,storm!D:D,"2015",storm!E:E,"583")+SUMIFS(storm!I:I,storm!D:D,"2015",storm!E:E,"584")+SUMIFS(storm!I:I,storm!D:D,"2015",storm!E:E,"592")+SUMIFS(storm!I:I,storm!D:D,"2015",storm!E:E,"593")+SUMIFS(storm!I:I,storm!D:D,"2015",storm!E:E,"594")</f>
        <v>9925206</v>
      </c>
      <c r="E19" s="54">
        <f>SUMIFS(storm!G:G,storm!D:D,"2015",storm!E:E,"Result")</f>
        <v>147800</v>
      </c>
      <c r="F19" s="54">
        <f>SUMIFS(storm!H:H,storm!D:D,"2015",storm!E:E,"Result")</f>
        <v>545344</v>
      </c>
      <c r="G19" s="31">
        <f t="shared" si="1"/>
        <v>11161027</v>
      </c>
      <c r="I19" s="31"/>
      <c r="J19" s="31"/>
    </row>
    <row r="20" spans="1:10" x14ac:dyDescent="0.25">
      <c r="A20" s="45">
        <f t="shared" si="0"/>
        <v>6</v>
      </c>
      <c r="B20" s="30" t="s">
        <v>17</v>
      </c>
      <c r="C20" s="31">
        <f>SUMIFS(storm!I:I,storm!D:D,"2016",storm!E:E,"570")+SUMIFS(storm!I:I,storm!D:D,"2016",storm!E:E,"571")</f>
        <v>282110</v>
      </c>
      <c r="D20" s="31">
        <f>SUMIFS(storm!I:I,storm!D:D,"2016",storm!E:E,"583")+SUMIFS(storm!I:I,storm!D:D,"2016",storm!E:E,"584")+SUMIFS(storm!I:I,storm!D:D,"2016",storm!E:E,"592")+SUMIFS(storm!I:I,storm!D:D,"2016",storm!E:E,"593")+SUMIFS(storm!I:I,storm!D:D,"2016",storm!E:E,"594")</f>
        <v>9019562</v>
      </c>
      <c r="E20" s="54">
        <f>SUMIFS(storm!G:G,storm!D:D,"2016",storm!E:E,"Result")</f>
        <v>55441</v>
      </c>
      <c r="F20" s="54">
        <f>SUMIFS(storm!H:H,storm!D:D,"2016",storm!E:E,"Result")</f>
        <v>185083</v>
      </c>
      <c r="G20" s="31">
        <f t="shared" si="1"/>
        <v>9542196</v>
      </c>
      <c r="I20" s="31"/>
      <c r="J20" s="31"/>
    </row>
    <row r="21" spans="1:10" x14ac:dyDescent="0.25">
      <c r="A21" s="45">
        <f t="shared" si="0"/>
        <v>7</v>
      </c>
      <c r="B21" s="30" t="s">
        <v>20</v>
      </c>
      <c r="C21" s="31">
        <f>SUMIFS(storm!I:I,storm!D:D,"2017",storm!E:E,"570")+SUMIFS(storm!I:I,storm!D:D,"2017",storm!E:E,"571")</f>
        <v>542894</v>
      </c>
      <c r="D21" s="31">
        <f>SUMIFS(storm!I:I,storm!D:D,"2017",storm!E:E,"583")+SUMIFS(storm!I:I,storm!D:D,"2017",storm!E:E,"584")+SUMIFS(storm!I:I,storm!D:D,"2017",storm!E:E,"592")+SUMIFS(storm!I:I,storm!D:D,"2017",storm!E:E,"593")+SUMIFS(storm!I:I,storm!D:D,"2017",storm!E:E,"594")</f>
        <v>8598393</v>
      </c>
      <c r="E21" s="54">
        <f>SUMIFS(storm!G:G,storm!D:D,"2017",storm!E:E,"Result")</f>
        <v>14243</v>
      </c>
      <c r="F21" s="54">
        <f>SUMIFS(storm!H:H,storm!D:D,"2017",storm!E:E,"Result")</f>
        <v>50856</v>
      </c>
      <c r="G21" s="32">
        <f t="shared" si="1"/>
        <v>9206386</v>
      </c>
      <c r="I21" s="31"/>
      <c r="J21" s="32"/>
    </row>
    <row r="22" spans="1:10" x14ac:dyDescent="0.25">
      <c r="A22" s="45">
        <f>A20+1</f>
        <v>7</v>
      </c>
      <c r="B22" s="30" t="s">
        <v>21</v>
      </c>
      <c r="C22" s="31">
        <f>SUMIFS(storm!I:I,storm!D:D,"2018",storm!E:E,"570")+SUMIFS(storm!I:I,storm!D:D,"2018",storm!E:E,"571")</f>
        <v>563625</v>
      </c>
      <c r="D22" s="31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9580738</v>
      </c>
      <c r="E22" s="54">
        <f>SUMIFS(storm!G:G,storm!D:D,"2018",storm!E:E,"Result")</f>
        <v>118919</v>
      </c>
      <c r="F22" s="54">
        <f>SUMIFS(storm!H:H,storm!D:D,"2018",storm!E:E,"Result")</f>
        <v>478326</v>
      </c>
      <c r="G22" s="32">
        <f t="shared" si="1"/>
        <v>10741608</v>
      </c>
      <c r="H22" s="2">
        <f>storm!F79-G22</f>
        <v>1</v>
      </c>
      <c r="I22" s="1" t="s">
        <v>112</v>
      </c>
      <c r="J22" s="32"/>
    </row>
    <row r="23" spans="1:10" x14ac:dyDescent="0.25">
      <c r="A23" s="45">
        <f>A21+1</f>
        <v>8</v>
      </c>
      <c r="B23" s="30" t="s">
        <v>31</v>
      </c>
      <c r="C23" s="48">
        <f>SUMIFS(storm!I:I,storm!D:D,"2019",storm!E:E,"570")+SUMIFS(storm!I:I,storm!D:D,"2019",storm!E:E,"571")</f>
        <v>1169569</v>
      </c>
      <c r="D23" s="48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8273524</v>
      </c>
      <c r="E23" s="48">
        <f>SUMIFS(storm!G:G,storm!D:D,"2019",storm!E:E,"Result")</f>
        <v>117859</v>
      </c>
      <c r="F23" s="48">
        <f>SUMIFS(storm!H:H,storm!D:D,"2019",storm!E:E,"Result")</f>
        <v>433513</v>
      </c>
      <c r="G23" s="44">
        <f t="shared" si="1"/>
        <v>9994465</v>
      </c>
      <c r="H23" s="2">
        <f>storm!F84-G23</f>
        <v>-1.5</v>
      </c>
      <c r="I23" s="1" t="s">
        <v>112</v>
      </c>
      <c r="J23" s="32"/>
    </row>
    <row r="24" spans="1:10" x14ac:dyDescent="0.25">
      <c r="A24" s="45">
        <f t="shared" si="0"/>
        <v>9</v>
      </c>
      <c r="B24" s="33" t="s">
        <v>11</v>
      </c>
      <c r="C24" s="34">
        <f>SUM(C18:C23)</f>
        <v>3563849</v>
      </c>
      <c r="D24" s="34">
        <f t="shared" ref="D24:E24" si="2">SUM(D18:D23)</f>
        <v>56255961</v>
      </c>
      <c r="E24" s="34">
        <f t="shared" si="2"/>
        <v>530166</v>
      </c>
      <c r="F24" s="34">
        <f t="shared" ref="F24:G24" si="3">SUM(F18:F23)</f>
        <v>1977199</v>
      </c>
      <c r="G24" s="34">
        <f t="shared" si="3"/>
        <v>62327175</v>
      </c>
      <c r="I24" s="31"/>
      <c r="J24" s="32"/>
    </row>
    <row r="25" spans="1:10" x14ac:dyDescent="0.25">
      <c r="A25" s="45">
        <f t="shared" si="0"/>
        <v>10</v>
      </c>
      <c r="B25" s="23"/>
      <c r="C25" s="35"/>
      <c r="D25" s="35"/>
      <c r="E25" s="35"/>
      <c r="F25" s="35"/>
      <c r="G25" s="35"/>
      <c r="I25" s="31"/>
      <c r="J25" s="32"/>
    </row>
    <row r="26" spans="1:10" x14ac:dyDescent="0.25">
      <c r="A26" s="45">
        <f t="shared" si="0"/>
        <v>11</v>
      </c>
      <c r="B26" s="23" t="s">
        <v>12</v>
      </c>
      <c r="C26" s="36">
        <f>C24/6</f>
        <v>593974.83333333337</v>
      </c>
      <c r="D26" s="36">
        <f>D24/6</f>
        <v>9375993.5</v>
      </c>
      <c r="E26" s="36">
        <f>E24/6</f>
        <v>88361</v>
      </c>
      <c r="F26" s="36">
        <f>F24/6</f>
        <v>329533.16666666669</v>
      </c>
      <c r="G26" s="32">
        <f>+G24/6</f>
        <v>10387862.5</v>
      </c>
      <c r="H26" s="6"/>
      <c r="I26" s="31"/>
      <c r="J26" s="32"/>
    </row>
    <row r="27" spans="1:10" x14ac:dyDescent="0.25">
      <c r="A27" s="45">
        <f t="shared" si="0"/>
        <v>12</v>
      </c>
      <c r="B27" s="23"/>
      <c r="C27" s="35"/>
      <c r="D27" s="35"/>
      <c r="E27" s="35"/>
      <c r="F27" s="35"/>
      <c r="G27" s="35"/>
      <c r="I27" s="31"/>
      <c r="J27" s="32"/>
    </row>
    <row r="28" spans="1:10" x14ac:dyDescent="0.25">
      <c r="A28" s="45">
        <f t="shared" si="0"/>
        <v>13</v>
      </c>
      <c r="B28" s="37" t="s">
        <v>32</v>
      </c>
      <c r="C28" s="38"/>
      <c r="D28" s="38"/>
      <c r="E28" s="38"/>
      <c r="F28" s="38"/>
      <c r="G28" s="35"/>
      <c r="H28" s="31"/>
      <c r="I28" s="31"/>
      <c r="J28" s="32"/>
    </row>
    <row r="29" spans="1:10" x14ac:dyDescent="0.25">
      <c r="A29" s="45">
        <f t="shared" si="0"/>
        <v>14</v>
      </c>
      <c r="B29" s="39" t="s">
        <v>24</v>
      </c>
      <c r="C29" s="44">
        <f>SUMIFS(storm!I:I,storm!D:D,"2019",storm!E:E,"570",storm!C:C,"")+SUMIFS(storm!I:I,storm!D:D,"2019",storm!E:E,"571",storm!C:C,"")</f>
        <v>1172215</v>
      </c>
      <c r="D29" s="44">
        <f>SUMIFS(storm!I:I,storm!D:D,"2019",storm!E:E,"583",storm!C:C,"")+SUMIFS(storm!I:I,storm!D:D,"2019",storm!E:E,"584",storm!C:C,"")+SUMIFS(storm!I:I,storm!D:D,"2019",storm!E:E,"592",storm!C:C,"")+SUMIFS(storm!I:I,storm!D:D,"2019",storm!E:E,"593",storm!C:C,"")</f>
        <v>8695084</v>
      </c>
      <c r="E29" s="44">
        <f>SUMIFS(storm!G:G,storm!D:D,"2019",storm!E:E,"Result",storm!C:C,"")</f>
        <v>123251</v>
      </c>
      <c r="F29" s="44">
        <f>SUMIFS(storm!H:H,storm!D:D,"2019",storm!E:E,"Result",storm!C:C,"")</f>
        <v>451790</v>
      </c>
      <c r="G29" s="44">
        <f t="shared" ref="G29" si="4">SUM(C29:F29)</f>
        <v>10442340</v>
      </c>
      <c r="H29" s="54">
        <f>storm!F82-G29</f>
        <v>0</v>
      </c>
      <c r="I29" s="1" t="s">
        <v>112</v>
      </c>
      <c r="J29" s="32"/>
    </row>
    <row r="30" spans="1:10" x14ac:dyDescent="0.25">
      <c r="A30" s="45">
        <f t="shared" si="0"/>
        <v>15</v>
      </c>
      <c r="B30" s="23"/>
      <c r="C30" s="35"/>
      <c r="D30" s="35"/>
      <c r="E30" s="35"/>
      <c r="F30" s="35"/>
      <c r="G30" s="35"/>
      <c r="H30" s="31"/>
      <c r="I30" s="31"/>
      <c r="J30" s="32"/>
    </row>
    <row r="31" spans="1:10" ht="14.45" customHeight="1" x14ac:dyDescent="0.25">
      <c r="A31" s="45">
        <f t="shared" si="0"/>
        <v>16</v>
      </c>
      <c r="B31" s="40" t="s">
        <v>13</v>
      </c>
      <c r="C31" s="32">
        <f>C26-C29</f>
        <v>-578240.16666666663</v>
      </c>
      <c r="D31" s="32">
        <f>D26-D29</f>
        <v>680909.5</v>
      </c>
      <c r="E31" s="32">
        <f>E26-E29</f>
        <v>-34890</v>
      </c>
      <c r="F31" s="32">
        <f>F26-F29</f>
        <v>-122256.83333333331</v>
      </c>
      <c r="G31" s="32">
        <f>G26-G29</f>
        <v>-54477.5</v>
      </c>
      <c r="H31" s="31"/>
      <c r="I31" s="31"/>
      <c r="J31" s="32"/>
    </row>
    <row r="32" spans="1:10" ht="14.45" customHeight="1" x14ac:dyDescent="0.25">
      <c r="A32" s="45">
        <f t="shared" si="0"/>
        <v>17</v>
      </c>
      <c r="B32" s="23"/>
      <c r="C32" s="35"/>
      <c r="D32" s="35"/>
      <c r="E32" s="35"/>
      <c r="F32" s="35"/>
      <c r="G32" s="35"/>
      <c r="H32" s="31"/>
      <c r="I32" s="31"/>
      <c r="J32" s="32"/>
    </row>
    <row r="33" spans="1:10" ht="14.45" customHeight="1" x14ac:dyDescent="0.25">
      <c r="A33" s="45">
        <f t="shared" si="0"/>
        <v>18</v>
      </c>
      <c r="B33" s="46" t="s">
        <v>22</v>
      </c>
      <c r="C33" s="49">
        <v>0.21</v>
      </c>
      <c r="D33" s="35"/>
      <c r="E33" s="35"/>
      <c r="F33" s="35"/>
      <c r="G33" s="44">
        <f>-G31*C33</f>
        <v>11440.275</v>
      </c>
      <c r="H33" s="31"/>
      <c r="I33" s="31"/>
      <c r="J33" s="32"/>
    </row>
    <row r="34" spans="1:10" ht="14.45" customHeight="1" x14ac:dyDescent="0.25">
      <c r="A34" s="45">
        <f t="shared" si="0"/>
        <v>19</v>
      </c>
      <c r="B34" s="23"/>
      <c r="C34" s="35"/>
      <c r="D34" s="35"/>
      <c r="E34" s="35"/>
      <c r="F34" s="35"/>
      <c r="G34" s="35"/>
      <c r="H34" s="31"/>
      <c r="I34" s="31"/>
      <c r="J34" s="32"/>
    </row>
    <row r="35" spans="1:10" ht="14.45" customHeight="1" thickBot="1" x14ac:dyDescent="0.3">
      <c r="A35" s="45">
        <f t="shared" si="0"/>
        <v>20</v>
      </c>
      <c r="B35" s="46" t="s">
        <v>18</v>
      </c>
      <c r="C35" s="35"/>
      <c r="D35" s="35"/>
      <c r="E35" s="35"/>
      <c r="F35" s="35"/>
      <c r="G35" s="47">
        <f>-G31-G33</f>
        <v>43037.224999999999</v>
      </c>
      <c r="H35" s="31"/>
      <c r="I35" s="31"/>
      <c r="J35" s="32"/>
    </row>
    <row r="36" spans="1:10" ht="15.75" thickTop="1" x14ac:dyDescent="0.25">
      <c r="C36" s="41"/>
      <c r="H36" s="31"/>
      <c r="I36" s="31"/>
      <c r="J36" s="32"/>
    </row>
    <row r="37" spans="1:10" x14ac:dyDescent="0.25">
      <c r="C37" s="41"/>
    </row>
    <row r="38" spans="1:10" x14ac:dyDescent="0.25">
      <c r="C38" s="41"/>
    </row>
    <row r="39" spans="1:10" x14ac:dyDescent="0.25">
      <c r="C39" s="41"/>
    </row>
    <row r="40" spans="1:10" x14ac:dyDescent="0.25">
      <c r="C40" s="41"/>
    </row>
    <row r="41" spans="1:10" x14ac:dyDescent="0.25">
      <c r="C41" s="41"/>
    </row>
    <row r="42" spans="1:10" x14ac:dyDescent="0.25">
      <c r="C42" s="41"/>
    </row>
    <row r="43" spans="1:10" x14ac:dyDescent="0.25">
      <c r="C43" s="41"/>
    </row>
    <row r="44" spans="1:10" x14ac:dyDescent="0.25">
      <c r="C44" s="41"/>
    </row>
    <row r="45" spans="1:10" x14ac:dyDescent="0.25">
      <c r="C45" s="41"/>
    </row>
    <row r="46" spans="1:10" x14ac:dyDescent="0.25">
      <c r="C46" s="41"/>
    </row>
    <row r="47" spans="1:10" x14ac:dyDescent="0.25">
      <c r="C47" s="41"/>
    </row>
    <row r="48" spans="1:10" x14ac:dyDescent="0.25">
      <c r="C48" s="41"/>
    </row>
    <row r="49" spans="3:3" x14ac:dyDescent="0.25">
      <c r="C49" s="41"/>
    </row>
    <row r="50" spans="3:3" x14ac:dyDescent="0.25">
      <c r="C50" s="41"/>
    </row>
    <row r="51" spans="3:3" x14ac:dyDescent="0.25">
      <c r="C51" s="41"/>
    </row>
    <row r="52" spans="3:3" x14ac:dyDescent="0.25">
      <c r="C52" s="41"/>
    </row>
    <row r="53" spans="3:3" x14ac:dyDescent="0.25">
      <c r="C53" s="41"/>
    </row>
    <row r="54" spans="3:3" x14ac:dyDescent="0.25">
      <c r="C54" s="41"/>
    </row>
    <row r="55" spans="3:3" x14ac:dyDescent="0.25">
      <c r="C55" s="41"/>
    </row>
    <row r="56" spans="3:3" x14ac:dyDescent="0.25">
      <c r="C56" s="41"/>
    </row>
    <row r="57" spans="3:3" x14ac:dyDescent="0.25">
      <c r="C57" s="41"/>
    </row>
    <row r="58" spans="3:3" x14ac:dyDescent="0.25">
      <c r="C58" s="41"/>
    </row>
    <row r="59" spans="3:3" x14ac:dyDescent="0.25">
      <c r="C59" s="41"/>
    </row>
    <row r="60" spans="3:3" x14ac:dyDescent="0.25">
      <c r="C60" s="41"/>
    </row>
    <row r="61" spans="3:3" x14ac:dyDescent="0.25">
      <c r="C61" s="41"/>
    </row>
    <row r="62" spans="3:3" x14ac:dyDescent="0.25">
      <c r="C62" s="41"/>
    </row>
    <row r="63" spans="3:3" x14ac:dyDescent="0.25">
      <c r="C63" s="41"/>
    </row>
    <row r="64" spans="3:3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83" spans="3:3" x14ac:dyDescent="0.25">
      <c r="C83" s="41"/>
    </row>
    <row r="84" spans="3:3" x14ac:dyDescent="0.25">
      <c r="C84" s="41"/>
    </row>
    <row r="85" spans="3:3" x14ac:dyDescent="0.25">
      <c r="C85" s="41"/>
    </row>
    <row r="86" spans="3:3" x14ac:dyDescent="0.25">
      <c r="C86" s="41"/>
    </row>
    <row r="87" spans="3:3" x14ac:dyDescent="0.25">
      <c r="C87" s="41"/>
    </row>
    <row r="88" spans="3:3" x14ac:dyDescent="0.25">
      <c r="C88" s="41"/>
    </row>
    <row r="89" spans="3:3" x14ac:dyDescent="0.25">
      <c r="C89" s="41"/>
    </row>
    <row r="90" spans="3:3" x14ac:dyDescent="0.25">
      <c r="C90" s="41"/>
    </row>
    <row r="91" spans="3:3" x14ac:dyDescent="0.25">
      <c r="C91" s="41"/>
    </row>
    <row r="92" spans="3:3" x14ac:dyDescent="0.25">
      <c r="C92" s="41"/>
    </row>
    <row r="93" spans="3:3" x14ac:dyDescent="0.25">
      <c r="C93" s="41"/>
    </row>
    <row r="94" spans="3:3" x14ac:dyDescent="0.25">
      <c r="C94" s="41"/>
    </row>
    <row r="95" spans="3:3" x14ac:dyDescent="0.25">
      <c r="C95" s="41"/>
    </row>
    <row r="96" spans="3:3" x14ac:dyDescent="0.25">
      <c r="C96" s="41"/>
    </row>
    <row r="97" spans="3:3" x14ac:dyDescent="0.25">
      <c r="C97" s="41"/>
    </row>
    <row r="98" spans="3:3" x14ac:dyDescent="0.25">
      <c r="C98" s="41"/>
    </row>
    <row r="99" spans="3:3" x14ac:dyDescent="0.25">
      <c r="C99" s="41"/>
    </row>
    <row r="100" spans="3:3" x14ac:dyDescent="0.25">
      <c r="C100" s="41"/>
    </row>
    <row r="101" spans="3:3" x14ac:dyDescent="0.25">
      <c r="C101" s="41"/>
    </row>
    <row r="102" spans="3:3" x14ac:dyDescent="0.25">
      <c r="C102" s="41"/>
    </row>
    <row r="103" spans="3:3" x14ac:dyDescent="0.25">
      <c r="C103" s="41"/>
    </row>
    <row r="104" spans="3:3" x14ac:dyDescent="0.25">
      <c r="C104" s="41"/>
    </row>
    <row r="105" spans="3:3" x14ac:dyDescent="0.25">
      <c r="C105" s="41"/>
    </row>
    <row r="106" spans="3:3" x14ac:dyDescent="0.25">
      <c r="C106" s="41"/>
    </row>
    <row r="107" spans="3:3" x14ac:dyDescent="0.25">
      <c r="C107" s="41"/>
    </row>
    <row r="108" spans="3:3" x14ac:dyDescent="0.25">
      <c r="C108" s="41"/>
    </row>
    <row r="109" spans="3:3" x14ac:dyDescent="0.25">
      <c r="C109" s="41"/>
    </row>
    <row r="110" spans="3:3" x14ac:dyDescent="0.25">
      <c r="C110" s="41"/>
    </row>
    <row r="111" spans="3:3" x14ac:dyDescent="0.25">
      <c r="C111" s="41"/>
    </row>
    <row r="112" spans="3:3" x14ac:dyDescent="0.25">
      <c r="C112" s="41"/>
    </row>
    <row r="113" spans="3:3" x14ac:dyDescent="0.25">
      <c r="C113" s="41"/>
    </row>
    <row r="114" spans="3:3" x14ac:dyDescent="0.25">
      <c r="C114" s="41"/>
    </row>
    <row r="115" spans="3:3" x14ac:dyDescent="0.25">
      <c r="C115" s="41"/>
    </row>
    <row r="116" spans="3:3" x14ac:dyDescent="0.25">
      <c r="C116" s="41"/>
    </row>
    <row r="117" spans="3:3" x14ac:dyDescent="0.25">
      <c r="C117" s="41"/>
    </row>
    <row r="118" spans="3:3" x14ac:dyDescent="0.25">
      <c r="C118" s="41"/>
    </row>
    <row r="119" spans="3:3" x14ac:dyDescent="0.25">
      <c r="C119" s="41"/>
    </row>
    <row r="120" spans="3:3" x14ac:dyDescent="0.25">
      <c r="C120" s="41"/>
    </row>
    <row r="121" spans="3:3" x14ac:dyDescent="0.25">
      <c r="C121" s="41"/>
    </row>
    <row r="122" spans="3:3" x14ac:dyDescent="0.25">
      <c r="C122" s="41"/>
    </row>
    <row r="123" spans="3:3" x14ac:dyDescent="0.25">
      <c r="C123" s="41"/>
    </row>
    <row r="124" spans="3:3" x14ac:dyDescent="0.25">
      <c r="C124" s="41"/>
    </row>
    <row r="125" spans="3:3" x14ac:dyDescent="0.25">
      <c r="C125" s="41"/>
    </row>
    <row r="126" spans="3:3" x14ac:dyDescent="0.25">
      <c r="C126" s="41"/>
    </row>
    <row r="127" spans="3:3" x14ac:dyDescent="0.25">
      <c r="C127" s="41"/>
    </row>
    <row r="128" spans="3:3" x14ac:dyDescent="0.25">
      <c r="C128" s="41"/>
    </row>
    <row r="129" spans="3:3" x14ac:dyDescent="0.25">
      <c r="C129" s="41"/>
    </row>
    <row r="130" spans="3:3" x14ac:dyDescent="0.25">
      <c r="C130" s="41"/>
    </row>
    <row r="131" spans="3:3" x14ac:dyDescent="0.25">
      <c r="C131" s="41"/>
    </row>
    <row r="132" spans="3:3" x14ac:dyDescent="0.25">
      <c r="C132" s="41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pane ySplit="12" topLeftCell="A65" activePane="bottomLeft" state="frozen"/>
      <selection activeCell="D1" sqref="D1"/>
      <selection pane="bottomLeft" activeCell="F79" sqref="F79"/>
    </sheetView>
  </sheetViews>
  <sheetFormatPr defaultRowHeight="15" outlineLevelRow="1" outlineLevelCol="1" x14ac:dyDescent="0.25"/>
  <cols>
    <col min="1" max="1" width="21" hidden="1" customWidth="1" outlineLevel="1"/>
    <col min="2" max="2" width="85" hidden="1" customWidth="1" outlineLevel="1"/>
    <col min="3" max="3" width="10.28515625" customWidth="1" collapsed="1"/>
    <col min="4" max="4" width="12.28515625" style="5" customWidth="1"/>
    <col min="5" max="5" width="13" customWidth="1"/>
    <col min="6" max="6" width="13.5703125" bestFit="1" customWidth="1"/>
    <col min="7" max="7" width="11.28515625" customWidth="1"/>
    <col min="8" max="8" width="14.42578125" customWidth="1"/>
    <col min="9" max="9" width="17.42578125" customWidth="1"/>
  </cols>
  <sheetData>
    <row r="1" spans="1:9" hidden="1" outlineLevel="1" x14ac:dyDescent="0.25">
      <c r="D1" s="5" t="s">
        <v>33</v>
      </c>
    </row>
    <row r="2" spans="1:9" hidden="1" outlineLevel="1" x14ac:dyDescent="0.25">
      <c r="D2" s="5" t="s">
        <v>34</v>
      </c>
      <c r="E2" t="s">
        <v>35</v>
      </c>
      <c r="G2" t="s">
        <v>36</v>
      </c>
      <c r="H2" s="53">
        <v>43871.469409722224</v>
      </c>
    </row>
    <row r="3" spans="1:9" hidden="1" outlineLevel="1" x14ac:dyDescent="0.25">
      <c r="D3" s="5" t="s">
        <v>37</v>
      </c>
      <c r="E3" t="s">
        <v>35</v>
      </c>
      <c r="G3" t="s">
        <v>38</v>
      </c>
      <c r="H3" s="52">
        <v>43871</v>
      </c>
    </row>
    <row r="4" spans="1:9" hidden="1" outlineLevel="1" x14ac:dyDescent="0.25">
      <c r="D4" s="5" t="s">
        <v>39</v>
      </c>
      <c r="E4" t="s">
        <v>35</v>
      </c>
      <c r="G4" t="s">
        <v>40</v>
      </c>
      <c r="H4" s="53">
        <v>43684.379282407404</v>
      </c>
    </row>
    <row r="5" spans="1:9" hidden="1" outlineLevel="1" x14ac:dyDescent="0.25">
      <c r="D5" s="5" t="s">
        <v>41</v>
      </c>
      <c r="E5" t="s">
        <v>42</v>
      </c>
      <c r="G5" t="s">
        <v>43</v>
      </c>
      <c r="H5" s="53">
        <v>43871.125324074077</v>
      </c>
    </row>
    <row r="6" spans="1:9" hidden="1" outlineLevel="1" x14ac:dyDescent="0.25">
      <c r="D6" s="5" t="s">
        <v>44</v>
      </c>
      <c r="E6" t="s">
        <v>45</v>
      </c>
      <c r="G6" t="s">
        <v>46</v>
      </c>
      <c r="H6" s="52">
        <v>43871</v>
      </c>
    </row>
    <row r="7" spans="1:9" hidden="1" outlineLevel="1" x14ac:dyDescent="0.25">
      <c r="D7" s="5" t="s">
        <v>47</v>
      </c>
      <c r="E7" t="s">
        <v>48</v>
      </c>
      <c r="G7" t="s">
        <v>49</v>
      </c>
      <c r="H7" s="51">
        <v>0.12532407407407406</v>
      </c>
    </row>
    <row r="8" spans="1:9" hidden="1" outlineLevel="1" x14ac:dyDescent="0.25"/>
    <row r="9" spans="1:9" hidden="1" outlineLevel="1" x14ac:dyDescent="0.25"/>
    <row r="10" spans="1:9" hidden="1" outlineLevel="1" x14ac:dyDescent="0.25">
      <c r="A10" t="s">
        <v>50</v>
      </c>
      <c r="D10" s="5" t="s">
        <v>51</v>
      </c>
    </row>
    <row r="11" spans="1:9" collapsed="1" x14ac:dyDescent="0.25">
      <c r="A11" t="s">
        <v>52</v>
      </c>
      <c r="F11" t="s">
        <v>30</v>
      </c>
      <c r="G11" t="s">
        <v>30</v>
      </c>
      <c r="H11" t="s">
        <v>30</v>
      </c>
      <c r="I11" t="s">
        <v>30</v>
      </c>
    </row>
    <row r="12" spans="1:9" ht="60" x14ac:dyDescent="0.25">
      <c r="A12" t="s">
        <v>53</v>
      </c>
      <c r="C12" s="8" t="s">
        <v>102</v>
      </c>
      <c r="D12" s="7" t="s">
        <v>28</v>
      </c>
      <c r="E12" s="7" t="s">
        <v>54</v>
      </c>
      <c r="F12" s="7" t="s">
        <v>19</v>
      </c>
      <c r="G12" s="7" t="s">
        <v>55</v>
      </c>
      <c r="H12" s="7" t="s">
        <v>56</v>
      </c>
      <c r="I12" s="7" t="s">
        <v>57</v>
      </c>
    </row>
    <row r="13" spans="1:9" x14ac:dyDescent="0.25">
      <c r="A13" t="s">
        <v>58</v>
      </c>
      <c r="D13" s="5">
        <v>2014</v>
      </c>
      <c r="E13">
        <v>570</v>
      </c>
      <c r="F13" s="50">
        <v>22093</v>
      </c>
      <c r="G13" s="50">
        <v>1790</v>
      </c>
      <c r="H13" s="50">
        <v>6632</v>
      </c>
      <c r="I13" s="50">
        <v>13671</v>
      </c>
    </row>
    <row r="14" spans="1:9" x14ac:dyDescent="0.25">
      <c r="A14" t="s">
        <v>59</v>
      </c>
      <c r="D14" s="5">
        <v>2014</v>
      </c>
      <c r="E14">
        <v>571</v>
      </c>
      <c r="F14" s="50">
        <v>483218</v>
      </c>
      <c r="G14" s="50">
        <v>7303</v>
      </c>
      <c r="H14" s="50">
        <v>26612</v>
      </c>
      <c r="I14" s="50">
        <v>449303</v>
      </c>
    </row>
    <row r="15" spans="1:9" x14ac:dyDescent="0.25">
      <c r="A15" t="s">
        <v>23</v>
      </c>
      <c r="D15" s="5">
        <v>2014</v>
      </c>
      <c r="E15">
        <v>583</v>
      </c>
      <c r="F15" s="50">
        <v>79590</v>
      </c>
      <c r="G15" s="50">
        <v>-980</v>
      </c>
      <c r="H15" s="50">
        <v>-3722</v>
      </c>
      <c r="I15" s="50">
        <v>84292</v>
      </c>
    </row>
    <row r="16" spans="1:9" x14ac:dyDescent="0.25">
      <c r="A16" t="s">
        <v>60</v>
      </c>
      <c r="D16" s="5">
        <v>2014</v>
      </c>
      <c r="E16">
        <v>584</v>
      </c>
      <c r="F16" s="50">
        <v>13922</v>
      </c>
      <c r="G16" s="50">
        <v>7</v>
      </c>
      <c r="H16" s="50">
        <v>25</v>
      </c>
      <c r="I16" s="50">
        <v>13891</v>
      </c>
    </row>
    <row r="17" spans="1:9" x14ac:dyDescent="0.25">
      <c r="A17" t="s">
        <v>61</v>
      </c>
      <c r="B17" t="s">
        <v>99</v>
      </c>
      <c r="D17" s="5">
        <v>2014</v>
      </c>
      <c r="E17">
        <v>592</v>
      </c>
      <c r="F17" s="50">
        <v>2206</v>
      </c>
      <c r="G17" s="50">
        <v>270</v>
      </c>
      <c r="H17" s="50">
        <v>1006</v>
      </c>
      <c r="I17" s="50">
        <v>930</v>
      </c>
    </row>
    <row r="18" spans="1:9" x14ac:dyDescent="0.25">
      <c r="A18" t="s">
        <v>62</v>
      </c>
      <c r="D18" s="5">
        <v>2014</v>
      </c>
      <c r="E18">
        <v>593</v>
      </c>
      <c r="F18" s="50">
        <v>11080464</v>
      </c>
      <c r="G18" s="50">
        <v>67515</v>
      </c>
      <c r="H18" s="50">
        <v>253524</v>
      </c>
      <c r="I18" s="50">
        <v>10759425</v>
      </c>
    </row>
    <row r="19" spans="1:9" x14ac:dyDescent="0.25">
      <c r="A19" t="s">
        <v>63</v>
      </c>
      <c r="D19" s="5">
        <v>2014</v>
      </c>
      <c r="E19" t="s">
        <v>29</v>
      </c>
      <c r="F19" s="50">
        <v>11681493</v>
      </c>
      <c r="G19" s="50">
        <v>75904</v>
      </c>
      <c r="H19" s="50">
        <v>284077</v>
      </c>
      <c r="I19" s="50">
        <v>11321512</v>
      </c>
    </row>
    <row r="20" spans="1:9" x14ac:dyDescent="0.25">
      <c r="A20" t="s">
        <v>64</v>
      </c>
      <c r="D20" s="5">
        <v>2015</v>
      </c>
      <c r="E20">
        <v>570</v>
      </c>
      <c r="F20" s="50">
        <v>0</v>
      </c>
      <c r="I20" s="50">
        <v>0</v>
      </c>
    </row>
    <row r="21" spans="1:9" x14ac:dyDescent="0.25">
      <c r="A21" t="s">
        <v>65</v>
      </c>
      <c r="D21" s="5">
        <v>2015</v>
      </c>
      <c r="E21">
        <v>571</v>
      </c>
      <c r="F21" s="50">
        <v>588383</v>
      </c>
      <c r="G21" s="50">
        <v>9711</v>
      </c>
      <c r="H21" s="50">
        <v>35995</v>
      </c>
      <c r="I21" s="50">
        <v>542677</v>
      </c>
    </row>
    <row r="22" spans="1:9" x14ac:dyDescent="0.25">
      <c r="A22" t="s">
        <v>66</v>
      </c>
      <c r="B22" t="s">
        <v>100</v>
      </c>
      <c r="D22" s="5">
        <v>2015</v>
      </c>
      <c r="E22">
        <v>583</v>
      </c>
      <c r="F22" s="50">
        <v>18284</v>
      </c>
      <c r="G22" s="50">
        <v>44</v>
      </c>
      <c r="H22" s="50">
        <v>171</v>
      </c>
      <c r="I22" s="50">
        <v>18070</v>
      </c>
    </row>
    <row r="23" spans="1:9" x14ac:dyDescent="0.25">
      <c r="A23" t="s">
        <v>67</v>
      </c>
      <c r="B23" t="s">
        <v>68</v>
      </c>
      <c r="D23" s="5">
        <v>2015</v>
      </c>
      <c r="E23">
        <v>584</v>
      </c>
      <c r="F23" s="50">
        <v>11259</v>
      </c>
      <c r="G23" s="50">
        <v>8</v>
      </c>
      <c r="H23" s="50">
        <v>31</v>
      </c>
      <c r="I23" s="50">
        <v>11220</v>
      </c>
    </row>
    <row r="24" spans="1:9" x14ac:dyDescent="0.25">
      <c r="A24" t="s">
        <v>28</v>
      </c>
      <c r="D24" s="5">
        <v>2015</v>
      </c>
      <c r="E24">
        <v>592</v>
      </c>
      <c r="F24" s="50">
        <v>5667</v>
      </c>
      <c r="G24" s="50">
        <v>282</v>
      </c>
      <c r="H24" s="50">
        <v>1089</v>
      </c>
      <c r="I24" s="50">
        <v>4295</v>
      </c>
    </row>
    <row r="25" spans="1:9" x14ac:dyDescent="0.25">
      <c r="A25" t="s">
        <v>69</v>
      </c>
      <c r="D25" s="5">
        <v>2015</v>
      </c>
      <c r="E25">
        <v>593</v>
      </c>
      <c r="F25" s="50">
        <v>10537434</v>
      </c>
      <c r="G25" s="50">
        <v>137755</v>
      </c>
      <c r="H25" s="50">
        <v>508058</v>
      </c>
      <c r="I25" s="50">
        <v>9891621</v>
      </c>
    </row>
    <row r="26" spans="1:9" x14ac:dyDescent="0.25">
      <c r="A26" t="s">
        <v>70</v>
      </c>
      <c r="D26" s="5">
        <v>2015</v>
      </c>
      <c r="E26" t="s">
        <v>29</v>
      </c>
      <c r="F26" s="50">
        <v>11161028</v>
      </c>
      <c r="G26" s="50">
        <v>147800</v>
      </c>
      <c r="H26" s="50">
        <v>545344</v>
      </c>
      <c r="I26" s="50">
        <v>10467883</v>
      </c>
    </row>
    <row r="27" spans="1:9" x14ac:dyDescent="0.25">
      <c r="A27" t="s">
        <v>71</v>
      </c>
      <c r="D27" s="5">
        <v>2016</v>
      </c>
      <c r="E27">
        <v>570</v>
      </c>
      <c r="F27" s="50">
        <v>342</v>
      </c>
      <c r="I27" s="50">
        <v>342</v>
      </c>
    </row>
    <row r="28" spans="1:9" x14ac:dyDescent="0.25">
      <c r="A28" t="s">
        <v>72</v>
      </c>
      <c r="D28" s="5">
        <v>2016</v>
      </c>
      <c r="E28">
        <v>571</v>
      </c>
      <c r="F28" s="50">
        <v>292319</v>
      </c>
      <c r="G28" s="50">
        <v>2414</v>
      </c>
      <c r="H28" s="50">
        <v>8138</v>
      </c>
      <c r="I28" s="50">
        <v>281768</v>
      </c>
    </row>
    <row r="29" spans="1:9" x14ac:dyDescent="0.25">
      <c r="A29" t="s">
        <v>73</v>
      </c>
      <c r="B29" t="s">
        <v>74</v>
      </c>
      <c r="D29" s="5">
        <v>2016</v>
      </c>
      <c r="E29">
        <v>583</v>
      </c>
      <c r="F29" s="50">
        <v>22740</v>
      </c>
      <c r="G29" s="50">
        <v>26</v>
      </c>
      <c r="H29" s="50">
        <v>95</v>
      </c>
      <c r="I29" s="50">
        <v>22620</v>
      </c>
    </row>
    <row r="30" spans="1:9" x14ac:dyDescent="0.25">
      <c r="A30" t="s">
        <v>75</v>
      </c>
      <c r="D30" s="5">
        <v>2016</v>
      </c>
      <c r="E30">
        <v>584</v>
      </c>
      <c r="F30" s="50">
        <v>2638</v>
      </c>
      <c r="G30" s="50">
        <v>5</v>
      </c>
      <c r="H30" s="50">
        <v>20</v>
      </c>
      <c r="I30" s="50">
        <v>2613</v>
      </c>
    </row>
    <row r="31" spans="1:9" x14ac:dyDescent="0.25">
      <c r="A31" t="s">
        <v>76</v>
      </c>
      <c r="D31" s="5">
        <v>2016</v>
      </c>
      <c r="E31">
        <v>593</v>
      </c>
      <c r="F31" s="50">
        <v>9223736</v>
      </c>
      <c r="G31" s="50">
        <v>52993</v>
      </c>
      <c r="H31" s="50">
        <v>176822</v>
      </c>
      <c r="I31" s="50">
        <v>8993921</v>
      </c>
    </row>
    <row r="32" spans="1:9" x14ac:dyDescent="0.25">
      <c r="A32" t="s">
        <v>77</v>
      </c>
      <c r="D32" s="5">
        <v>2016</v>
      </c>
      <c r="E32">
        <v>594</v>
      </c>
      <c r="F32" s="50">
        <v>420</v>
      </c>
      <c r="G32" s="50">
        <v>3</v>
      </c>
      <c r="H32" s="50">
        <v>10</v>
      </c>
      <c r="I32" s="50">
        <v>408</v>
      </c>
    </row>
    <row r="33" spans="1:9" x14ac:dyDescent="0.25">
      <c r="A33" t="s">
        <v>78</v>
      </c>
      <c r="D33" s="5">
        <v>2016</v>
      </c>
      <c r="E33" t="s">
        <v>29</v>
      </c>
      <c r="F33" s="50">
        <v>9542195</v>
      </c>
      <c r="G33" s="50">
        <v>55441</v>
      </c>
      <c r="H33" s="50">
        <v>185083</v>
      </c>
      <c r="I33" s="50">
        <v>9301670</v>
      </c>
    </row>
    <row r="34" spans="1:9" x14ac:dyDescent="0.25">
      <c r="A34" t="s">
        <v>79</v>
      </c>
      <c r="D34" s="5">
        <v>2017</v>
      </c>
      <c r="E34">
        <v>571</v>
      </c>
      <c r="F34" s="50">
        <v>560520</v>
      </c>
      <c r="G34" s="50">
        <v>3858</v>
      </c>
      <c r="H34" s="50">
        <v>13767</v>
      </c>
      <c r="I34" s="50">
        <v>542894</v>
      </c>
    </row>
    <row r="35" spans="1:9" x14ac:dyDescent="0.25">
      <c r="A35" t="s">
        <v>80</v>
      </c>
      <c r="D35" s="5">
        <v>2017</v>
      </c>
      <c r="E35">
        <v>583</v>
      </c>
      <c r="F35" s="50">
        <v>39655</v>
      </c>
      <c r="I35" s="50">
        <v>39655</v>
      </c>
    </row>
    <row r="36" spans="1:9" x14ac:dyDescent="0.25">
      <c r="A36" t="s">
        <v>81</v>
      </c>
      <c r="D36" s="5">
        <v>2017</v>
      </c>
      <c r="E36">
        <v>584</v>
      </c>
      <c r="F36" s="50">
        <v>5266</v>
      </c>
      <c r="I36" s="50">
        <v>5266</v>
      </c>
    </row>
    <row r="37" spans="1:9" x14ac:dyDescent="0.25">
      <c r="A37" t="s">
        <v>82</v>
      </c>
      <c r="D37" s="5">
        <v>2017</v>
      </c>
      <c r="E37">
        <v>593</v>
      </c>
      <c r="F37" s="50">
        <v>8600946</v>
      </c>
      <c r="G37" s="50">
        <v>10385</v>
      </c>
      <c r="H37" s="50">
        <v>37089</v>
      </c>
      <c r="I37" s="50">
        <v>8553472</v>
      </c>
    </row>
    <row r="38" spans="1:9" x14ac:dyDescent="0.25">
      <c r="A38" t="s">
        <v>83</v>
      </c>
      <c r="D38" s="5">
        <v>2017</v>
      </c>
      <c r="E38" t="s">
        <v>29</v>
      </c>
      <c r="F38" s="50">
        <v>9206387</v>
      </c>
      <c r="G38" s="50">
        <v>14243</v>
      </c>
      <c r="H38" s="50">
        <v>50856</v>
      </c>
      <c r="I38" s="50">
        <v>9141288</v>
      </c>
    </row>
    <row r="39" spans="1:9" x14ac:dyDescent="0.25">
      <c r="A39" t="s">
        <v>84</v>
      </c>
      <c r="D39" s="5">
        <v>2018</v>
      </c>
      <c r="E39">
        <v>571</v>
      </c>
      <c r="F39" s="50">
        <v>588691</v>
      </c>
      <c r="G39" s="50">
        <v>5335</v>
      </c>
      <c r="H39" s="50">
        <v>22377</v>
      </c>
      <c r="I39" s="50">
        <v>560979</v>
      </c>
    </row>
    <row r="40" spans="1:9" x14ac:dyDescent="0.25">
      <c r="A40" t="s">
        <v>84</v>
      </c>
      <c r="D40" s="5">
        <v>2018</v>
      </c>
      <c r="E40">
        <v>583</v>
      </c>
      <c r="F40" s="50">
        <v>39530</v>
      </c>
      <c r="I40" s="50">
        <v>39530</v>
      </c>
    </row>
    <row r="41" spans="1:9" x14ac:dyDescent="0.25">
      <c r="A41" t="s">
        <v>85</v>
      </c>
      <c r="D41" s="5">
        <v>2018</v>
      </c>
      <c r="E41">
        <v>584</v>
      </c>
      <c r="F41" s="50">
        <v>8019</v>
      </c>
      <c r="I41" s="50">
        <v>8019</v>
      </c>
    </row>
    <row r="42" spans="1:9" x14ac:dyDescent="0.25">
      <c r="A42" t="s">
        <v>26</v>
      </c>
      <c r="B42" t="s">
        <v>101</v>
      </c>
      <c r="D42" s="5">
        <v>2018</v>
      </c>
      <c r="E42">
        <v>593</v>
      </c>
      <c r="F42" s="50">
        <v>9657493</v>
      </c>
      <c r="G42" s="50">
        <v>108191</v>
      </c>
      <c r="H42" s="50">
        <v>437673</v>
      </c>
      <c r="I42" s="50">
        <v>9111629</v>
      </c>
    </row>
    <row r="43" spans="1:9" x14ac:dyDescent="0.25">
      <c r="A43" t="s">
        <v>86</v>
      </c>
      <c r="D43" s="5">
        <v>2018</v>
      </c>
      <c r="E43" t="s">
        <v>29</v>
      </c>
      <c r="F43" s="50">
        <v>10293732</v>
      </c>
      <c r="G43" s="50">
        <v>113527</v>
      </c>
      <c r="H43" s="50">
        <v>460049</v>
      </c>
      <c r="I43" s="50">
        <v>9720156</v>
      </c>
    </row>
    <row r="44" spans="1:9" x14ac:dyDescent="0.25">
      <c r="A44" t="s">
        <v>87</v>
      </c>
      <c r="D44" s="5">
        <v>2019</v>
      </c>
      <c r="E44">
        <v>571</v>
      </c>
      <c r="F44" s="50">
        <v>1205953</v>
      </c>
      <c r="G44" s="50">
        <v>7239</v>
      </c>
      <c r="H44" s="50">
        <v>26499</v>
      </c>
      <c r="I44" s="50">
        <v>1172215</v>
      </c>
    </row>
    <row r="45" spans="1:9" x14ac:dyDescent="0.25">
      <c r="A45" t="s">
        <v>87</v>
      </c>
      <c r="D45" s="5">
        <v>2019</v>
      </c>
      <c r="E45">
        <v>583</v>
      </c>
      <c r="F45" s="50">
        <v>-47753</v>
      </c>
      <c r="I45" s="50">
        <v>-47753</v>
      </c>
    </row>
    <row r="46" spans="1:9" x14ac:dyDescent="0.25">
      <c r="A46" t="s">
        <v>27</v>
      </c>
      <c r="D46" s="5">
        <v>2019</v>
      </c>
      <c r="E46">
        <v>584</v>
      </c>
      <c r="F46" s="50">
        <v>30871</v>
      </c>
      <c r="I46" s="50">
        <v>30871</v>
      </c>
    </row>
    <row r="47" spans="1:9" x14ac:dyDescent="0.25">
      <c r="A47" t="s">
        <v>88</v>
      </c>
      <c r="D47" s="5">
        <v>2019</v>
      </c>
      <c r="E47">
        <v>593</v>
      </c>
      <c r="F47" s="50">
        <v>9253269</v>
      </c>
      <c r="G47" s="50">
        <v>116012</v>
      </c>
      <c r="H47" s="50">
        <v>425291</v>
      </c>
      <c r="I47" s="50">
        <v>8711966</v>
      </c>
    </row>
    <row r="48" spans="1:9" x14ac:dyDescent="0.25">
      <c r="A48" t="s">
        <v>89</v>
      </c>
      <c r="D48" s="5">
        <v>2019</v>
      </c>
      <c r="E48" t="s">
        <v>29</v>
      </c>
      <c r="F48" s="50">
        <v>10442340</v>
      </c>
      <c r="G48" s="50">
        <v>123251</v>
      </c>
      <c r="H48" s="50">
        <v>451790</v>
      </c>
      <c r="I48" s="50">
        <v>9867298</v>
      </c>
    </row>
    <row r="49" spans="1:9" x14ac:dyDescent="0.25">
      <c r="A49" t="s">
        <v>90</v>
      </c>
      <c r="D49" s="5" t="s">
        <v>19</v>
      </c>
      <c r="F49" s="56">
        <v>62327175</v>
      </c>
      <c r="G49" s="50">
        <v>530167</v>
      </c>
      <c r="H49" s="50">
        <v>1977200</v>
      </c>
      <c r="I49" s="50">
        <v>59819808</v>
      </c>
    </row>
    <row r="51" spans="1:9" hidden="1" outlineLevel="1" x14ac:dyDescent="0.25">
      <c r="F51" t="s">
        <v>30</v>
      </c>
    </row>
    <row r="52" spans="1:9" ht="30" hidden="1" outlineLevel="1" x14ac:dyDescent="0.25">
      <c r="A52" t="s">
        <v>23</v>
      </c>
      <c r="E52" t="s">
        <v>54</v>
      </c>
      <c r="F52" t="s">
        <v>19</v>
      </c>
      <c r="G52" s="55" t="s">
        <v>93</v>
      </c>
      <c r="H52" s="55" t="s">
        <v>94</v>
      </c>
      <c r="I52" s="55" t="s">
        <v>95</v>
      </c>
    </row>
    <row r="53" spans="1:9" collapsed="1" x14ac:dyDescent="0.25">
      <c r="A53" t="s">
        <v>96</v>
      </c>
      <c r="B53" t="s">
        <v>97</v>
      </c>
      <c r="C53" t="s">
        <v>98</v>
      </c>
      <c r="D53" s="5">
        <v>2018</v>
      </c>
      <c r="E53">
        <v>571</v>
      </c>
      <c r="F53" s="50">
        <v>3163</v>
      </c>
      <c r="G53" s="50">
        <v>118</v>
      </c>
      <c r="H53" s="50">
        <v>399</v>
      </c>
      <c r="I53" s="50">
        <v>2646</v>
      </c>
    </row>
    <row r="54" spans="1:9" x14ac:dyDescent="0.25">
      <c r="A54" t="s">
        <v>96</v>
      </c>
      <c r="B54" t="s">
        <v>97</v>
      </c>
      <c r="C54" t="s">
        <v>98</v>
      </c>
      <c r="D54" s="5">
        <v>2018</v>
      </c>
      <c r="E54">
        <v>583</v>
      </c>
      <c r="F54" s="50">
        <v>2493</v>
      </c>
      <c r="I54" s="50">
        <v>2493</v>
      </c>
    </row>
    <row r="55" spans="1:9" x14ac:dyDescent="0.25">
      <c r="A55" t="s">
        <v>96</v>
      </c>
      <c r="B55" t="s">
        <v>97</v>
      </c>
      <c r="C55" t="s">
        <v>98</v>
      </c>
      <c r="D55" s="5">
        <v>2018</v>
      </c>
      <c r="E55">
        <v>584</v>
      </c>
      <c r="F55" s="50">
        <v>1246</v>
      </c>
      <c r="I55" s="50">
        <v>1246</v>
      </c>
    </row>
    <row r="56" spans="1:9" x14ac:dyDescent="0.25">
      <c r="A56" t="s">
        <v>96</v>
      </c>
      <c r="B56" t="s">
        <v>97</v>
      </c>
      <c r="C56" t="s">
        <v>98</v>
      </c>
      <c r="D56" s="5">
        <v>2018</v>
      </c>
      <c r="E56">
        <v>593</v>
      </c>
      <c r="F56" s="50">
        <v>440974</v>
      </c>
      <c r="G56" s="50">
        <v>5275</v>
      </c>
      <c r="H56" s="50">
        <v>17878</v>
      </c>
      <c r="I56" s="50">
        <v>417821</v>
      </c>
    </row>
    <row r="57" spans="1:9" x14ac:dyDescent="0.25">
      <c r="A57" t="s">
        <v>96</v>
      </c>
      <c r="B57" t="s">
        <v>97</v>
      </c>
      <c r="C57" t="s">
        <v>98</v>
      </c>
      <c r="D57" s="5">
        <v>2018</v>
      </c>
      <c r="E57" t="s">
        <v>29</v>
      </c>
      <c r="F57" s="50">
        <v>447877</v>
      </c>
      <c r="G57" s="50">
        <v>5392</v>
      </c>
      <c r="H57" s="50">
        <v>18277</v>
      </c>
      <c r="I57" s="50">
        <v>424207</v>
      </c>
    </row>
    <row r="58" spans="1:9" x14ac:dyDescent="0.25">
      <c r="A58" t="s">
        <v>96</v>
      </c>
      <c r="B58" t="s">
        <v>97</v>
      </c>
      <c r="C58" t="s">
        <v>98</v>
      </c>
      <c r="D58" s="5">
        <v>2019</v>
      </c>
      <c r="E58">
        <v>571</v>
      </c>
      <c r="F58" s="50">
        <f>-F53</f>
        <v>-3163</v>
      </c>
      <c r="G58" s="50">
        <f t="shared" ref="G58:I58" si="0">-G53</f>
        <v>-118</v>
      </c>
      <c r="H58" s="50">
        <f t="shared" si="0"/>
        <v>-399</v>
      </c>
      <c r="I58" s="50">
        <f t="shared" si="0"/>
        <v>-2646</v>
      </c>
    </row>
    <row r="59" spans="1:9" x14ac:dyDescent="0.25">
      <c r="A59" t="s">
        <v>96</v>
      </c>
      <c r="B59" t="s">
        <v>97</v>
      </c>
      <c r="C59" t="s">
        <v>98</v>
      </c>
      <c r="D59" s="5">
        <v>2019</v>
      </c>
      <c r="E59">
        <v>583</v>
      </c>
      <c r="F59" s="50">
        <f t="shared" ref="F59:I59" si="1">-F54</f>
        <v>-2493</v>
      </c>
      <c r="G59" s="50">
        <f t="shared" si="1"/>
        <v>0</v>
      </c>
      <c r="H59" s="50">
        <f t="shared" si="1"/>
        <v>0</v>
      </c>
      <c r="I59" s="50">
        <f t="shared" si="1"/>
        <v>-2493</v>
      </c>
    </row>
    <row r="60" spans="1:9" x14ac:dyDescent="0.25">
      <c r="A60" t="s">
        <v>96</v>
      </c>
      <c r="B60" t="s">
        <v>97</v>
      </c>
      <c r="C60" t="s">
        <v>98</v>
      </c>
      <c r="D60" s="5">
        <v>2019</v>
      </c>
      <c r="E60">
        <v>584</v>
      </c>
      <c r="F60" s="50">
        <f t="shared" ref="F60:I60" si="2">-F55</f>
        <v>-1246</v>
      </c>
      <c r="G60" s="50">
        <f t="shared" si="2"/>
        <v>0</v>
      </c>
      <c r="H60" s="50">
        <f t="shared" si="2"/>
        <v>0</v>
      </c>
      <c r="I60" s="50">
        <f t="shared" si="2"/>
        <v>-1246</v>
      </c>
    </row>
    <row r="61" spans="1:9" x14ac:dyDescent="0.25">
      <c r="A61" t="s">
        <v>96</v>
      </c>
      <c r="B61" t="s">
        <v>97</v>
      </c>
      <c r="C61" t="s">
        <v>98</v>
      </c>
      <c r="D61" s="5">
        <v>2019</v>
      </c>
      <c r="E61">
        <v>593</v>
      </c>
      <c r="F61" s="50">
        <f t="shared" ref="F61:I61" si="3">-F56</f>
        <v>-440974</v>
      </c>
      <c r="G61" s="50">
        <f t="shared" si="3"/>
        <v>-5275</v>
      </c>
      <c r="H61" s="50">
        <f t="shared" si="3"/>
        <v>-17878</v>
      </c>
      <c r="I61" s="50">
        <f t="shared" si="3"/>
        <v>-417821</v>
      </c>
    </row>
    <row r="62" spans="1:9" x14ac:dyDescent="0.25">
      <c r="A62" t="s">
        <v>96</v>
      </c>
      <c r="B62" t="s">
        <v>97</v>
      </c>
      <c r="C62" t="s">
        <v>98</v>
      </c>
      <c r="D62" s="5">
        <v>2019</v>
      </c>
      <c r="E62" t="s">
        <v>29</v>
      </c>
      <c r="F62" s="50">
        <f t="shared" ref="F62:I62" si="4">-F57</f>
        <v>-447877</v>
      </c>
      <c r="G62" s="50">
        <f t="shared" si="4"/>
        <v>-5392</v>
      </c>
      <c r="H62" s="50">
        <f t="shared" si="4"/>
        <v>-18277</v>
      </c>
      <c r="I62" s="50">
        <f t="shared" si="4"/>
        <v>-424207</v>
      </c>
    </row>
    <row r="65" spans="3:9" x14ac:dyDescent="0.25">
      <c r="D65" s="5">
        <v>2014</v>
      </c>
      <c r="E65" s="50"/>
      <c r="F65" s="50">
        <f t="shared" ref="F65:H68" si="5">SUMIF($D$13:$D$48,$D65,F$13:F$48)/2</f>
        <v>11681493</v>
      </c>
      <c r="G65" s="50">
        <f t="shared" si="5"/>
        <v>75904.5</v>
      </c>
      <c r="H65" s="50">
        <f t="shared" si="5"/>
        <v>284077</v>
      </c>
      <c r="I65" s="50">
        <f>F65-G65-H65</f>
        <v>11321511.5</v>
      </c>
    </row>
    <row r="66" spans="3:9" x14ac:dyDescent="0.25">
      <c r="D66" s="5">
        <v>2015</v>
      </c>
      <c r="E66" s="50"/>
      <c r="F66" s="50">
        <f t="shared" si="5"/>
        <v>11161027.5</v>
      </c>
      <c r="G66" s="50">
        <f t="shared" si="5"/>
        <v>147800</v>
      </c>
      <c r="H66" s="50">
        <f t="shared" si="5"/>
        <v>545344</v>
      </c>
      <c r="I66" s="50">
        <f t="shared" ref="I66:I72" si="6">F66-G66-H66</f>
        <v>10467883.5</v>
      </c>
    </row>
    <row r="67" spans="3:9" x14ac:dyDescent="0.25">
      <c r="D67" s="5">
        <v>2016</v>
      </c>
      <c r="E67" s="50"/>
      <c r="F67" s="50">
        <f t="shared" si="5"/>
        <v>9542195</v>
      </c>
      <c r="G67" s="50">
        <f t="shared" si="5"/>
        <v>55441</v>
      </c>
      <c r="H67" s="50">
        <f t="shared" si="5"/>
        <v>185084</v>
      </c>
      <c r="I67" s="50">
        <f t="shared" si="6"/>
        <v>9301670</v>
      </c>
    </row>
    <row r="68" spans="3:9" x14ac:dyDescent="0.25">
      <c r="D68" s="5">
        <v>2017</v>
      </c>
      <c r="E68" s="50"/>
      <c r="F68" s="50">
        <f t="shared" si="5"/>
        <v>9206387</v>
      </c>
      <c r="G68" s="50">
        <f t="shared" si="5"/>
        <v>14243</v>
      </c>
      <c r="H68" s="50">
        <f t="shared" si="5"/>
        <v>50856</v>
      </c>
      <c r="I68" s="50">
        <f t="shared" si="6"/>
        <v>9141288</v>
      </c>
    </row>
    <row r="69" spans="3:9" x14ac:dyDescent="0.25">
      <c r="D69" s="5">
        <v>2018</v>
      </c>
      <c r="E69" s="50"/>
      <c r="F69" s="50">
        <f>SUMIF($D$13:$D$48,$D69,F$13:F$48)/2</f>
        <v>10293732.5</v>
      </c>
      <c r="G69" s="50">
        <f>SUMIF($D$13:$D$48,$D69,G$13:G$48)/2</f>
        <v>113526.5</v>
      </c>
      <c r="H69" s="50">
        <f>SUMIF($D$13:$D$48,$D69,H$13:H$48)/2</f>
        <v>460049.5</v>
      </c>
      <c r="I69" s="50">
        <f t="shared" si="6"/>
        <v>9720156.5</v>
      </c>
    </row>
    <row r="70" spans="3:9" x14ac:dyDescent="0.25">
      <c r="C70" t="s">
        <v>98</v>
      </c>
      <c r="D70" s="5">
        <v>2018</v>
      </c>
      <c r="E70" s="50"/>
      <c r="F70" s="50">
        <f>SUMIF($D$53:$D$62,$D70,F$53:F$62)/2</f>
        <v>447876.5</v>
      </c>
      <c r="G70" s="50">
        <f t="shared" ref="G70:H70" si="7">SUMIF($D$53:$D$62,$D70,G$53:G$62)/2</f>
        <v>5392.5</v>
      </c>
      <c r="H70" s="50">
        <f t="shared" si="7"/>
        <v>18277</v>
      </c>
      <c r="I70" s="50">
        <f t="shared" si="6"/>
        <v>424207</v>
      </c>
    </row>
    <row r="71" spans="3:9" x14ac:dyDescent="0.25">
      <c r="D71" s="5">
        <v>2019</v>
      </c>
      <c r="E71" s="50"/>
      <c r="F71" s="50">
        <f>SUMIF($D$13:$D$48,$D71,F$13:F$48)/2</f>
        <v>10442340</v>
      </c>
      <c r="G71" s="50">
        <f t="shared" ref="G71:H71" si="8">SUMIF($D$13:$D$48,$D71,G$13:G$48)/2</f>
        <v>123251</v>
      </c>
      <c r="H71" s="50">
        <f t="shared" si="8"/>
        <v>451790</v>
      </c>
      <c r="I71" s="50">
        <f t="shared" si="6"/>
        <v>9867299</v>
      </c>
    </row>
    <row r="72" spans="3:9" x14ac:dyDescent="0.25">
      <c r="C72" t="s">
        <v>98</v>
      </c>
      <c r="D72" s="5">
        <v>2019</v>
      </c>
      <c r="E72" s="50"/>
      <c r="F72" s="50">
        <f>SUMIF($D$53:$D$62,$D72,F$53:F$62)/2</f>
        <v>-447876.5</v>
      </c>
      <c r="G72" s="50">
        <f t="shared" ref="G72:H72" si="9">SUMIF($D$53:$D$62,$D72,G$53:G$62)/2</f>
        <v>-5392.5</v>
      </c>
      <c r="H72" s="50">
        <f t="shared" si="9"/>
        <v>-18277</v>
      </c>
      <c r="I72" s="50">
        <f t="shared" si="6"/>
        <v>-424207</v>
      </c>
    </row>
    <row r="73" spans="3:9" x14ac:dyDescent="0.25">
      <c r="D73" s="5" t="s">
        <v>9</v>
      </c>
      <c r="E73" s="50"/>
      <c r="F73" s="50">
        <f>SUM(F65:F72)</f>
        <v>62327175</v>
      </c>
      <c r="G73" s="50">
        <f>SUM(G65:G72)</f>
        <v>530166</v>
      </c>
      <c r="H73" s="50">
        <f>SUM(H65:H72)</f>
        <v>1977200.5</v>
      </c>
      <c r="I73" s="50">
        <f>SUM(I65:I72)</f>
        <v>59819808.5</v>
      </c>
    </row>
    <row r="74" spans="3:9" x14ac:dyDescent="0.25">
      <c r="E74" s="50"/>
      <c r="F74" s="50"/>
      <c r="G74" s="50"/>
      <c r="H74" s="50"/>
      <c r="I74" s="50"/>
    </row>
    <row r="75" spans="3:9" x14ac:dyDescent="0.25">
      <c r="E75" s="50"/>
      <c r="F75" s="50"/>
      <c r="G75" s="50"/>
      <c r="H75" s="50"/>
      <c r="I75" s="50"/>
    </row>
    <row r="76" spans="3:9" x14ac:dyDescent="0.25">
      <c r="E76" s="50"/>
      <c r="F76" s="50"/>
      <c r="G76" s="50"/>
      <c r="H76" s="50"/>
      <c r="I76" s="50"/>
    </row>
    <row r="77" spans="3:9" x14ac:dyDescent="0.25">
      <c r="D77" s="5" t="s">
        <v>106</v>
      </c>
      <c r="F77" s="50">
        <f>F69</f>
        <v>10293732.5</v>
      </c>
      <c r="G77" s="50">
        <f t="shared" ref="G77:H77" si="10">G69</f>
        <v>113526.5</v>
      </c>
      <c r="H77" s="50">
        <f t="shared" si="10"/>
        <v>460049.5</v>
      </c>
      <c r="I77" s="50">
        <f>F77-G77-H77</f>
        <v>9720156.5</v>
      </c>
    </row>
    <row r="78" spans="3:9" x14ac:dyDescent="0.25">
      <c r="D78" s="5" t="s">
        <v>107</v>
      </c>
      <c r="F78" s="50">
        <f>F70</f>
        <v>447876.5</v>
      </c>
      <c r="G78" s="50">
        <f t="shared" ref="G78:H78" si="11">G70</f>
        <v>5392.5</v>
      </c>
      <c r="H78" s="50">
        <f t="shared" si="11"/>
        <v>18277</v>
      </c>
      <c r="I78" s="50">
        <f>F78-G78-H78</f>
        <v>424207</v>
      </c>
    </row>
    <row r="79" spans="3:9" ht="15.75" thickBot="1" x14ac:dyDescent="0.3">
      <c r="D79" s="5" t="s">
        <v>105</v>
      </c>
      <c r="F79" s="4">
        <f>SUM(F77:F78)</f>
        <v>10741609</v>
      </c>
      <c r="G79" s="4">
        <f t="shared" ref="G79:H79" si="12">SUM(G77:G78)</f>
        <v>118919</v>
      </c>
      <c r="H79" s="4">
        <f t="shared" si="12"/>
        <v>478326.5</v>
      </c>
      <c r="I79" s="4">
        <f>F79-G79-H79</f>
        <v>10144363.5</v>
      </c>
    </row>
    <row r="80" spans="3:9" ht="15.75" thickTop="1" x14ac:dyDescent="0.25"/>
    <row r="82" spans="3:9" x14ac:dyDescent="0.25">
      <c r="D82" s="5" t="s">
        <v>104</v>
      </c>
      <c r="F82" s="50">
        <f>F71</f>
        <v>10442340</v>
      </c>
      <c r="G82" s="50">
        <f>G71</f>
        <v>123251</v>
      </c>
      <c r="H82" s="50">
        <f>H71</f>
        <v>451790</v>
      </c>
      <c r="I82" s="50">
        <f>F82-G82-H82</f>
        <v>9867299</v>
      </c>
    </row>
    <row r="83" spans="3:9" x14ac:dyDescent="0.25">
      <c r="D83" s="5" t="s">
        <v>108</v>
      </c>
      <c r="F83" s="50">
        <f>F72</f>
        <v>-447876.5</v>
      </c>
      <c r="G83" s="50">
        <f>G72</f>
        <v>-5392.5</v>
      </c>
      <c r="H83" s="50">
        <f>H72</f>
        <v>-18277</v>
      </c>
      <c r="I83" s="50">
        <f>F83-G83-H83</f>
        <v>-424207</v>
      </c>
    </row>
    <row r="84" spans="3:9" ht="15.75" thickBot="1" x14ac:dyDescent="0.3">
      <c r="D84" s="5" t="s">
        <v>103</v>
      </c>
      <c r="F84" s="4">
        <f>SUM(F71:F72)</f>
        <v>9994463.5</v>
      </c>
      <c r="G84" s="4">
        <f>SUM(G71:G72)</f>
        <v>117858.5</v>
      </c>
      <c r="H84" s="4">
        <f>SUM(H71:H72)</f>
        <v>433513</v>
      </c>
      <c r="I84" s="4">
        <f>F84-G84-H84</f>
        <v>9443092</v>
      </c>
    </row>
    <row r="85" spans="3:9" ht="15.75" thickTop="1" x14ac:dyDescent="0.25">
      <c r="F85" s="3"/>
      <c r="G85" s="3"/>
      <c r="H85" s="3"/>
      <c r="I85" s="3"/>
    </row>
    <row r="86" spans="3:9" x14ac:dyDescent="0.25">
      <c r="F86" s="3"/>
      <c r="G86" s="3"/>
      <c r="H86" s="3"/>
      <c r="I86" s="3"/>
    </row>
    <row r="87" spans="3:9" x14ac:dyDescent="0.25">
      <c r="C87" t="s">
        <v>109</v>
      </c>
      <c r="D87" s="5" t="s">
        <v>111</v>
      </c>
    </row>
    <row r="88" spans="3:9" x14ac:dyDescent="0.25">
      <c r="D88" s="5" t="s">
        <v>110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D773D3-B1F7-4FD7-94BC-40CB4CDB07F1}"/>
</file>

<file path=customXml/itemProps2.xml><?xml version="1.0" encoding="utf-8"?>
<ds:datastoreItem xmlns:ds="http://schemas.openxmlformats.org/officeDocument/2006/customXml" ds:itemID="{D62937AD-D01C-482D-AC7C-008C17DE9BB4}"/>
</file>

<file path=customXml/itemProps3.xml><?xml version="1.0" encoding="utf-8"?>
<ds:datastoreItem xmlns:ds="http://schemas.openxmlformats.org/officeDocument/2006/customXml" ds:itemID="{F73F5876-94E8-47B4-A0FD-EED3A4CA0F3F}"/>
</file>

<file path=customXml/itemProps4.xml><?xml version="1.0" encoding="utf-8"?>
<ds:datastoreItem xmlns:ds="http://schemas.openxmlformats.org/officeDocument/2006/customXml" ds:itemID="{CE86C51C-BB80-4079-9B17-F6FCA2EBFB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E</vt:lpstr>
      <vt:lpstr>storm</vt:lpstr>
      <vt:lpstr>'Lead 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Free, Susan</cp:lastModifiedBy>
  <cp:lastPrinted>2018-02-23T17:12:57Z</cp:lastPrinted>
  <dcterms:created xsi:type="dcterms:W3CDTF">2018-02-22T21:25:37Z</dcterms:created>
  <dcterms:modified xsi:type="dcterms:W3CDTF">2020-03-26T18:33:50Z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