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\Rates\ENERGY EFFICIENCY\ANNUAL REPORTING\Annual Report 2020\CAG Review\For CAG\"/>
    </mc:Choice>
  </mc:AlternateContent>
  <xr:revisionPtr revIDLastSave="0" documentId="13_ncr:1_{7C17573E-D074-4714-AD6B-33EA12153490}" xr6:coauthVersionLast="45" xr6:coauthVersionMax="45" xr10:uidLastSave="{00000000-0000-0000-0000-000000000000}"/>
  <bookViews>
    <workbookView xWindow="28680" yWindow="-120" windowWidth="29040" windowHeight="15840" tabRatio="881" xr2:uid="{00000000-000D-0000-FFFF-FFFF00000000}"/>
  </bookViews>
  <sheets>
    <sheet name="TOTAL FIRST YEAR by MEASURE" sheetId="1" r:id="rId1"/>
    <sheet name="2020 WA LIW ACTUALS" sheetId="11" r:id="rId2"/>
    <sheet name="2016 APP 2885" sheetId="9" r:id="rId3"/>
    <sheet name="2018 APP 2885" sheetId="2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'2020 WA LIW ACTUALS'!$A$6:$BH$50</definedName>
    <definedName name="AC">'2016 APP 2885'!$B$10:$G$54</definedName>
    <definedName name="Case_Flag">#REF!</definedName>
    <definedName name="Cons_Type_Flag">#REF!</definedName>
    <definedName name="ConstType">#REF!</definedName>
    <definedName name="CostPerMeasure">#REF!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ndUse_Type_Flag">#REF!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IbyJOB">#REF!</definedName>
    <definedName name="LTdiscount">'[3]Rates&amp;NEB'!$B$9</definedName>
    <definedName name="MeasureSize">#REF!</definedName>
    <definedName name="NEPercentage">'[3]Rates&amp;NEB'!$B$13</definedName>
    <definedName name="NomInt">'[3]Rates&amp;NEB'!$B$5</definedName>
    <definedName name="OffsetAnchor">'TOTAL FIRST YEAR by MEASURE'!$A$5</definedName>
    <definedName name="_xlnm.Print_Area" localSheetId="0">'TOTAL FIRST YEAR by MEASURE'!$A$1:$P$25</definedName>
    <definedName name="Raw_results">#REF!</definedName>
    <definedName name="Sector">#REF!</definedName>
    <definedName name="soff">#REF!</definedName>
    <definedName name="SSMeasures">[4]Sheet4!$A$5:$G$115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" l="1"/>
  <c r="C26" i="1"/>
  <c r="AV69" i="11" l="1"/>
  <c r="AW69" i="11" s="1"/>
  <c r="AV65" i="11"/>
  <c r="AW65" i="11" s="1"/>
  <c r="AX67" i="11"/>
  <c r="BB44" i="11" l="1"/>
  <c r="I48" i="1" l="1"/>
  <c r="B52" i="1" l="1"/>
  <c r="B26" i="1"/>
  <c r="H48" i="1" l="1"/>
  <c r="H22" i="1"/>
  <c r="BH5" i="11"/>
  <c r="BH49" i="11"/>
  <c r="BH50" i="11"/>
  <c r="F12" i="11"/>
  <c r="AV12" i="11" s="1"/>
  <c r="H60" i="1" l="1"/>
  <c r="AO46" i="11"/>
  <c r="AN46" i="11"/>
  <c r="AM46" i="11"/>
  <c r="AL46" i="11"/>
  <c r="AK46" i="11"/>
  <c r="AJ46" i="11"/>
  <c r="AG46" i="11"/>
  <c r="AH46" i="11"/>
  <c r="AI46" i="11"/>
  <c r="F46" i="11"/>
  <c r="BH46" i="11"/>
  <c r="AZ47" i="11"/>
  <c r="BG24" i="11"/>
  <c r="BG57" i="11"/>
  <c r="BA47" i="11"/>
  <c r="BD13" i="11"/>
  <c r="AV27" i="11"/>
  <c r="AW27" i="11"/>
  <c r="BH59" i="11" l="1"/>
  <c r="I22" i="1"/>
  <c r="BA60" i="11"/>
  <c r="BA57" i="11"/>
  <c r="AX27" i="11"/>
  <c r="AZ27" i="11" s="1"/>
  <c r="AV21" i="11"/>
  <c r="I60" i="1" l="1"/>
  <c r="BD62" i="11"/>
  <c r="BB27" i="11"/>
  <c r="B55" i="1" l="1"/>
  <c r="B29" i="1"/>
  <c r="BF55" i="11"/>
  <c r="BE54" i="11"/>
  <c r="BD54" i="11"/>
  <c r="BC54" i="11"/>
  <c r="AW54" i="11"/>
  <c r="AV54" i="11"/>
  <c r="AX54" i="11" l="1"/>
  <c r="AZ54" i="11" s="1"/>
  <c r="BB54" i="11" l="1"/>
  <c r="BG54" i="11" l="1"/>
  <c r="B51" i="1" l="1"/>
  <c r="B50" i="1"/>
  <c r="B49" i="1"/>
  <c r="E33" i="1"/>
  <c r="AS57" i="11"/>
  <c r="B47" i="1" s="1"/>
  <c r="AP57" i="11"/>
  <c r="B46" i="1" s="1"/>
  <c r="AM57" i="11"/>
  <c r="B45" i="1" s="1"/>
  <c r="AJ57" i="11"/>
  <c r="B44" i="1" s="1"/>
  <c r="AG57" i="11"/>
  <c r="B43" i="1" s="1"/>
  <c r="AD57" i="11"/>
  <c r="B42" i="1" s="1"/>
  <c r="AA57" i="11"/>
  <c r="B41" i="1" s="1"/>
  <c r="X57" i="11"/>
  <c r="B40" i="1" s="1"/>
  <c r="U57" i="11"/>
  <c r="B39" i="1" s="1"/>
  <c r="R57" i="11"/>
  <c r="B38" i="1" s="1"/>
  <c r="O57" i="11"/>
  <c r="B37" i="1" s="1"/>
  <c r="L57" i="11"/>
  <c r="B36" i="1" s="1"/>
  <c r="I57" i="11"/>
  <c r="B35" i="1" s="1"/>
  <c r="F57" i="11"/>
  <c r="B34" i="1" s="1"/>
  <c r="B48" i="1" l="1"/>
  <c r="E46" i="11"/>
  <c r="AX57" i="11"/>
  <c r="AY57" i="11"/>
  <c r="BC57" i="11"/>
  <c r="BD57" i="11"/>
  <c r="AW57" i="11"/>
  <c r="AV57" i="11"/>
  <c r="G46" i="11"/>
  <c r="F48" i="11" s="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AE46" i="11"/>
  <c r="AF46" i="11"/>
  <c r="AP46" i="11"/>
  <c r="AQ46" i="11"/>
  <c r="AR46" i="11"/>
  <c r="AT46" i="11"/>
  <c r="AU46" i="11"/>
  <c r="AS46" i="11"/>
  <c r="AS47" i="11"/>
  <c r="AP47" i="11"/>
  <c r="AM47" i="11"/>
  <c r="AJ47" i="11"/>
  <c r="AG47" i="11"/>
  <c r="AD47" i="11"/>
  <c r="AA47" i="11"/>
  <c r="X47" i="11"/>
  <c r="U47" i="11"/>
  <c r="R47" i="11"/>
  <c r="O47" i="11"/>
  <c r="L47" i="11"/>
  <c r="I47" i="11"/>
  <c r="AS56" i="11"/>
  <c r="AT56" i="11"/>
  <c r="AU56" i="11"/>
  <c r="C47" i="1" s="1"/>
  <c r="AQ56" i="11"/>
  <c r="AR56" i="11"/>
  <c r="C46" i="1" s="1"/>
  <c r="AK56" i="11"/>
  <c r="AL56" i="11"/>
  <c r="C44" i="1" s="1"/>
  <c r="AM56" i="11"/>
  <c r="AN56" i="11"/>
  <c r="AO56" i="11"/>
  <c r="C45" i="1" s="1"/>
  <c r="AP56" i="11"/>
  <c r="AJ56" i="11"/>
  <c r="AH56" i="11"/>
  <c r="AI56" i="11"/>
  <c r="C43" i="1" s="1"/>
  <c r="AG56" i="11"/>
  <c r="AE56" i="11"/>
  <c r="AF56" i="11"/>
  <c r="C42" i="1" s="1"/>
  <c r="AD56" i="11"/>
  <c r="AC56" i="11"/>
  <c r="C41" i="1" s="1"/>
  <c r="AB56" i="11"/>
  <c r="AA56" i="11"/>
  <c r="Z56" i="11"/>
  <c r="C40" i="1" s="1"/>
  <c r="Y56" i="11"/>
  <c r="X56" i="11"/>
  <c r="W56" i="11"/>
  <c r="C39" i="1" s="1"/>
  <c r="V56" i="11"/>
  <c r="U56" i="11"/>
  <c r="S56" i="11"/>
  <c r="T56" i="11"/>
  <c r="C38" i="1" s="1"/>
  <c r="R56" i="11"/>
  <c r="P56" i="11"/>
  <c r="Q56" i="11"/>
  <c r="C37" i="1" s="1"/>
  <c r="O56" i="11"/>
  <c r="N56" i="11"/>
  <c r="C36" i="1" s="1"/>
  <c r="M56" i="11"/>
  <c r="L56" i="11"/>
  <c r="K56" i="11"/>
  <c r="C35" i="1" s="1"/>
  <c r="J56" i="11"/>
  <c r="I56" i="11"/>
  <c r="H56" i="11"/>
  <c r="G56" i="11"/>
  <c r="F56" i="11"/>
  <c r="E56" i="11"/>
  <c r="R48" i="11" l="1"/>
  <c r="G41" i="1"/>
  <c r="G44" i="1"/>
  <c r="G36" i="1"/>
  <c r="G40" i="1"/>
  <c r="G43" i="1"/>
  <c r="G39" i="1"/>
  <c r="G42" i="1"/>
  <c r="G46" i="1"/>
  <c r="G47" i="1"/>
  <c r="G45" i="1"/>
  <c r="G35" i="1"/>
  <c r="G38" i="1"/>
  <c r="G37" i="1"/>
  <c r="AG58" i="11"/>
  <c r="D43" i="1" s="1"/>
  <c r="I43" i="1" s="1"/>
  <c r="R58" i="11"/>
  <c r="D38" i="1" s="1"/>
  <c r="I38" i="1" s="1"/>
  <c r="I58" i="11"/>
  <c r="D35" i="1" s="1"/>
  <c r="I35" i="1" s="1"/>
  <c r="K59" i="11"/>
  <c r="U58" i="11"/>
  <c r="D39" i="1" s="1"/>
  <c r="I39" i="1" s="1"/>
  <c r="AJ58" i="11"/>
  <c r="D44" i="1" s="1"/>
  <c r="E44" i="1" s="1"/>
  <c r="AS58" i="11"/>
  <c r="D47" i="1" s="1"/>
  <c r="L58" i="11"/>
  <c r="D36" i="1" s="1"/>
  <c r="X58" i="11"/>
  <c r="D40" i="1" s="1"/>
  <c r="AM58" i="11"/>
  <c r="D45" i="1" s="1"/>
  <c r="AP58" i="11"/>
  <c r="D46" i="1" s="1"/>
  <c r="I46" i="1" s="1"/>
  <c r="AD58" i="11"/>
  <c r="D42" i="1" s="1"/>
  <c r="I42" i="1" s="1"/>
  <c r="AA58" i="11"/>
  <c r="O58" i="11"/>
  <c r="D37" i="1" s="1"/>
  <c r="I37" i="1" s="1"/>
  <c r="H59" i="11"/>
  <c r="C34" i="1"/>
  <c r="F48" i="1" s="1"/>
  <c r="F58" i="11"/>
  <c r="D34" i="1" s="1"/>
  <c r="I34" i="1" s="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X21" i="11" s="1"/>
  <c r="AZ21" i="11" s="1"/>
  <c r="AW22" i="11"/>
  <c r="AW23" i="11"/>
  <c r="AW24" i="11"/>
  <c r="AW25" i="11"/>
  <c r="AW26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5" i="11"/>
  <c r="AW51" i="11"/>
  <c r="AW52" i="11"/>
  <c r="AW53" i="11"/>
  <c r="AW55" i="11"/>
  <c r="AV8" i="11"/>
  <c r="AV9" i="11"/>
  <c r="AX9" i="11" s="1"/>
  <c r="AZ9" i="11" s="1"/>
  <c r="AV10" i="11"/>
  <c r="AX10" i="11" s="1"/>
  <c r="AZ10" i="11" s="1"/>
  <c r="AV11" i="11"/>
  <c r="AX11" i="11" s="1"/>
  <c r="AZ11" i="11" s="1"/>
  <c r="AV13" i="11"/>
  <c r="AV14" i="11"/>
  <c r="AV15" i="11"/>
  <c r="AV16" i="11"/>
  <c r="AV17" i="11"/>
  <c r="AV18" i="11"/>
  <c r="AV19" i="11"/>
  <c r="AV20" i="11"/>
  <c r="AV22" i="11"/>
  <c r="AV23" i="11"/>
  <c r="AV24" i="11"/>
  <c r="AV25" i="11"/>
  <c r="AV26" i="11"/>
  <c r="AV28" i="11"/>
  <c r="AV29" i="11"/>
  <c r="AV30" i="11"/>
  <c r="AV31" i="11"/>
  <c r="AV32" i="11"/>
  <c r="AV33" i="11"/>
  <c r="AV34" i="11"/>
  <c r="AV35" i="11"/>
  <c r="AV36" i="11"/>
  <c r="AV37" i="11"/>
  <c r="AV38" i="11"/>
  <c r="AV39" i="11"/>
  <c r="AV40" i="11"/>
  <c r="AV41" i="11"/>
  <c r="AV42" i="11"/>
  <c r="AV43" i="11"/>
  <c r="AV51" i="11"/>
  <c r="AV52" i="11"/>
  <c r="AV53" i="11"/>
  <c r="AV55" i="11"/>
  <c r="AV7" i="11"/>
  <c r="BC8" i="11"/>
  <c r="BC9" i="11"/>
  <c r="BC10" i="11"/>
  <c r="BC11" i="11"/>
  <c r="BC13" i="11"/>
  <c r="BC14" i="11"/>
  <c r="BC15" i="11"/>
  <c r="BC16" i="11"/>
  <c r="BC17" i="11"/>
  <c r="BC18" i="11"/>
  <c r="BC19" i="11"/>
  <c r="BC20" i="11"/>
  <c r="BC21" i="11"/>
  <c r="BC22" i="11"/>
  <c r="BC23" i="11"/>
  <c r="BC24" i="11"/>
  <c r="BC25" i="11"/>
  <c r="BC26" i="11"/>
  <c r="BC27" i="11"/>
  <c r="BC28" i="11"/>
  <c r="BC29" i="11"/>
  <c r="BC30" i="11"/>
  <c r="BC31" i="11"/>
  <c r="BC32" i="11"/>
  <c r="BC33" i="11"/>
  <c r="BC34" i="11"/>
  <c r="BC35" i="11"/>
  <c r="BC36" i="11"/>
  <c r="BC37" i="11"/>
  <c r="BC38" i="11"/>
  <c r="BC39" i="11"/>
  <c r="BC40" i="11"/>
  <c r="BC41" i="11"/>
  <c r="BC42" i="11"/>
  <c r="BC43" i="11"/>
  <c r="BC44" i="11"/>
  <c r="BC45" i="11"/>
  <c r="BC51" i="11"/>
  <c r="BC52" i="11"/>
  <c r="BC53" i="11"/>
  <c r="BC55" i="11"/>
  <c r="J43" i="1" l="1"/>
  <c r="J35" i="1"/>
  <c r="J38" i="1"/>
  <c r="J37" i="1"/>
  <c r="D41" i="1"/>
  <c r="I41" i="1" s="1"/>
  <c r="J41" i="1" s="1"/>
  <c r="J39" i="1"/>
  <c r="AW56" i="11"/>
  <c r="J42" i="1"/>
  <c r="J46" i="1"/>
  <c r="E43" i="1"/>
  <c r="N43" i="1" s="1"/>
  <c r="BB11" i="11"/>
  <c r="BG11" i="11" s="1"/>
  <c r="BB10" i="11"/>
  <c r="BB9" i="11"/>
  <c r="BG9" i="11" s="1"/>
  <c r="BB21" i="11"/>
  <c r="E35" i="1"/>
  <c r="N35" i="1" s="1"/>
  <c r="N44" i="1"/>
  <c r="E38" i="1"/>
  <c r="N38" i="1" s="1"/>
  <c r="I44" i="1"/>
  <c r="J44" i="1" s="1"/>
  <c r="E39" i="1"/>
  <c r="N39" i="1" s="1"/>
  <c r="AX37" i="11"/>
  <c r="AZ37" i="11" s="1"/>
  <c r="AX29" i="11"/>
  <c r="AZ29" i="11" s="1"/>
  <c r="BC56" i="11"/>
  <c r="AX13" i="11"/>
  <c r="AZ13" i="11" s="1"/>
  <c r="AX43" i="11"/>
  <c r="AZ43" i="11" s="1"/>
  <c r="E37" i="1"/>
  <c r="N37" i="1" s="1"/>
  <c r="AV56" i="11"/>
  <c r="AV46" i="11"/>
  <c r="F47" i="11"/>
  <c r="B8" i="1" s="1"/>
  <c r="D48" i="1"/>
  <c r="E42" i="1"/>
  <c r="N42" i="1" s="1"/>
  <c r="I45" i="1"/>
  <c r="J45" i="1" s="1"/>
  <c r="E45" i="1"/>
  <c r="N45" i="1" s="1"/>
  <c r="E47" i="1"/>
  <c r="N47" i="1" s="1"/>
  <c r="I47" i="1"/>
  <c r="J47" i="1" s="1"/>
  <c r="I40" i="1"/>
  <c r="J40" i="1" s="1"/>
  <c r="E40" i="1"/>
  <c r="N40" i="1" s="1"/>
  <c r="E34" i="1"/>
  <c r="E46" i="1"/>
  <c r="N46" i="1" s="1"/>
  <c r="E36" i="1"/>
  <c r="N36" i="1" s="1"/>
  <c r="I36" i="1"/>
  <c r="J36" i="1" s="1"/>
  <c r="G34" i="1"/>
  <c r="G48" i="1" s="1"/>
  <c r="C48" i="1"/>
  <c r="L48" i="1" s="1"/>
  <c r="AX45" i="11"/>
  <c r="AX30" i="11"/>
  <c r="AZ30" i="11" s="1"/>
  <c r="AX35" i="11"/>
  <c r="AZ35" i="11" s="1"/>
  <c r="AX19" i="11"/>
  <c r="AZ19" i="11" s="1"/>
  <c r="BC12" i="11"/>
  <c r="AX52" i="11"/>
  <c r="AZ52" i="11" s="1"/>
  <c r="AX39" i="11"/>
  <c r="AZ39" i="11" s="1"/>
  <c r="AX31" i="11"/>
  <c r="AZ31" i="11" s="1"/>
  <c r="AX23" i="11"/>
  <c r="AZ23" i="11" s="1"/>
  <c r="AX15" i="11"/>
  <c r="AZ15" i="11" s="1"/>
  <c r="AX51" i="11"/>
  <c r="BG51" i="11" s="1"/>
  <c r="AX38" i="11"/>
  <c r="AZ38" i="11" s="1"/>
  <c r="AX22" i="11"/>
  <c r="AZ22" i="11" s="1"/>
  <c r="AX14" i="11"/>
  <c r="AZ14" i="11" s="1"/>
  <c r="AX8" i="11"/>
  <c r="AZ8" i="11" s="1"/>
  <c r="AX26" i="11"/>
  <c r="BG26" i="11" s="1"/>
  <c r="AX18" i="11"/>
  <c r="AZ18" i="11" s="1"/>
  <c r="AX17" i="11"/>
  <c r="AZ17" i="11" s="1"/>
  <c r="AX36" i="11"/>
  <c r="AZ36" i="11" s="1"/>
  <c r="AX28" i="11"/>
  <c r="AZ28" i="11" s="1"/>
  <c r="AX20" i="11"/>
  <c r="AZ20" i="11" s="1"/>
  <c r="AX12" i="11"/>
  <c r="BG12" i="11" s="1"/>
  <c r="AX55" i="11"/>
  <c r="AZ55" i="11" s="1"/>
  <c r="AX42" i="11"/>
  <c r="AZ42" i="11" s="1"/>
  <c r="AX34" i="11"/>
  <c r="AZ34" i="11" s="1"/>
  <c r="AX41" i="11"/>
  <c r="AZ41" i="11" s="1"/>
  <c r="AX33" i="11"/>
  <c r="AZ33" i="11" s="1"/>
  <c r="AX25" i="11"/>
  <c r="BG25" i="11" s="1"/>
  <c r="AX53" i="11"/>
  <c r="AZ53" i="11" s="1"/>
  <c r="AX40" i="11"/>
  <c r="AZ40" i="11" s="1"/>
  <c r="AX32" i="11"/>
  <c r="AZ32" i="11" s="1"/>
  <c r="AX16" i="11"/>
  <c r="BG16" i="11" s="1"/>
  <c r="BF45" i="11"/>
  <c r="K48" i="1" l="1"/>
  <c r="J48" i="1"/>
  <c r="E41" i="1"/>
  <c r="N41" i="1" s="1"/>
  <c r="AV59" i="11"/>
  <c r="H41" i="1"/>
  <c r="H36" i="1"/>
  <c r="H43" i="1"/>
  <c r="H42" i="1"/>
  <c r="H47" i="1"/>
  <c r="H35" i="1"/>
  <c r="H37" i="1"/>
  <c r="H44" i="1"/>
  <c r="H40" i="1"/>
  <c r="H39" i="1"/>
  <c r="H46" i="1"/>
  <c r="H45" i="1"/>
  <c r="H38" i="1"/>
  <c r="H34" i="1"/>
  <c r="D8" i="1"/>
  <c r="AZ56" i="11"/>
  <c r="BG10" i="11"/>
  <c r="BB29" i="11"/>
  <c r="BB35" i="11"/>
  <c r="BB37" i="11"/>
  <c r="BB33" i="11"/>
  <c r="BB41" i="11"/>
  <c r="BB17" i="11"/>
  <c r="BB15" i="11"/>
  <c r="BB30" i="11"/>
  <c r="BB34" i="11"/>
  <c r="BB18" i="11"/>
  <c r="BB23" i="11"/>
  <c r="BB20" i="11"/>
  <c r="BB42" i="11"/>
  <c r="BB31" i="11"/>
  <c r="BB22" i="11"/>
  <c r="BB38" i="11"/>
  <c r="BB32" i="11"/>
  <c r="BB8" i="11"/>
  <c r="BB43" i="11"/>
  <c r="BB53" i="11"/>
  <c r="BB28" i="11"/>
  <c r="BB19" i="11"/>
  <c r="BB36" i="11"/>
  <c r="BB55" i="11"/>
  <c r="BB39" i="11"/>
  <c r="BB40" i="11"/>
  <c r="BB14" i="11"/>
  <c r="BB52" i="11"/>
  <c r="BB13" i="11"/>
  <c r="AX56" i="11"/>
  <c r="BH58" i="11" s="1"/>
  <c r="J34" i="1"/>
  <c r="N34" i="1"/>
  <c r="BE45" i="11"/>
  <c r="E48" i="1" l="1"/>
  <c r="N48" i="1" s="1"/>
  <c r="BG15" i="11"/>
  <c r="BG8" i="11"/>
  <c r="BG14" i="11"/>
  <c r="BB56" i="11"/>
  <c r="BF52" i="11" l="1"/>
  <c r="BF51" i="11" l="1"/>
  <c r="BF44" i="11" l="1"/>
  <c r="BF43" i="11" l="1"/>
  <c r="BF42" i="11"/>
  <c r="BF41" i="11"/>
  <c r="BF24" i="11" l="1"/>
  <c r="BF40" i="11" l="1"/>
  <c r="BF39" i="11" l="1"/>
  <c r="BF34" i="11" l="1"/>
  <c r="BF35" i="11"/>
  <c r="BF36" i="11"/>
  <c r="BF37" i="11"/>
  <c r="BF38" i="11"/>
  <c r="BF33" i="11" l="1"/>
  <c r="BF32" i="11"/>
  <c r="BF31" i="11" l="1"/>
  <c r="BF30" i="11"/>
  <c r="BF29" i="11"/>
  <c r="BF28" i="11" l="1"/>
  <c r="BC7" i="11" l="1"/>
  <c r="BC46" i="11" s="1"/>
  <c r="BC59" i="11" s="1"/>
  <c r="BH47" i="11"/>
  <c r="BH57" i="11" s="1"/>
  <c r="BD47" i="11"/>
  <c r="BC47" i="11"/>
  <c r="AY47" i="11"/>
  <c r="AX47" i="11"/>
  <c r="AW47" i="11"/>
  <c r="AV47" i="11"/>
  <c r="BD55" i="11"/>
  <c r="BE55" i="11"/>
  <c r="BD53" i="11"/>
  <c r="BE53" i="11"/>
  <c r="BD52" i="11"/>
  <c r="BE52" i="11"/>
  <c r="BD51" i="11"/>
  <c r="BE51" i="11"/>
  <c r="BE44" i="11"/>
  <c r="BD44" i="11"/>
  <c r="BE43" i="11"/>
  <c r="BD43" i="11"/>
  <c r="BE42" i="11"/>
  <c r="BD42" i="11"/>
  <c r="BE41" i="11"/>
  <c r="BD41" i="11"/>
  <c r="BE40" i="11"/>
  <c r="BD40" i="11"/>
  <c r="BE39" i="11"/>
  <c r="BD39" i="11"/>
  <c r="BE38" i="11"/>
  <c r="BD38" i="11"/>
  <c r="BE37" i="11"/>
  <c r="BD37" i="11"/>
  <c r="BE36" i="11"/>
  <c r="BD36" i="11"/>
  <c r="BE35" i="11"/>
  <c r="BD35" i="11"/>
  <c r="BE34" i="11"/>
  <c r="BD34" i="11"/>
  <c r="BE33" i="11"/>
  <c r="BD33" i="11"/>
  <c r="BE32" i="11"/>
  <c r="BD32" i="11"/>
  <c r="BE31" i="11"/>
  <c r="BD31" i="11"/>
  <c r="BE30" i="11"/>
  <c r="BD30" i="11"/>
  <c r="BE29" i="11"/>
  <c r="BD29" i="11"/>
  <c r="BE28" i="11"/>
  <c r="BD28" i="11"/>
  <c r="BF27" i="11"/>
  <c r="BE27" i="11"/>
  <c r="BD27" i="11"/>
  <c r="BF26" i="11"/>
  <c r="BE26" i="11"/>
  <c r="BD26" i="11"/>
  <c r="BF25" i="11"/>
  <c r="BE25" i="11"/>
  <c r="BD25" i="11"/>
  <c r="BE24" i="11"/>
  <c r="BD24" i="11"/>
  <c r="BF23" i="11"/>
  <c r="BE23" i="11"/>
  <c r="BD23" i="11"/>
  <c r="BF22" i="11"/>
  <c r="BE22" i="11"/>
  <c r="BD22" i="11"/>
  <c r="BF21" i="11"/>
  <c r="BE21" i="11"/>
  <c r="BD21" i="11"/>
  <c r="BF20" i="11"/>
  <c r="BE20" i="11"/>
  <c r="BD20" i="11"/>
  <c r="BF19" i="11"/>
  <c r="BE19" i="11"/>
  <c r="BD19" i="11"/>
  <c r="BF18" i="11"/>
  <c r="BE18" i="11"/>
  <c r="BD18" i="11"/>
  <c r="BF17" i="11"/>
  <c r="BE17" i="11"/>
  <c r="BD17" i="11"/>
  <c r="BF16" i="11"/>
  <c r="BE16" i="11"/>
  <c r="BD16" i="11"/>
  <c r="BF15" i="11"/>
  <c r="BE15" i="11"/>
  <c r="BD15" i="11"/>
  <c r="BF14" i="11"/>
  <c r="BE14" i="11"/>
  <c r="BD14" i="11"/>
  <c r="BF13" i="11"/>
  <c r="BE13" i="11"/>
  <c r="BF12" i="11"/>
  <c r="BE12" i="11"/>
  <c r="BD12" i="11"/>
  <c r="BF11" i="11"/>
  <c r="BE11" i="11"/>
  <c r="BD11" i="11"/>
  <c r="BF10" i="11"/>
  <c r="BE10" i="11"/>
  <c r="BD10" i="11"/>
  <c r="BF9" i="11"/>
  <c r="BE9" i="11"/>
  <c r="BD9" i="11"/>
  <c r="BF8" i="11"/>
  <c r="BE8" i="11"/>
  <c r="BD8" i="11"/>
  <c r="BF7" i="11"/>
  <c r="BE7" i="11"/>
  <c r="BD7" i="11"/>
  <c r="AW7" i="11"/>
  <c r="AW46" i="11" s="1"/>
  <c r="BD56" i="11" l="1"/>
  <c r="AX7" i="11"/>
  <c r="AZ7" i="11" s="1"/>
  <c r="AW59" i="11"/>
  <c r="AV66" i="11" s="1"/>
  <c r="AW66" i="11" s="1"/>
  <c r="BD46" i="11"/>
  <c r="BD59" i="11" s="1"/>
  <c r="BG20" i="11"/>
  <c r="BG18" i="11"/>
  <c r="BG13" i="11"/>
  <c r="BG19" i="11"/>
  <c r="BG36" i="11"/>
  <c r="BG40" i="11"/>
  <c r="BG42" i="11"/>
  <c r="BG41" i="11"/>
  <c r="BG39" i="11"/>
  <c r="BG33" i="11"/>
  <c r="BG27" i="11"/>
  <c r="AX46" i="11" l="1"/>
  <c r="AX59" i="11" s="1"/>
  <c r="AX64" i="11" s="1"/>
  <c r="BB7" i="11"/>
  <c r="BG34" i="11"/>
  <c r="BG21" i="11"/>
  <c r="BG43" i="11"/>
  <c r="BG23" i="11"/>
  <c r="BG22" i="11"/>
  <c r="BG37" i="11"/>
  <c r="BG38" i="11"/>
  <c r="BG35" i="11"/>
  <c r="BG32" i="11"/>
  <c r="BG29" i="11"/>
  <c r="BG28" i="11"/>
  <c r="BG31" i="11"/>
  <c r="BG17" i="11"/>
  <c r="BG30" i="11"/>
  <c r="BG7" i="11" l="1"/>
  <c r="BB46" i="11"/>
  <c r="BB59" i="11" s="1"/>
  <c r="BH48" i="11"/>
  <c r="BG46" i="11"/>
  <c r="AZ46" i="11"/>
  <c r="AZ59" i="11" s="1"/>
  <c r="BG55" i="11"/>
  <c r="BG53" i="11"/>
  <c r="BG52" i="11"/>
  <c r="B54" i="1"/>
  <c r="B53" i="1"/>
  <c r="E7" i="1"/>
  <c r="B9" i="1"/>
  <c r="B15" i="1"/>
  <c r="B17" i="1"/>
  <c r="B18" i="1"/>
  <c r="B11" i="1"/>
  <c r="B16" i="1"/>
  <c r="B14" i="1"/>
  <c r="B19" i="1"/>
  <c r="B13" i="1"/>
  <c r="B10" i="1"/>
  <c r="B21" i="1"/>
  <c r="B12" i="1"/>
  <c r="B20" i="1"/>
  <c r="AS48" i="11"/>
  <c r="D21" i="1" s="1"/>
  <c r="E21" i="1" s="1"/>
  <c r="C20" i="1"/>
  <c r="BH62" i="11" l="1"/>
  <c r="BG56" i="11"/>
  <c r="BG59" i="11" s="1"/>
  <c r="B27" i="1"/>
  <c r="O48" i="1"/>
  <c r="B28" i="1"/>
  <c r="B22" i="1"/>
  <c r="B60" i="1" s="1"/>
  <c r="I21" i="1"/>
  <c r="G20" i="1"/>
  <c r="AP48" i="11"/>
  <c r="D20" i="1" s="1"/>
  <c r="E20" i="1" s="1"/>
  <c r="P48" i="1" l="1"/>
  <c r="I20" i="1"/>
  <c r="N20" i="1"/>
  <c r="J20" i="1" l="1"/>
  <c r="C21" i="1"/>
  <c r="G21" i="1" l="1"/>
  <c r="N21" i="1" s="1"/>
  <c r="C19" i="1"/>
  <c r="J21" i="1" l="1"/>
  <c r="G19" i="1"/>
  <c r="AM48" i="11"/>
  <c r="D19" i="1" s="1"/>
  <c r="E19" i="1" s="1"/>
  <c r="N19" i="1" l="1"/>
  <c r="I19" i="1"/>
  <c r="J19" i="1" l="1"/>
  <c r="C18" i="1"/>
  <c r="AJ48" i="11"/>
  <c r="D18" i="1" s="1"/>
  <c r="I18" i="1" s="1"/>
  <c r="G18" i="1" l="1"/>
  <c r="J18" i="1" s="1"/>
  <c r="E18" i="1"/>
  <c r="C17" i="1"/>
  <c r="N18" i="1" l="1"/>
  <c r="G17" i="1"/>
  <c r="AG48" i="11"/>
  <c r="D17" i="1" l="1"/>
  <c r="E17" i="1" s="1"/>
  <c r="N17" i="1" s="1"/>
  <c r="I17" i="1" l="1"/>
  <c r="J17" i="1" s="1"/>
  <c r="AD48" i="11"/>
  <c r="D16" i="1" s="1"/>
  <c r="C16" i="1"/>
  <c r="E16" i="1" l="1"/>
  <c r="I16" i="1"/>
  <c r="G16" i="1"/>
  <c r="N16" i="1" l="1"/>
  <c r="J16" i="1"/>
  <c r="C15" i="1"/>
  <c r="AA48" i="11"/>
  <c r="D15" i="1" s="1"/>
  <c r="I15" i="1" s="1"/>
  <c r="G15" i="1" l="1"/>
  <c r="J15" i="1" s="1"/>
  <c r="E15" i="1"/>
  <c r="N15" i="1" l="1"/>
  <c r="C14" i="1"/>
  <c r="X48" i="11"/>
  <c r="D14" i="1" s="1"/>
  <c r="G14" i="1" l="1"/>
  <c r="I14" i="1"/>
  <c r="E14" i="1"/>
  <c r="J14" i="1" l="1"/>
  <c r="N14" i="1"/>
  <c r="U48" i="11"/>
  <c r="D13" i="1" s="1"/>
  <c r="C13" i="1"/>
  <c r="G13" i="1" l="1"/>
  <c r="I13" i="1"/>
  <c r="E13" i="1"/>
  <c r="N13" i="1" l="1"/>
  <c r="J13" i="1"/>
  <c r="C11" i="1"/>
  <c r="C12" i="1"/>
  <c r="O48" i="11"/>
  <c r="D11" i="1" s="1"/>
  <c r="D12" i="1"/>
  <c r="E12" i="1" s="1"/>
  <c r="G11" i="1" l="1"/>
  <c r="E11" i="1"/>
  <c r="I12" i="1"/>
  <c r="I11" i="1"/>
  <c r="G12" i="1"/>
  <c r="N12" i="1" s="1"/>
  <c r="N11" i="1" l="1"/>
  <c r="J11" i="1"/>
  <c r="J12" i="1"/>
  <c r="C10" i="1"/>
  <c r="L48" i="11"/>
  <c r="D10" i="1" s="1"/>
  <c r="G10" i="1" l="1"/>
  <c r="E10" i="1"/>
  <c r="I10" i="1"/>
  <c r="N10" i="1" l="1"/>
  <c r="J10" i="1"/>
  <c r="C9" i="1"/>
  <c r="I48" i="11"/>
  <c r="D9" i="1" s="1"/>
  <c r="D22" i="1" s="1"/>
  <c r="D60" i="1" s="1"/>
  <c r="G9" i="1" l="1"/>
  <c r="I9" i="1"/>
  <c r="E9" i="1"/>
  <c r="C8" i="1"/>
  <c r="F22" i="1" s="1"/>
  <c r="N9" i="1" l="1"/>
  <c r="J9" i="1"/>
  <c r="G8" i="1"/>
  <c r="G22" i="1" s="1"/>
  <c r="G60" i="1" s="1"/>
  <c r="J60" i="1" s="1"/>
  <c r="C22" i="1"/>
  <c r="I8" i="1"/>
  <c r="E8" i="1"/>
  <c r="E22" i="1" s="1"/>
  <c r="E60" i="1" s="1"/>
  <c r="C60" i="1" l="1"/>
  <c r="F64" i="1" s="1"/>
  <c r="H20" i="1"/>
  <c r="O20" i="1" s="1"/>
  <c r="H21" i="1"/>
  <c r="K21" i="1" s="1"/>
  <c r="H19" i="1"/>
  <c r="O19" i="1" s="1"/>
  <c r="H18" i="1"/>
  <c r="O18" i="1" s="1"/>
  <c r="H17" i="1"/>
  <c r="O17" i="1" s="1"/>
  <c r="H16" i="1"/>
  <c r="H15" i="1"/>
  <c r="K15" i="1" s="1"/>
  <c r="H14" i="1"/>
  <c r="K14" i="1" s="1"/>
  <c r="H13" i="1"/>
  <c r="K13" i="1" s="1"/>
  <c r="H12" i="1"/>
  <c r="P12" i="1" s="1"/>
  <c r="H11" i="1"/>
  <c r="K11" i="1" s="1"/>
  <c r="H10" i="1"/>
  <c r="L10" i="1" s="1"/>
  <c r="H9" i="1"/>
  <c r="K9" i="1" s="1"/>
  <c r="H8" i="1"/>
  <c r="P8" i="1" s="1"/>
  <c r="N22" i="1"/>
  <c r="N60" i="1" s="1"/>
  <c r="O22" i="1"/>
  <c r="O60" i="1" s="1"/>
  <c r="J8" i="1"/>
  <c r="N8" i="1"/>
  <c r="P22" i="1"/>
  <c r="P60" i="1" s="1"/>
  <c r="F63" i="1" l="1"/>
  <c r="F60" i="1" s="1"/>
  <c r="P21" i="1"/>
  <c r="L21" i="1"/>
  <c r="K20" i="1"/>
  <c r="P20" i="1"/>
  <c r="L14" i="1"/>
  <c r="O14" i="1"/>
  <c r="P14" i="1"/>
  <c r="O11" i="1"/>
  <c r="L20" i="1"/>
  <c r="L9" i="1"/>
  <c r="P9" i="1"/>
  <c r="O21" i="1"/>
  <c r="O9" i="1"/>
  <c r="L13" i="1"/>
  <c r="O13" i="1"/>
  <c r="P13" i="1"/>
  <c r="L11" i="1"/>
  <c r="L19" i="1"/>
  <c r="P19" i="1"/>
  <c r="P11" i="1"/>
  <c r="P17" i="1"/>
  <c r="O10" i="1"/>
  <c r="K17" i="1"/>
  <c r="P10" i="1"/>
  <c r="L8" i="1"/>
  <c r="K18" i="1"/>
  <c r="K10" i="1"/>
  <c r="O15" i="1"/>
  <c r="L15" i="1"/>
  <c r="O12" i="1"/>
  <c r="K19" i="1"/>
  <c r="K8" i="1"/>
  <c r="O8" i="1"/>
  <c r="P18" i="1"/>
  <c r="L18" i="1"/>
  <c r="L12" i="1"/>
  <c r="K12" i="1"/>
  <c r="P15" i="1"/>
  <c r="L17" i="1"/>
  <c r="P41" i="1"/>
  <c r="K41" i="1"/>
  <c r="O41" i="1"/>
  <c r="L41" i="1"/>
  <c r="K46" i="1"/>
  <c r="O46" i="1"/>
  <c r="P46" i="1"/>
  <c r="L46" i="1"/>
  <c r="P47" i="1"/>
  <c r="L47" i="1"/>
  <c r="K47" i="1"/>
  <c r="O47" i="1"/>
  <c r="L36" i="1"/>
  <c r="O36" i="1"/>
  <c r="P36" i="1"/>
  <c r="K36" i="1"/>
  <c r="L35" i="1"/>
  <c r="O35" i="1"/>
  <c r="P35" i="1"/>
  <c r="K35" i="1"/>
  <c r="L40" i="1"/>
  <c r="P40" i="1"/>
  <c r="O40" i="1"/>
  <c r="K40" i="1"/>
  <c r="L34" i="1"/>
  <c r="K34" i="1"/>
  <c r="P34" i="1"/>
  <c r="O34" i="1"/>
  <c r="O16" i="1"/>
  <c r="L16" i="1"/>
  <c r="K16" i="1"/>
  <c r="P16" i="1"/>
  <c r="K22" i="1"/>
  <c r="K60" i="1" s="1"/>
  <c r="J22" i="1"/>
  <c r="L22" i="1"/>
  <c r="L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McElhinney, Sheila</author>
  </authors>
  <commentList>
    <comment ref="AV1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2018 project submitted in 2020:
WIP incl $850 audit/insp fee vs 15%/10%
</t>
        </r>
        <r>
          <rPr>
            <b/>
            <sz val="9"/>
            <color indexed="81"/>
            <rFont val="Tahoma"/>
            <family val="2"/>
          </rPr>
          <t>WIP</t>
        </r>
        <r>
          <rPr>
            <sz val="9"/>
            <color indexed="81"/>
            <rFont val="Tahoma"/>
            <family val="2"/>
          </rPr>
          <t xml:space="preserve">    2142.58+850=</t>
        </r>
        <r>
          <rPr>
            <b/>
            <sz val="9"/>
            <color indexed="81"/>
            <rFont val="Tahoma"/>
            <family val="2"/>
          </rPr>
          <t xml:space="preserve">2992.58
EWIP  5997.01
TOTAL 8969.60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tc={4D3EE8B2-E64E-4131-B65D-93B6948D4FCE}</author>
  </authors>
  <commentList>
    <comment ref="E57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I updated these three inputs for this calendar year, we still need to either update or confirm 2016 avoided costs on the above spreadsheet though.
Reply:
    These inputs have been updated to coincide with the 2016 IRP as per the Aug. 31, 2017 301-A UG-170929  tariff requirement.  04/15/2020 10:15 AM</t>
      </text>
    </comment>
  </commentList>
</comments>
</file>

<file path=xl/sharedStrings.xml><?xml version="1.0" encoding="utf-8"?>
<sst xmlns="http://schemas.openxmlformats.org/spreadsheetml/2006/main" count="626" uniqueCount="245">
  <si>
    <t>CASCADE NATURAL GAS CORPORATION</t>
  </si>
  <si>
    <t>MEASURE</t>
  </si>
  <si>
    <t>NON-ENERGY</t>
  </si>
  <si>
    <t>DISCOUNTED</t>
  </si>
  <si>
    <t>TOTAL</t>
  </si>
  <si>
    <t>ANNUAL THERM</t>
  </si>
  <si>
    <t>INSTALLED</t>
  </si>
  <si>
    <t>BENEFITS</t>
  </si>
  <si>
    <t>THERM</t>
  </si>
  <si>
    <t>RESOURCE</t>
  </si>
  <si>
    <t>UTILITY</t>
  </si>
  <si>
    <t>SAVINGS</t>
  </si>
  <si>
    <t>COST</t>
  </si>
  <si>
    <t>LIFE</t>
  </si>
  <si>
    <t>Wall Insulation</t>
  </si>
  <si>
    <t>Inflation rate</t>
  </si>
  <si>
    <t>&amp; ADMIN</t>
  </si>
  <si>
    <t>TRC</t>
  </si>
  <si>
    <t>W/DELIVERY</t>
  </si>
  <si>
    <t>UC</t>
  </si>
  <si>
    <t>PARTICIPANTS</t>
  </si>
  <si>
    <t>Attic/Ceiling Insulation</t>
  </si>
  <si>
    <t>Floor Insulation</t>
  </si>
  <si>
    <t>Duct Insulation</t>
  </si>
  <si>
    <t>BENEFIT</t>
  </si>
  <si>
    <t>RATIO</t>
  </si>
  <si>
    <t>TOTAL IN FIRST YEAR by MEASURE</t>
  </si>
  <si>
    <t>TOTAL PROGRAM</t>
  </si>
  <si>
    <t>BASECASE - MEDIUM FORECAST - AVERAGE WEATHER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</si>
  <si>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</si>
  <si>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</si>
  <si>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</si>
  <si>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</si>
  <si>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</si>
  <si>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</si>
  <si>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</si>
  <si>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</si>
  <si>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</si>
  <si>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</si>
  <si>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</si>
  <si>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</si>
  <si>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</si>
  <si>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</si>
  <si>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</si>
  <si>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>Cascade's Long Term Real Discount Rate:</t>
  </si>
  <si>
    <t>IRP Discount Rate =</t>
  </si>
  <si>
    <t>Years 21-45 Escalation =</t>
  </si>
  <si>
    <t>Program Admin costs</t>
  </si>
  <si>
    <t xml:space="preserve">NON </t>
  </si>
  <si>
    <t xml:space="preserve">ENERGY </t>
  </si>
  <si>
    <t>WITH</t>
  </si>
  <si>
    <t>Cascade Natural Gas Corporation</t>
  </si>
  <si>
    <t>LCCAP =</t>
  </si>
  <si>
    <t>Lower Columbia Community Action Program</t>
  </si>
  <si>
    <t xml:space="preserve">NWCAC = </t>
  </si>
  <si>
    <t>Northwest Community Action Center</t>
  </si>
  <si>
    <t>KCR =</t>
  </si>
  <si>
    <t>Kitsap Community Resources</t>
  </si>
  <si>
    <t>Agency</t>
  </si>
  <si>
    <t>Annual Therm Savings</t>
  </si>
  <si>
    <t>Therms Ceiling</t>
  </si>
  <si>
    <t>Therms Floor</t>
  </si>
  <si>
    <t>Therms Wall</t>
  </si>
  <si>
    <t>Therms Air Infil</t>
  </si>
  <si>
    <t># Measures</t>
  </si>
  <si>
    <t>Therms</t>
  </si>
  <si>
    <t>KCR</t>
  </si>
  <si>
    <t>Revised Discount Rate=</t>
  </si>
  <si>
    <t>Furnace Tune Up</t>
  </si>
  <si>
    <t>Duct Sealing</t>
  </si>
  <si>
    <t>BMAC</t>
  </si>
  <si>
    <t>HASC</t>
  </si>
  <si>
    <t>OPPCO</t>
  </si>
  <si>
    <t>OIC</t>
  </si>
  <si>
    <t>Therms Wtr Htr Ins</t>
  </si>
  <si>
    <t>Therms Furnace Tune Up</t>
  </si>
  <si>
    <t>Therms Aerator</t>
  </si>
  <si>
    <t>Therms Showerhead</t>
  </si>
  <si>
    <t>Therms Tankless</t>
  </si>
  <si>
    <t>5%</t>
  </si>
  <si>
    <t>7.5%</t>
  </si>
  <si>
    <t>10%</t>
  </si>
  <si>
    <t>12.5%</t>
  </si>
  <si>
    <t>15%</t>
  </si>
  <si>
    <t>17.5%</t>
  </si>
  <si>
    <t>20%</t>
  </si>
  <si>
    <t>IRP discount rate</t>
  </si>
  <si>
    <t>EE discount rate</t>
  </si>
  <si>
    <t>Water Heater Insulation</t>
  </si>
  <si>
    <t>BFCAC</t>
  </si>
  <si>
    <t>WIP Ceiling</t>
  </si>
  <si>
    <t>EWIP Ceiling</t>
  </si>
  <si>
    <t>WIP Wall</t>
  </si>
  <si>
    <t>EWIP Wall</t>
  </si>
  <si>
    <t>WIP Floor</t>
  </si>
  <si>
    <t>EWIP Floor</t>
  </si>
  <si>
    <t>WIP Duct Insulation</t>
  </si>
  <si>
    <t>EWIP Duct Insulation</t>
  </si>
  <si>
    <t>Therms Duct Insulation</t>
  </si>
  <si>
    <t>WIP Water Heater Ins</t>
  </si>
  <si>
    <t>EWIP Water Heater Ins</t>
  </si>
  <si>
    <t>WIP Furnace Tune Up</t>
  </si>
  <si>
    <t>EWIP Furnace Tune Up</t>
  </si>
  <si>
    <t>WIP Duct Sealing</t>
  </si>
  <si>
    <t>EWIP Duct Sealing</t>
  </si>
  <si>
    <t>Therms Duct Sealing</t>
  </si>
  <si>
    <t>WIP Air Infil</t>
  </si>
  <si>
    <t>EWIP Air Infil</t>
  </si>
  <si>
    <t>WIP Furnace</t>
  </si>
  <si>
    <t>EWIP Furnace</t>
  </si>
  <si>
    <t>Therms Furnace</t>
  </si>
  <si>
    <t>WIP Direct Vent</t>
  </si>
  <si>
    <t>EWIP Direct Vent</t>
  </si>
  <si>
    <t>Therms Direct Vent</t>
  </si>
  <si>
    <t>WIP Aerator</t>
  </si>
  <si>
    <t>EWIP Aerator</t>
  </si>
  <si>
    <t>WIP Showerhead</t>
  </si>
  <si>
    <t>EWIP Showerhead</t>
  </si>
  <si>
    <t>WIP Tankless</t>
  </si>
  <si>
    <t>EWIP Tankless</t>
  </si>
  <si>
    <t>WIP Water Heater</t>
  </si>
  <si>
    <t>EWIP Water Heater</t>
  </si>
  <si>
    <t>Therms Water Heater</t>
  </si>
  <si>
    <t>Total Project Cost with all Admin</t>
  </si>
  <si>
    <t xml:space="preserve">OPPCO = </t>
  </si>
  <si>
    <t>Opportunity Council</t>
  </si>
  <si>
    <t>Housing Authority of Skagit County</t>
  </si>
  <si>
    <t>2016 INTEGRATED RESOURCE PLAN</t>
  </si>
  <si>
    <t xml:space="preserve">BMAC = </t>
  </si>
  <si>
    <t>Blue Mountain Action Council</t>
  </si>
  <si>
    <t>Washington Low Income Weatherization Incentive Program (WIP) and Enhanced Weatherization Incentive Program (EWIP)</t>
  </si>
  <si>
    <t xml:space="preserve">HASC = </t>
  </si>
  <si>
    <t>CEILING</t>
  </si>
  <si>
    <t>WALL</t>
  </si>
  <si>
    <t>FLOOR</t>
  </si>
  <si>
    <t>DUCT INSULATION</t>
  </si>
  <si>
    <t>WATER HEATER INSULATION</t>
  </si>
  <si>
    <t>FURNACE TUNE UP</t>
  </si>
  <si>
    <t>DUCT SEALING</t>
  </si>
  <si>
    <t>INFILTRATION</t>
  </si>
  <si>
    <t>FURNACE INSTALL</t>
  </si>
  <si>
    <t>DV SPACE HEATER</t>
  </si>
  <si>
    <t>AERATOR</t>
  </si>
  <si>
    <t>SHOWERHEAD</t>
  </si>
  <si>
    <t>TANKLESS</t>
  </si>
  <si>
    <t>TANK WATER HEATER</t>
  </si>
  <si>
    <t>Analysis Method</t>
  </si>
  <si>
    <t>Total WIP</t>
  </si>
  <si>
    <t>Total EWIP</t>
  </si>
  <si>
    <t>15% Project Coordination</t>
  </si>
  <si>
    <t>10% Indirect Rate</t>
  </si>
  <si>
    <t>TREAT</t>
  </si>
  <si>
    <t>DEEMED</t>
  </si>
  <si>
    <t>Infiltration</t>
  </si>
  <si>
    <t>95%+ Furnace</t>
  </si>
  <si>
    <t>90%+ Direct Vent Space Heater</t>
  </si>
  <si>
    <t>Low Flow Faucet Aerator</t>
  </si>
  <si>
    <t>Low Flow Showerhead</t>
  </si>
  <si>
    <t>0.91+ Tankless Water Heater</t>
  </si>
  <si>
    <t>0.64+ Storage Water Heater</t>
  </si>
  <si>
    <t>15% Project Coordination Fee</t>
  </si>
  <si>
    <t>2020 LOW INCOME Program Participant Cost Effectiveness Estimates</t>
  </si>
  <si>
    <t>12 months ending December 31, 2020</t>
  </si>
  <si>
    <t>DSMC #</t>
  </si>
  <si>
    <t>DMSC</t>
  </si>
  <si>
    <t>20-01</t>
  </si>
  <si>
    <t>20-02</t>
  </si>
  <si>
    <t>20-03</t>
  </si>
  <si>
    <t>20-04</t>
  </si>
  <si>
    <t>20-05</t>
  </si>
  <si>
    <t>No DSMC</t>
  </si>
  <si>
    <t>20-06</t>
  </si>
  <si>
    <t>20-07</t>
  </si>
  <si>
    <t>20-09</t>
  </si>
  <si>
    <t>20-10</t>
  </si>
  <si>
    <t>20-11</t>
  </si>
  <si>
    <t>20-12</t>
  </si>
  <si>
    <t>CCAP</t>
  </si>
  <si>
    <t>PRIORITY LIST</t>
  </si>
  <si>
    <t>19-39</t>
  </si>
  <si>
    <t>19-45</t>
  </si>
  <si>
    <t>20-13</t>
  </si>
  <si>
    <t>20-14</t>
  </si>
  <si>
    <t>20-15</t>
  </si>
  <si>
    <t>20-16</t>
  </si>
  <si>
    <t>20-17</t>
  </si>
  <si>
    <t>20-18</t>
  </si>
  <si>
    <t>20-19</t>
  </si>
  <si>
    <t>20-20</t>
  </si>
  <si>
    <t>20-21</t>
  </si>
  <si>
    <t>20-22</t>
  </si>
  <si>
    <t>20-23</t>
  </si>
  <si>
    <t>20-24</t>
  </si>
  <si>
    <t>20-25</t>
  </si>
  <si>
    <t>20-26</t>
  </si>
  <si>
    <t>20-27</t>
  </si>
  <si>
    <t>20-28</t>
  </si>
  <si>
    <t>20-29</t>
  </si>
  <si>
    <t>20-30</t>
  </si>
  <si>
    <t>20-31</t>
  </si>
  <si>
    <t>20-32</t>
  </si>
  <si>
    <t>20-33</t>
  </si>
  <si>
    <t>20-34</t>
  </si>
  <si>
    <t>20-35</t>
  </si>
  <si>
    <t>20-36</t>
  </si>
  <si>
    <t>20-37</t>
  </si>
  <si>
    <t>20-38</t>
  </si>
  <si>
    <t>20-39</t>
  </si>
  <si>
    <t>20-42</t>
  </si>
  <si>
    <t>COUNT</t>
  </si>
  <si>
    <t>47020431</t>
  </si>
  <si>
    <t>DMPL</t>
  </si>
  <si>
    <t>20-08</t>
  </si>
  <si>
    <t>20-04C</t>
  </si>
  <si>
    <t>Measure Installed Cost</t>
  </si>
  <si>
    <t>MEASURE INSTALLED COST</t>
  </si>
  <si>
    <t>10.0%</t>
  </si>
  <si>
    <t>Inflation Rate</t>
  </si>
  <si>
    <t>Long Term Discount Rate (30yr mortgage rate)</t>
  </si>
  <si>
    <t>Revised Inflation Rate</t>
  </si>
  <si>
    <t>(EIA Inflation Rate)</t>
  </si>
  <si>
    <t>2018 INTEGRATED RESOURCE PLAN</t>
  </si>
  <si>
    <t>2016 AVOIDED COST</t>
  </si>
  <si>
    <t>2018 AVOIDED COST</t>
  </si>
  <si>
    <t>ADMIN</t>
  </si>
  <si>
    <t>CASCADE</t>
  </si>
  <si>
    <t>PROGRAM REBATE W/</t>
  </si>
  <si>
    <t>COORDINATION FEE</t>
  </si>
  <si>
    <t>&amp; INDIRECT RATE</t>
  </si>
  <si>
    <t>-</t>
  </si>
  <si>
    <t>2020 therms</t>
  </si>
  <si>
    <t>20-40</t>
  </si>
  <si>
    <t>10% Indirect Rate CALCULATED &amp; HIDDEN</t>
  </si>
  <si>
    <t>Total Project Cost CALCULATED &amp; HIDDEN</t>
  </si>
  <si>
    <t>15% Project Coordination Fee CALCULATED &amp; HIDDEN</t>
  </si>
  <si>
    <t>2020 AVG</t>
  </si>
  <si>
    <t>Off by a penny from sum when added together</t>
  </si>
  <si>
    <t>off by a penny when added together</t>
  </si>
  <si>
    <t>PROGRAM PRE TARIFF</t>
  </si>
  <si>
    <t xml:space="preserve"> PROGRAM POST TARIFF</t>
  </si>
  <si>
    <t>Program pre-tariff</t>
  </si>
  <si>
    <t>Program post-tariff</t>
  </si>
  <si>
    <t>WEIGHTED PROGRAM ANNUAL TOTALS</t>
  </si>
  <si>
    <t xml:space="preserve">Weighted average therms </t>
  </si>
  <si>
    <t xml:space="preserve">Weighted % of Annual program addmin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</si>
</sst>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?_);_(@_)"/>
    <numFmt numFmtId="165" formatCode="_(&quot;$&quot;* #,##0_);_(&quot;$&quot;* \(#,##0\);_(&quot;$&quot;* &quot;-&quot;??_);_(@_)"/>
    <numFmt numFmtId="166" formatCode="0.000%"/>
    <numFmt numFmtId="167" formatCode="#,##0.000"/>
    <numFmt numFmtId="168" formatCode="0.000"/>
    <numFmt numFmtId="169" formatCode="General_)"/>
    <numFmt numFmtId="170" formatCode="&quot;$&quot;#,##0.00"/>
    <numFmt numFmtId="171" formatCode="_(&quot;$&quot;* #,##0.000_);_(&quot;$&quot;* \(#,##0.000\);_(&quot;$&quot;* &quot;-&quot;??_);_(@_)"/>
    <numFmt numFmtId="172" formatCode="_(&quot;$&quot;* #,##0.00000_);_(&quot;$&quot;* \(#,##0.00000\);_(&quot;$&quot;* &quot;-&quot;??_);_(@_)"/>
    <numFmt numFmtId="173" formatCode="_(&quot;$&quot;* #,##0.0000_);_(&quot;$&quot;* \(#,##0.0000\);_(&quot;$&quot;* &quot;-&quot;??_);_(@_)"/>
  </numFmts>
  <fonts count="43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b/>
      <u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9" tint="-0.249977111117893"/>
      <name val="Arial"/>
      <family val="2"/>
    </font>
    <font>
      <sz val="10"/>
      <color rgb="FFFF0000"/>
      <name val="Calibri"/>
      <family val="2"/>
      <scheme val="minor"/>
    </font>
    <font>
      <u/>
      <sz val="9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sz val="18"/>
      <color theme="1"/>
      <name val="Arial"/>
      <family val="2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3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6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9" fontId="27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90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24" fillId="0" borderId="0" xfId="0" applyFont="1"/>
    <xf numFmtId="0" fontId="24" fillId="0" borderId="12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3" fillId="0" borderId="0" xfId="0" applyFont="1" applyAlignment="1">
      <alignment horizontal="left"/>
    </xf>
    <xf numFmtId="10" fontId="23" fillId="0" borderId="0" xfId="0" applyNumberFormat="1" applyFont="1" applyAlignment="1">
      <alignment horizontal="center"/>
    </xf>
    <xf numFmtId="0" fontId="24" fillId="0" borderId="17" xfId="0" applyFont="1" applyBorder="1"/>
    <xf numFmtId="0" fontId="24" fillId="0" borderId="12" xfId="0" applyFont="1" applyBorder="1"/>
    <xf numFmtId="0" fontId="24" fillId="0" borderId="13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3" fillId="0" borderId="12" xfId="0" applyFont="1" applyBorder="1"/>
    <xf numFmtId="3" fontId="23" fillId="0" borderId="12" xfId="0" applyNumberFormat="1" applyFont="1" applyBorder="1" applyAlignment="1">
      <alignment horizontal="center"/>
    </xf>
    <xf numFmtId="3" fontId="23" fillId="0" borderId="12" xfId="28" applyNumberFormat="1" applyFont="1" applyBorder="1" applyAlignment="1">
      <alignment horizontal="center"/>
    </xf>
    <xf numFmtId="42" fontId="23" fillId="0" borderId="12" xfId="29" applyNumberFormat="1" applyFont="1" applyBorder="1"/>
    <xf numFmtId="164" fontId="23" fillId="0" borderId="13" xfId="0" applyNumberFormat="1" applyFont="1" applyBorder="1"/>
    <xf numFmtId="0" fontId="24" fillId="0" borderId="18" xfId="0" applyFont="1" applyBorder="1" applyAlignment="1">
      <alignment horizontal="center"/>
    </xf>
    <xf numFmtId="3" fontId="24" fillId="0" borderId="22" xfId="0" applyNumberFormat="1" applyFont="1" applyBorder="1" applyAlignment="1">
      <alignment horizontal="center"/>
    </xf>
    <xf numFmtId="42" fontId="24" fillId="0" borderId="21" xfId="29" applyNumberFormat="1" applyFont="1" applyBorder="1"/>
    <xf numFmtId="3" fontId="24" fillId="0" borderId="23" xfId="28" applyNumberFormat="1" applyFont="1" applyBorder="1" applyAlignment="1">
      <alignment horizontal="center"/>
    </xf>
    <xf numFmtId="164" fontId="24" fillId="0" borderId="20" xfId="0" applyNumberFormat="1" applyFont="1" applyBorder="1"/>
    <xf numFmtId="44" fontId="23" fillId="0" borderId="12" xfId="28" applyNumberFormat="1" applyFont="1" applyBorder="1" applyAlignment="1">
      <alignment horizontal="center"/>
    </xf>
    <xf numFmtId="44" fontId="23" fillId="0" borderId="0" xfId="0" applyNumberFormat="1" applyFont="1" applyAlignment="1">
      <alignment horizontal="right"/>
    </xf>
    <xf numFmtId="44" fontId="23" fillId="0" borderId="12" xfId="29" applyFont="1" applyBorder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44" fontId="24" fillId="0" borderId="19" xfId="0" applyNumberFormat="1" applyFont="1" applyFill="1" applyBorder="1"/>
    <xf numFmtId="0" fontId="23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44" fontId="28" fillId="0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170" fontId="28" fillId="0" borderId="0" xfId="0" applyNumberFormat="1" applyFont="1" applyAlignment="1">
      <alignment horizontal="left" vertical="center"/>
    </xf>
    <xf numFmtId="2" fontId="28" fillId="0" borderId="0" xfId="0" applyNumberFormat="1" applyFont="1" applyAlignment="1">
      <alignment horizontal="center" vertical="center"/>
    </xf>
    <xf numFmtId="0" fontId="23" fillId="0" borderId="34" xfId="0" applyFont="1" applyBorder="1"/>
    <xf numFmtId="44" fontId="23" fillId="0" borderId="0" xfId="29" applyFont="1" applyBorder="1"/>
    <xf numFmtId="170" fontId="33" fillId="0" borderId="0" xfId="0" applyNumberFormat="1" applyFont="1" applyBorder="1" applyAlignment="1">
      <alignment horizontal="left" vertical="center"/>
    </xf>
    <xf numFmtId="44" fontId="23" fillId="0" borderId="0" xfId="0" applyNumberFormat="1" applyFont="1" applyBorder="1"/>
    <xf numFmtId="170" fontId="24" fillId="0" borderId="21" xfId="28" applyNumberFormat="1" applyFont="1" applyBorder="1" applyAlignment="1">
      <alignment horizontal="right"/>
    </xf>
    <xf numFmtId="9" fontId="23" fillId="0" borderId="0" xfId="0" applyNumberFormat="1" applyFont="1"/>
    <xf numFmtId="0" fontId="28" fillId="0" borderId="0" xfId="0" applyFont="1" applyAlignment="1">
      <alignment horizontal="center" vertical="center"/>
    </xf>
    <xf numFmtId="0" fontId="0" fillId="0" borderId="0" xfId="0" applyFill="1" applyAlignment="1"/>
    <xf numFmtId="0" fontId="34" fillId="0" borderId="0" xfId="0" applyFont="1"/>
    <xf numFmtId="4" fontId="23" fillId="0" borderId="12" xfId="28" applyNumberFormat="1" applyFont="1" applyBorder="1" applyAlignment="1">
      <alignment horizontal="center"/>
    </xf>
    <xf numFmtId="44" fontId="28" fillId="0" borderId="0" xfId="0" applyNumberFormat="1" applyFont="1" applyAlignment="1">
      <alignment horizontal="left" vertical="center"/>
    </xf>
    <xf numFmtId="44" fontId="28" fillId="0" borderId="0" xfId="0" applyNumberFormat="1" applyFont="1" applyFill="1" applyAlignment="1">
      <alignment horizontal="left" vertical="center"/>
    </xf>
    <xf numFmtId="0" fontId="23" fillId="0" borderId="12" xfId="0" applyFont="1" applyFill="1" applyBorder="1" applyAlignment="1">
      <alignment horizontal="center"/>
    </xf>
    <xf numFmtId="2" fontId="24" fillId="0" borderId="21" xfId="0" applyNumberFormat="1" applyFont="1" applyFill="1" applyBorder="1" applyAlignment="1">
      <alignment horizontal="center"/>
    </xf>
    <xf numFmtId="44" fontId="23" fillId="0" borderId="0" xfId="0" applyNumberFormat="1" applyFont="1" applyFill="1" applyAlignment="1">
      <alignment horizontal="center"/>
    </xf>
    <xf numFmtId="165" fontId="24" fillId="0" borderId="21" xfId="28" applyNumberFormat="1" applyFont="1" applyFill="1" applyBorder="1" applyAlignment="1">
      <alignment horizontal="center"/>
    </xf>
    <xf numFmtId="0" fontId="3" fillId="0" borderId="0" xfId="228" applyFont="1" applyFill="1" applyAlignment="1">
      <alignment horizontal="left" vertical="center"/>
    </xf>
    <xf numFmtId="1" fontId="28" fillId="0" borderId="0" xfId="0" applyNumberFormat="1" applyFont="1" applyAlignment="1">
      <alignment horizontal="left" vertical="center"/>
    </xf>
    <xf numFmtId="2" fontId="28" fillId="0" borderId="0" xfId="0" applyNumberFormat="1" applyFont="1" applyAlignment="1">
      <alignment horizontal="center" vertical="center" wrapText="1"/>
    </xf>
    <xf numFmtId="0" fontId="32" fillId="0" borderId="0" xfId="0" applyFont="1" applyBorder="1" applyAlignment="1">
      <alignment vertical="center"/>
    </xf>
    <xf numFmtId="10" fontId="23" fillId="0" borderId="0" xfId="0" applyNumberFormat="1" applyFont="1" applyFill="1" applyAlignment="1">
      <alignment horizontal="center"/>
    </xf>
    <xf numFmtId="0" fontId="3" fillId="0" borderId="0" xfId="39" applyFont="1" applyFill="1" applyAlignment="1">
      <alignment horizontal="center"/>
    </xf>
    <xf numFmtId="0" fontId="2" fillId="0" borderId="0" xfId="39" applyFill="1" applyAlignment="1">
      <alignment horizontal="center"/>
    </xf>
    <xf numFmtId="0" fontId="2" fillId="0" borderId="15" xfId="39" applyFill="1" applyBorder="1" applyAlignment="1">
      <alignment horizontal="center"/>
    </xf>
    <xf numFmtId="0" fontId="2" fillId="0" borderId="0" xfId="39" applyFill="1"/>
    <xf numFmtId="8" fontId="2" fillId="0" borderId="0" xfId="39" applyNumberFormat="1" applyFill="1" applyAlignment="1">
      <alignment horizontal="center"/>
    </xf>
    <xf numFmtId="9" fontId="2" fillId="0" borderId="0" xfId="39" applyNumberFormat="1" applyFill="1" applyAlignment="1">
      <alignment horizontal="center"/>
    </xf>
    <xf numFmtId="10" fontId="2" fillId="0" borderId="0" xfId="39" applyNumberFormat="1" applyFill="1" applyAlignment="1">
      <alignment horizontal="center"/>
    </xf>
    <xf numFmtId="44" fontId="2" fillId="0" borderId="0" xfId="29" applyFont="1" applyFill="1"/>
    <xf numFmtId="9" fontId="2" fillId="0" borderId="0" xfId="42" applyFont="1" applyFill="1"/>
    <xf numFmtId="0" fontId="3" fillId="0" borderId="0" xfId="39" applyFont="1" applyFill="1"/>
    <xf numFmtId="10" fontId="2" fillId="0" borderId="0" xfId="229" applyNumberFormat="1" applyFill="1"/>
    <xf numFmtId="166" fontId="2" fillId="0" borderId="0" xfId="42" applyNumberFormat="1" applyFont="1" applyFill="1"/>
    <xf numFmtId="10" fontId="2" fillId="0" borderId="0" xfId="222" applyNumberFormat="1" applyFont="1" applyFill="1"/>
    <xf numFmtId="10" fontId="2" fillId="0" borderId="0" xfId="42" applyNumberFormat="1" applyFont="1" applyFill="1"/>
    <xf numFmtId="2" fontId="28" fillId="0" borderId="0" xfId="0" applyNumberFormat="1" applyFont="1" applyAlignment="1">
      <alignment horizontal="left" vertical="center"/>
    </xf>
    <xf numFmtId="44" fontId="3" fillId="0" borderId="0" xfId="206" applyNumberFormat="1" applyFont="1" applyFill="1" applyAlignment="1">
      <alignment horizontal="center" vertical="center"/>
    </xf>
    <xf numFmtId="44" fontId="3" fillId="0" borderId="33" xfId="206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2" fontId="32" fillId="0" borderId="0" xfId="0" applyNumberFormat="1" applyFont="1" applyBorder="1" applyAlignment="1">
      <alignment horizontal="left" vertical="center"/>
    </xf>
    <xf numFmtId="0" fontId="28" fillId="0" borderId="44" xfId="0" applyFont="1" applyBorder="1" applyAlignment="1">
      <alignment horizontal="center" vertical="center" wrapText="1"/>
    </xf>
    <xf numFmtId="0" fontId="2" fillId="0" borderId="0" xfId="0" applyFont="1"/>
    <xf numFmtId="169" fontId="2" fillId="0" borderId="12" xfId="226" applyFont="1" applyFill="1" applyBorder="1" applyAlignment="1">
      <alignment horizontal="left" vertical="center"/>
    </xf>
    <xf numFmtId="2" fontId="2" fillId="0" borderId="30" xfId="226" applyNumberFormat="1" applyFont="1" applyFill="1" applyBorder="1" applyAlignment="1">
      <alignment horizontal="center" vertical="center"/>
    </xf>
    <xf numFmtId="44" fontId="2" fillId="0" borderId="38" xfId="226" applyNumberFormat="1" applyFont="1" applyFill="1" applyBorder="1" applyAlignment="1">
      <alignment horizontal="left" vertical="center"/>
    </xf>
    <xf numFmtId="44" fontId="2" fillId="0" borderId="0" xfId="228" applyNumberFormat="1" applyFont="1" applyFill="1" applyAlignment="1">
      <alignment horizontal="left" vertical="center"/>
    </xf>
    <xf numFmtId="2" fontId="2" fillId="0" borderId="0" xfId="226" applyNumberFormat="1" applyFont="1" applyFill="1" applyAlignment="1">
      <alignment horizontal="left" vertical="center"/>
    </xf>
    <xf numFmtId="169" fontId="2" fillId="0" borderId="39" xfId="226" applyFont="1" applyFill="1" applyBorder="1" applyAlignment="1">
      <alignment horizontal="left" vertical="center"/>
    </xf>
    <xf numFmtId="2" fontId="2" fillId="0" borderId="39" xfId="226" applyNumberFormat="1" applyFont="1" applyFill="1" applyBorder="1" applyAlignment="1">
      <alignment horizontal="left" vertical="center"/>
    </xf>
    <xf numFmtId="170" fontId="2" fillId="0" borderId="38" xfId="226" applyNumberFormat="1" applyFont="1" applyFill="1" applyBorder="1" applyAlignment="1">
      <alignment horizontal="left" vertical="center"/>
    </xf>
    <xf numFmtId="170" fontId="2" fillId="0" borderId="0" xfId="228" applyNumberFormat="1" applyFont="1" applyFill="1" applyAlignment="1">
      <alignment horizontal="left" vertical="center"/>
    </xf>
    <xf numFmtId="44" fontId="2" fillId="0" borderId="0" xfId="226" applyNumberFormat="1" applyFont="1" applyFill="1" applyAlignment="1">
      <alignment horizontal="left" vertical="center"/>
    </xf>
    <xf numFmtId="0" fontId="2" fillId="0" borderId="0" xfId="228" applyFont="1" applyFill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2" fontId="2" fillId="0" borderId="39" xfId="226" applyNumberFormat="1" applyFont="1" applyFill="1" applyBorder="1" applyAlignment="1">
      <alignment horizontal="center" vertical="center"/>
    </xf>
    <xf numFmtId="44" fontId="2" fillId="0" borderId="38" xfId="206" applyNumberFormat="1" applyFont="1" applyFill="1" applyBorder="1" applyAlignment="1">
      <alignment horizontal="left" vertical="center"/>
    </xf>
    <xf numFmtId="44" fontId="2" fillId="0" borderId="0" xfId="206" applyNumberFormat="1" applyFont="1" applyFill="1" applyAlignment="1">
      <alignment horizontal="left" vertical="center"/>
    </xf>
    <xf numFmtId="170" fontId="2" fillId="0" borderId="38" xfId="206" applyNumberFormat="1" applyFont="1" applyFill="1" applyBorder="1" applyAlignment="1">
      <alignment horizontal="left" vertical="center"/>
    </xf>
    <xf numFmtId="170" fontId="2" fillId="0" borderId="0" xfId="206" applyNumberFormat="1" applyFont="1" applyFill="1" applyAlignment="1">
      <alignment horizontal="left" vertical="center"/>
    </xf>
    <xf numFmtId="169" fontId="3" fillId="0" borderId="0" xfId="226" applyFont="1" applyFill="1" applyAlignment="1">
      <alignment horizontal="left" vertical="center"/>
    </xf>
    <xf numFmtId="169" fontId="3" fillId="0" borderId="0" xfId="226" applyFont="1" applyFill="1" applyAlignment="1">
      <alignment vertical="center"/>
    </xf>
    <xf numFmtId="2" fontId="3" fillId="0" borderId="0" xfId="226" applyNumberFormat="1" applyFont="1" applyFill="1" applyAlignment="1">
      <alignment horizontal="center" vertical="center"/>
    </xf>
    <xf numFmtId="2" fontId="3" fillId="0" borderId="0" xfId="206" applyNumberFormat="1" applyFont="1" applyFill="1" applyAlignment="1">
      <alignment horizontal="left" vertical="center"/>
    </xf>
    <xf numFmtId="2" fontId="3" fillId="0" borderId="0" xfId="206" applyNumberFormat="1" applyFont="1" applyFill="1" applyAlignment="1">
      <alignment horizontal="center" vertical="center"/>
    </xf>
    <xf numFmtId="44" fontId="3" fillId="0" borderId="0" xfId="206" applyNumberFormat="1" applyFont="1" applyFill="1" applyAlignment="1">
      <alignment horizontal="left" vertical="center"/>
    </xf>
    <xf numFmtId="2" fontId="28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vertical="center"/>
    </xf>
    <xf numFmtId="2" fontId="28" fillId="0" borderId="0" xfId="0" applyNumberFormat="1" applyFont="1" applyFill="1" applyAlignment="1">
      <alignment horizontal="left" vertical="center"/>
    </xf>
    <xf numFmtId="170" fontId="3" fillId="0" borderId="0" xfId="206" applyNumberFormat="1" applyFont="1" applyFill="1" applyAlignment="1">
      <alignment horizontal="center" vertical="center"/>
    </xf>
    <xf numFmtId="169" fontId="3" fillId="0" borderId="0" xfId="226" applyFont="1" applyFill="1" applyAlignment="1">
      <alignment horizontal="center" vertical="center"/>
    </xf>
    <xf numFmtId="2" fontId="3" fillId="0" borderId="0" xfId="226" applyNumberFormat="1" applyFont="1" applyFill="1" applyAlignment="1">
      <alignment horizontal="left" vertical="center"/>
    </xf>
    <xf numFmtId="49" fontId="3" fillId="0" borderId="0" xfId="0" applyNumberFormat="1" applyFont="1" applyFill="1"/>
    <xf numFmtId="1" fontId="3" fillId="0" borderId="0" xfId="226" applyNumberFormat="1" applyFont="1" applyFill="1" applyAlignment="1">
      <alignment horizontal="left" vertical="center"/>
    </xf>
    <xf numFmtId="169" fontId="29" fillId="0" borderId="33" xfId="226" applyFont="1" applyFill="1" applyBorder="1" applyAlignment="1">
      <alignment horizontal="center" vertical="center" wrapText="1"/>
    </xf>
    <xf numFmtId="2" fontId="29" fillId="0" borderId="33" xfId="226" applyNumberFormat="1" applyFont="1" applyFill="1" applyBorder="1" applyAlignment="1">
      <alignment horizontal="center" vertical="center" wrapText="1"/>
    </xf>
    <xf numFmtId="44" fontId="30" fillId="0" borderId="40" xfId="206" applyNumberFormat="1" applyFont="1" applyFill="1" applyBorder="1" applyAlignment="1">
      <alignment horizontal="center" vertical="center" wrapText="1"/>
    </xf>
    <xf numFmtId="44" fontId="31" fillId="0" borderId="41" xfId="206" applyNumberFormat="1" applyFont="1" applyFill="1" applyBorder="1" applyAlignment="1">
      <alignment horizontal="center" vertical="center" wrapText="1"/>
    </xf>
    <xf numFmtId="2" fontId="29" fillId="0" borderId="41" xfId="206" applyNumberFormat="1" applyFont="1" applyFill="1" applyBorder="1" applyAlignment="1">
      <alignment horizontal="left" vertical="center" wrapText="1"/>
    </xf>
    <xf numFmtId="2" fontId="29" fillId="0" borderId="42" xfId="206" applyNumberFormat="1" applyFont="1" applyFill="1" applyBorder="1" applyAlignment="1">
      <alignment horizontal="center" vertical="center" wrapText="1"/>
    </xf>
    <xf numFmtId="2" fontId="29" fillId="0" borderId="42" xfId="206" applyNumberFormat="1" applyFont="1" applyFill="1" applyBorder="1" applyAlignment="1">
      <alignment horizontal="left" vertical="center" wrapText="1"/>
    </xf>
    <xf numFmtId="170" fontId="30" fillId="0" borderId="40" xfId="206" applyNumberFormat="1" applyFont="1" applyFill="1" applyBorder="1" applyAlignment="1">
      <alignment horizontal="center" vertical="center" wrapText="1"/>
    </xf>
    <xf numFmtId="170" fontId="31" fillId="0" borderId="41" xfId="206" applyNumberFormat="1" applyFont="1" applyFill="1" applyBorder="1" applyAlignment="1">
      <alignment horizontal="center" vertical="center" wrapText="1"/>
    </xf>
    <xf numFmtId="44" fontId="29" fillId="0" borderId="33" xfId="206" applyNumberFormat="1" applyFont="1" applyFill="1" applyBorder="1" applyAlignment="1">
      <alignment horizontal="center" vertical="center" wrapText="1"/>
    </xf>
    <xf numFmtId="169" fontId="3" fillId="0" borderId="32" xfId="226" applyFont="1" applyFill="1" applyBorder="1" applyAlignment="1">
      <alignment horizontal="center" vertical="center" wrapText="1"/>
    </xf>
    <xf numFmtId="2" fontId="3" fillId="0" borderId="33" xfId="226" applyNumberFormat="1" applyFont="1" applyFill="1" applyBorder="1" applyAlignment="1">
      <alignment horizontal="left" vertical="center" wrapText="1"/>
    </xf>
    <xf numFmtId="2" fontId="3" fillId="0" borderId="37" xfId="226" applyNumberFormat="1" applyFont="1" applyFill="1" applyBorder="1" applyAlignment="1">
      <alignment horizontal="center" vertical="center" wrapText="1"/>
    </xf>
    <xf numFmtId="2" fontId="3" fillId="0" borderId="25" xfId="226" applyNumberFormat="1" applyFont="1" applyFill="1" applyBorder="1" applyAlignment="1">
      <alignment horizontal="left" wrapText="1"/>
    </xf>
    <xf numFmtId="169" fontId="2" fillId="0" borderId="10" xfId="226" applyFont="1" applyFill="1" applyBorder="1" applyAlignment="1">
      <alignment horizontal="left" vertical="center"/>
    </xf>
    <xf numFmtId="171" fontId="2" fillId="0" borderId="0" xfId="228" applyNumberFormat="1" applyFont="1" applyFill="1" applyAlignment="1">
      <alignment horizontal="left" vertical="center"/>
    </xf>
    <xf numFmtId="2" fontId="2" fillId="0" borderId="39" xfId="226" applyNumberFormat="1" applyFont="1" applyFill="1" applyBorder="1" applyAlignment="1">
      <alignment horizontal="right" vertical="center" indent="1"/>
    </xf>
    <xf numFmtId="2" fontId="2" fillId="0" borderId="39" xfId="226" applyNumberFormat="1" applyFont="1" applyFill="1" applyBorder="1" applyAlignment="1">
      <alignment horizontal="right" vertical="center"/>
    </xf>
    <xf numFmtId="44" fontId="2" fillId="0" borderId="39" xfId="226" applyNumberFormat="1" applyFont="1" applyFill="1" applyBorder="1" applyAlignment="1">
      <alignment horizontal="left" vertical="center"/>
    </xf>
    <xf numFmtId="1" fontId="3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2" fontId="2" fillId="0" borderId="43" xfId="226" applyNumberFormat="1" applyFont="1" applyFill="1" applyBorder="1" applyAlignment="1">
      <alignment horizontal="center" vertical="center"/>
    </xf>
    <xf numFmtId="44" fontId="3" fillId="0" borderId="38" xfId="226" applyNumberFormat="1" applyFont="1" applyFill="1" applyBorder="1" applyAlignment="1">
      <alignment horizontal="left" vertical="center"/>
    </xf>
    <xf numFmtId="44" fontId="2" fillId="0" borderId="0" xfId="0" applyNumberFormat="1" applyFont="1" applyFill="1" applyAlignment="1">
      <alignment horizontal="left" vertical="center"/>
    </xf>
    <xf numFmtId="2" fontId="2" fillId="0" borderId="39" xfId="206" applyNumberFormat="1" applyFont="1" applyFill="1" applyBorder="1" applyAlignment="1">
      <alignment horizontal="left" vertical="center"/>
    </xf>
    <xf numFmtId="2" fontId="2" fillId="0" borderId="0" xfId="206" applyNumberFormat="1" applyFont="1" applyFill="1" applyAlignment="1">
      <alignment horizontal="left" vertical="center"/>
    </xf>
    <xf numFmtId="1" fontId="2" fillId="0" borderId="39" xfId="206" applyNumberFormat="1" applyFont="1" applyFill="1" applyBorder="1" applyAlignment="1">
      <alignment horizontal="left" vertical="center"/>
    </xf>
    <xf numFmtId="1" fontId="2" fillId="0" borderId="39" xfId="226" applyNumberFormat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2" fontId="36" fillId="0" borderId="35" xfId="0" applyNumberFormat="1" applyFont="1" applyFill="1" applyBorder="1" applyAlignment="1">
      <alignment horizontal="center" vertical="center"/>
    </xf>
    <xf numFmtId="44" fontId="32" fillId="0" borderId="19" xfId="0" applyNumberFormat="1" applyFont="1" applyFill="1" applyBorder="1" applyAlignment="1">
      <alignment horizontal="left" vertical="center"/>
    </xf>
    <xf numFmtId="2" fontId="32" fillId="0" borderId="19" xfId="0" applyNumberFormat="1" applyFont="1" applyFill="1" applyBorder="1" applyAlignment="1">
      <alignment horizontal="left" vertical="center"/>
    </xf>
    <xf numFmtId="0" fontId="32" fillId="0" borderId="19" xfId="0" applyFont="1" applyFill="1" applyBorder="1" applyAlignment="1">
      <alignment horizontal="left" vertical="center"/>
    </xf>
    <xf numFmtId="170" fontId="32" fillId="0" borderId="19" xfId="0" applyNumberFormat="1" applyFont="1" applyFill="1" applyBorder="1" applyAlignment="1">
      <alignment horizontal="left" vertical="center"/>
    </xf>
    <xf numFmtId="0" fontId="32" fillId="0" borderId="20" xfId="0" applyFont="1" applyFill="1" applyBorder="1" applyAlignment="1">
      <alignment horizontal="center" vertical="center"/>
    </xf>
    <xf numFmtId="2" fontId="28" fillId="0" borderId="0" xfId="0" applyNumberFormat="1" applyFont="1" applyFill="1" applyAlignment="1">
      <alignment horizontal="center" vertical="center"/>
    </xf>
    <xf numFmtId="170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44" fontId="32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2" fillId="0" borderId="0" xfId="39" applyFont="1" applyFill="1"/>
    <xf numFmtId="0" fontId="2" fillId="0" borderId="0" xfId="39" applyFont="1" applyFill="1" applyAlignment="1">
      <alignment horizontal="center"/>
    </xf>
    <xf numFmtId="0" fontId="2" fillId="0" borderId="15" xfId="39" applyFont="1" applyFill="1" applyBorder="1" applyAlignment="1">
      <alignment horizontal="center"/>
    </xf>
    <xf numFmtId="170" fontId="2" fillId="0" borderId="0" xfId="29" applyNumberFormat="1" applyFont="1" applyAlignment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0" fontId="2" fillId="0" borderId="0" xfId="42" applyNumberFormat="1" applyFont="1" applyAlignment="1">
      <alignment horizontal="center" vertical="center"/>
    </xf>
    <xf numFmtId="10" fontId="2" fillId="0" borderId="0" xfId="42" applyNumberFormat="1" applyFont="1"/>
    <xf numFmtId="0" fontId="24" fillId="0" borderId="0" xfId="0" applyFont="1" applyAlignment="1">
      <alignment horizontal="center"/>
    </xf>
    <xf numFmtId="0" fontId="23" fillId="0" borderId="0" xfId="0" applyFont="1"/>
    <xf numFmtId="0" fontId="28" fillId="0" borderId="29" xfId="0" applyFont="1" applyFill="1" applyBorder="1" applyAlignment="1">
      <alignment vertical="center"/>
    </xf>
    <xf numFmtId="0" fontId="28" fillId="0" borderId="11" xfId="0" applyFont="1" applyFill="1" applyBorder="1" applyAlignment="1">
      <alignment vertical="center"/>
    </xf>
    <xf numFmtId="169" fontId="2" fillId="0" borderId="11" xfId="226" applyFont="1" applyFill="1" applyBorder="1" applyAlignment="1">
      <alignment horizontal="left" vertical="center"/>
    </xf>
    <xf numFmtId="0" fontId="28" fillId="0" borderId="3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69" fontId="2" fillId="0" borderId="0" xfId="226" applyFont="1" applyFill="1" applyBorder="1" applyAlignment="1">
      <alignment horizontal="left" vertical="center"/>
    </xf>
    <xf numFmtId="0" fontId="2" fillId="0" borderId="0" xfId="228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8" fillId="0" borderId="31" xfId="0" applyFont="1" applyFill="1" applyBorder="1" applyAlignment="1">
      <alignment vertical="center"/>
    </xf>
    <xf numFmtId="0" fontId="28" fillId="0" borderId="15" xfId="0" applyFont="1" applyFill="1" applyBorder="1" applyAlignment="1">
      <alignment vertical="center"/>
    </xf>
    <xf numFmtId="0" fontId="28" fillId="0" borderId="15" xfId="0" applyFont="1" applyFill="1" applyBorder="1" applyAlignment="1">
      <alignment horizontal="left" vertical="center"/>
    </xf>
    <xf numFmtId="169" fontId="2" fillId="0" borderId="14" xfId="226" applyFont="1" applyFill="1" applyBorder="1" applyAlignment="1">
      <alignment horizontal="left" vertical="center"/>
    </xf>
    <xf numFmtId="169" fontId="3" fillId="0" borderId="0" xfId="226" applyFont="1" applyFill="1" applyBorder="1" applyAlignment="1">
      <alignment horizontal="left" vertical="center"/>
    </xf>
    <xf numFmtId="2" fontId="3" fillId="0" borderId="0" xfId="226" applyNumberFormat="1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vertical="center"/>
    </xf>
    <xf numFmtId="0" fontId="32" fillId="0" borderId="15" xfId="0" applyFont="1" applyFill="1" applyBorder="1" applyAlignment="1">
      <alignment vertical="center"/>
    </xf>
    <xf numFmtId="169" fontId="29" fillId="0" borderId="15" xfId="226" applyFont="1" applyFill="1" applyBorder="1" applyAlignment="1">
      <alignment horizontal="left" vertical="center"/>
    </xf>
    <xf numFmtId="44" fontId="32" fillId="0" borderId="19" xfId="29" applyFont="1" applyFill="1" applyBorder="1" applyAlignment="1">
      <alignment horizontal="left" vertical="center"/>
    </xf>
    <xf numFmtId="2" fontId="32" fillId="0" borderId="19" xfId="29" applyNumberFormat="1" applyFont="1" applyFill="1" applyBorder="1" applyAlignment="1">
      <alignment horizontal="left" vertical="center"/>
    </xf>
    <xf numFmtId="39" fontId="32" fillId="0" borderId="19" xfId="0" applyNumberFormat="1" applyFont="1" applyFill="1" applyBorder="1" applyAlignment="1">
      <alignment horizontal="left" vertical="center"/>
    </xf>
    <xf numFmtId="169" fontId="32" fillId="0" borderId="19" xfId="0" applyNumberFormat="1" applyFont="1" applyFill="1" applyBorder="1" applyAlignment="1">
      <alignment horizontal="left" vertical="center"/>
    </xf>
    <xf numFmtId="44" fontId="28" fillId="0" borderId="44" xfId="0" applyNumberFormat="1" applyFont="1" applyBorder="1" applyAlignment="1">
      <alignment horizontal="center" vertical="center" wrapText="1"/>
    </xf>
    <xf numFmtId="1" fontId="32" fillId="0" borderId="19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Alignment="1">
      <alignment horizontal="left" vertical="center"/>
    </xf>
    <xf numFmtId="0" fontId="24" fillId="0" borderId="11" xfId="0" applyFont="1" applyBorder="1" applyAlignment="1">
      <alignment horizontal="center"/>
    </xf>
    <xf numFmtId="2" fontId="28" fillId="0" borderId="0" xfId="0" applyNumberFormat="1" applyFont="1" applyFill="1" applyAlignment="1">
      <alignment horizontal="center" vertical="center" wrapText="1"/>
    </xf>
    <xf numFmtId="2" fontId="39" fillId="0" borderId="0" xfId="0" applyNumberFormat="1" applyFont="1" applyFill="1" applyAlignment="1"/>
    <xf numFmtId="44" fontId="28" fillId="0" borderId="44" xfId="0" applyNumberFormat="1" applyFont="1" applyFill="1" applyBorder="1" applyAlignment="1">
      <alignment horizontal="center" vertical="center"/>
    </xf>
    <xf numFmtId="44" fontId="28" fillId="0" borderId="44" xfId="0" applyNumberFormat="1" applyFont="1" applyBorder="1" applyAlignment="1">
      <alignment horizontal="center" vertical="center"/>
    </xf>
    <xf numFmtId="2" fontId="28" fillId="0" borderId="44" xfId="0" applyNumberFormat="1" applyFont="1" applyBorder="1" applyAlignment="1">
      <alignment horizontal="center" vertical="center"/>
    </xf>
    <xf numFmtId="44" fontId="32" fillId="0" borderId="44" xfId="0" applyNumberFormat="1" applyFont="1" applyBorder="1" applyAlignment="1">
      <alignment horizontal="center" vertical="center" wrapText="1"/>
    </xf>
    <xf numFmtId="44" fontId="2" fillId="0" borderId="0" xfId="0" applyNumberFormat="1" applyFont="1" applyFill="1"/>
    <xf numFmtId="0" fontId="28" fillId="29" borderId="17" xfId="0" applyFont="1" applyFill="1" applyBorder="1" applyAlignment="1">
      <alignment vertical="center"/>
    </xf>
    <xf numFmtId="0" fontId="40" fillId="29" borderId="44" xfId="0" applyFont="1" applyFill="1" applyBorder="1" applyAlignment="1">
      <alignment vertical="top"/>
    </xf>
    <xf numFmtId="44" fontId="28" fillId="29" borderId="45" xfId="0" applyNumberFormat="1" applyFont="1" applyFill="1" applyBorder="1" applyAlignment="1">
      <alignment horizontal="center" vertical="center"/>
    </xf>
    <xf numFmtId="44" fontId="28" fillId="29" borderId="44" xfId="0" applyNumberFormat="1" applyFont="1" applyFill="1" applyBorder="1" applyAlignment="1">
      <alignment horizontal="center" vertical="center"/>
    </xf>
    <xf numFmtId="44" fontId="28" fillId="29" borderId="44" xfId="0" applyNumberFormat="1" applyFont="1" applyFill="1" applyBorder="1" applyAlignment="1">
      <alignment horizontal="center" vertical="center" wrapText="1"/>
    </xf>
    <xf numFmtId="0" fontId="32" fillId="29" borderId="24" xfId="0" applyFont="1" applyFill="1" applyBorder="1" applyAlignment="1">
      <alignment vertical="center"/>
    </xf>
    <xf numFmtId="0" fontId="32" fillId="29" borderId="24" xfId="0" applyFont="1" applyFill="1" applyBorder="1" applyAlignment="1">
      <alignment horizontal="left" vertical="center"/>
    </xf>
    <xf numFmtId="0" fontId="32" fillId="29" borderId="47" xfId="0" applyFont="1" applyFill="1" applyBorder="1" applyAlignment="1">
      <alignment vertical="center"/>
    </xf>
    <xf numFmtId="0" fontId="32" fillId="29" borderId="47" xfId="0" applyFont="1" applyFill="1" applyBorder="1" applyAlignment="1">
      <alignment horizontal="left" vertical="center"/>
    </xf>
    <xf numFmtId="44" fontId="32" fillId="24" borderId="20" xfId="0" applyNumberFormat="1" applyFont="1" applyFill="1" applyBorder="1" applyAlignment="1">
      <alignment horizontal="left" vertical="center"/>
    </xf>
    <xf numFmtId="44" fontId="32" fillId="0" borderId="44" xfId="0" applyNumberFormat="1" applyFont="1" applyFill="1" applyBorder="1" applyAlignment="1">
      <alignment horizontal="center" vertical="center" wrapText="1"/>
    </xf>
    <xf numFmtId="44" fontId="3" fillId="0" borderId="0" xfId="228" applyNumberFormat="1" applyFont="1" applyFill="1" applyAlignment="1">
      <alignment horizontal="left" vertical="center"/>
    </xf>
    <xf numFmtId="44" fontId="3" fillId="24" borderId="20" xfId="0" applyNumberFormat="1" applyFont="1" applyFill="1" applyBorder="1" applyAlignment="1">
      <alignment horizontal="left" vertical="center"/>
    </xf>
    <xf numFmtId="44" fontId="28" fillId="0" borderId="0" xfId="0" applyNumberFormat="1" applyFont="1" applyFill="1" applyAlignment="1">
      <alignment vertical="center" wrapText="1"/>
    </xf>
    <xf numFmtId="172" fontId="32" fillId="26" borderId="20" xfId="0" applyNumberFormat="1" applyFont="1" applyFill="1" applyBorder="1" applyAlignment="1">
      <alignment horizontal="left" vertical="center"/>
    </xf>
    <xf numFmtId="172" fontId="28" fillId="26" borderId="0" xfId="0" applyNumberFormat="1" applyFont="1" applyFill="1" applyAlignment="1">
      <alignment vertical="center"/>
    </xf>
    <xf numFmtId="172" fontId="28" fillId="26" borderId="44" xfId="0" applyNumberFormat="1" applyFont="1" applyFill="1" applyBorder="1" applyAlignment="1">
      <alignment horizontal="center" vertical="center" wrapText="1"/>
    </xf>
    <xf numFmtId="169" fontId="3" fillId="30" borderId="0" xfId="226" applyFont="1" applyFill="1" applyAlignment="1">
      <alignment vertical="center"/>
    </xf>
    <xf numFmtId="169" fontId="3" fillId="30" borderId="0" xfId="226" applyFont="1" applyFill="1" applyAlignment="1">
      <alignment horizontal="left" vertical="center"/>
    </xf>
    <xf numFmtId="2" fontId="3" fillId="30" borderId="0" xfId="226" applyNumberFormat="1" applyFont="1" applyFill="1" applyAlignment="1">
      <alignment horizontal="center" vertical="center"/>
    </xf>
    <xf numFmtId="44" fontId="3" fillId="30" borderId="0" xfId="206" applyNumberFormat="1" applyFont="1" applyFill="1" applyAlignment="1">
      <alignment horizontal="center" vertical="center"/>
    </xf>
    <xf numFmtId="169" fontId="3" fillId="30" borderId="0" xfId="226" applyFont="1" applyFill="1" applyAlignment="1">
      <alignment horizontal="center" vertical="center"/>
    </xf>
    <xf numFmtId="2" fontId="3" fillId="30" borderId="0" xfId="226" applyNumberFormat="1" applyFont="1" applyFill="1" applyAlignment="1">
      <alignment horizontal="left" vertical="center"/>
    </xf>
    <xf numFmtId="0" fontId="32" fillId="30" borderId="0" xfId="0" applyFont="1" applyFill="1" applyAlignment="1">
      <alignment vertical="center"/>
    </xf>
    <xf numFmtId="169" fontId="3" fillId="27" borderId="0" xfId="226" applyFont="1" applyFill="1" applyAlignment="1">
      <alignment vertical="center"/>
    </xf>
    <xf numFmtId="169" fontId="3" fillId="27" borderId="0" xfId="226" applyFont="1" applyFill="1" applyAlignment="1">
      <alignment horizontal="left" vertical="center"/>
    </xf>
    <xf numFmtId="2" fontId="3" fillId="27" borderId="0" xfId="226" applyNumberFormat="1" applyFont="1" applyFill="1" applyAlignment="1">
      <alignment horizontal="center" vertical="center"/>
    </xf>
    <xf numFmtId="44" fontId="3" fillId="27" borderId="0" xfId="206" applyNumberFormat="1" applyFont="1" applyFill="1" applyAlignment="1">
      <alignment horizontal="center" vertical="center"/>
    </xf>
    <xf numFmtId="169" fontId="3" fillId="27" borderId="0" xfId="226" applyFont="1" applyFill="1" applyAlignment="1">
      <alignment horizontal="center" vertical="center"/>
    </xf>
    <xf numFmtId="2" fontId="3" fillId="27" borderId="0" xfId="226" applyNumberFormat="1" applyFont="1" applyFill="1" applyAlignment="1">
      <alignment horizontal="left" vertical="center"/>
    </xf>
    <xf numFmtId="0" fontId="32" fillId="27" borderId="0" xfId="0" applyFont="1" applyFill="1" applyAlignment="1">
      <alignment vertical="center"/>
    </xf>
    <xf numFmtId="44" fontId="32" fillId="0" borderId="20" xfId="0" applyNumberFormat="1" applyFont="1" applyFill="1" applyBorder="1" applyAlignment="1">
      <alignment horizontal="center" wrapText="1"/>
    </xf>
    <xf numFmtId="0" fontId="32" fillId="26" borderId="20" xfId="0" applyFont="1" applyFill="1" applyBorder="1" applyAlignment="1">
      <alignment horizontal="center" vertical="center"/>
    </xf>
    <xf numFmtId="44" fontId="3" fillId="26" borderId="36" xfId="0" applyNumberFormat="1" applyFont="1" applyFill="1" applyBorder="1"/>
    <xf numFmtId="44" fontId="3" fillId="0" borderId="25" xfId="226" applyNumberFormat="1" applyFont="1" applyFill="1" applyBorder="1" applyAlignment="1">
      <alignment horizontal="left" vertical="center" wrapText="1"/>
    </xf>
    <xf numFmtId="44" fontId="3" fillId="0" borderId="0" xfId="29" applyFont="1" applyFill="1" applyAlignment="1">
      <alignment horizontal="left" vertical="center"/>
    </xf>
    <xf numFmtId="44" fontId="32" fillId="0" borderId="0" xfId="29" applyFont="1" applyFill="1" applyAlignment="1">
      <alignment horizontal="left" vertical="center"/>
    </xf>
    <xf numFmtId="44" fontId="32" fillId="0" borderId="20" xfId="29" applyFont="1" applyFill="1" applyBorder="1" applyAlignment="1">
      <alignment horizontal="left" vertical="center"/>
    </xf>
    <xf numFmtId="2" fontId="3" fillId="0" borderId="0" xfId="226" applyNumberFormat="1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172" fontId="3" fillId="26" borderId="0" xfId="226" applyNumberFormat="1" applyFont="1" applyFill="1" applyAlignment="1">
      <alignment vertical="center"/>
    </xf>
    <xf numFmtId="172" fontId="32" fillId="26" borderId="0" xfId="0" applyNumberFormat="1" applyFont="1" applyFill="1" applyAlignment="1">
      <alignment vertical="center" wrapText="1"/>
    </xf>
    <xf numFmtId="172" fontId="2" fillId="26" borderId="0" xfId="28" applyNumberFormat="1" applyFont="1" applyFill="1"/>
    <xf numFmtId="172" fontId="32" fillId="26" borderId="0" xfId="0" applyNumberFormat="1" applyFont="1" applyFill="1" applyBorder="1" applyAlignment="1">
      <alignment horizontal="left" vertical="center"/>
    </xf>
    <xf numFmtId="172" fontId="3" fillId="26" borderId="33" xfId="226" applyNumberFormat="1" applyFont="1" applyFill="1" applyBorder="1" applyAlignment="1">
      <alignment horizontal="center" vertical="center" wrapText="1"/>
    </xf>
    <xf numFmtId="172" fontId="32" fillId="26" borderId="0" xfId="0" applyNumberFormat="1" applyFont="1" applyFill="1" applyAlignment="1">
      <alignment vertical="center"/>
    </xf>
    <xf numFmtId="44" fontId="23" fillId="0" borderId="0" xfId="0" applyNumberFormat="1" applyFont="1" applyFill="1" applyAlignment="1"/>
    <xf numFmtId="44" fontId="23" fillId="0" borderId="0" xfId="0" applyNumberFormat="1" applyFont="1" applyAlignment="1">
      <alignment horizontal="center"/>
    </xf>
    <xf numFmtId="171" fontId="28" fillId="0" borderId="0" xfId="0" applyNumberFormat="1" applyFont="1" applyAlignment="1">
      <alignment horizontal="left" vertical="center"/>
    </xf>
    <xf numFmtId="44" fontId="32" fillId="0" borderId="19" xfId="29" applyNumberFormat="1" applyFont="1" applyFill="1" applyBorder="1" applyAlignment="1">
      <alignment horizontal="left" vertical="center"/>
    </xf>
    <xf numFmtId="44" fontId="32" fillId="0" borderId="20" xfId="29" applyNumberFormat="1" applyFont="1" applyFill="1" applyBorder="1" applyAlignment="1">
      <alignment horizontal="left" vertical="center"/>
    </xf>
    <xf numFmtId="44" fontId="23" fillId="0" borderId="12" xfId="29" applyNumberFormat="1" applyFont="1" applyBorder="1"/>
    <xf numFmtId="44" fontId="23" fillId="0" borderId="0" xfId="29" applyNumberFormat="1" applyFont="1" applyBorder="1"/>
    <xf numFmtId="43" fontId="34" fillId="0" borderId="0" xfId="0" applyNumberFormat="1" applyFont="1"/>
    <xf numFmtId="44" fontId="23" fillId="0" borderId="0" xfId="0" applyNumberFormat="1" applyFont="1"/>
    <xf numFmtId="43" fontId="24" fillId="0" borderId="21" xfId="28" applyNumberFormat="1" applyFont="1" applyBorder="1" applyAlignment="1">
      <alignment horizontal="right"/>
    </xf>
    <xf numFmtId="173" fontId="32" fillId="26" borderId="19" xfId="0" applyNumberFormat="1" applyFont="1" applyFill="1" applyBorder="1" applyAlignment="1">
      <alignment horizontal="left" vertical="center"/>
    </xf>
    <xf numFmtId="173" fontId="3" fillId="26" borderId="0" xfId="206" applyNumberFormat="1" applyFont="1" applyFill="1" applyAlignment="1">
      <alignment horizontal="center" vertical="center"/>
    </xf>
    <xf numFmtId="173" fontId="2" fillId="26" borderId="33" xfId="206" applyNumberFormat="1" applyFont="1" applyFill="1" applyBorder="1" applyAlignment="1">
      <alignment horizontal="center" vertical="center" wrapText="1"/>
    </xf>
    <xf numFmtId="173" fontId="2" fillId="26" borderId="0" xfId="226" applyNumberFormat="1" applyFont="1" applyFill="1" applyAlignment="1">
      <alignment horizontal="left" vertical="center"/>
    </xf>
    <xf numFmtId="173" fontId="32" fillId="26" borderId="20" xfId="0" applyNumberFormat="1" applyFont="1" applyFill="1" applyBorder="1" applyAlignment="1">
      <alignment horizontal="left" vertical="center"/>
    </xf>
    <xf numFmtId="173" fontId="28" fillId="26" borderId="44" xfId="0" applyNumberFormat="1" applyFont="1" applyFill="1" applyBorder="1" applyAlignment="1">
      <alignment horizontal="center" vertical="center" wrapText="1"/>
    </xf>
    <xf numFmtId="173" fontId="28" fillId="26" borderId="0" xfId="0" applyNumberFormat="1" applyFont="1" applyFill="1" applyAlignment="1">
      <alignment horizontal="left" vertical="center"/>
    </xf>
    <xf numFmtId="173" fontId="29" fillId="26" borderId="33" xfId="206" applyNumberFormat="1" applyFont="1" applyFill="1" applyBorder="1" applyAlignment="1">
      <alignment horizontal="center" vertical="center" wrapText="1"/>
    </xf>
    <xf numFmtId="173" fontId="28" fillId="26" borderId="0" xfId="0" applyNumberFormat="1" applyFont="1" applyFill="1" applyAlignment="1">
      <alignment vertical="center"/>
    </xf>
    <xf numFmtId="173" fontId="28" fillId="26" borderId="0" xfId="0" applyNumberFormat="1" applyFont="1" applyFill="1" applyAlignment="1">
      <alignment vertical="center" wrapText="1"/>
    </xf>
    <xf numFmtId="173" fontId="28" fillId="26" borderId="20" xfId="0" applyNumberFormat="1" applyFont="1" applyFill="1" applyBorder="1" applyAlignment="1">
      <alignment vertical="center"/>
    </xf>
    <xf numFmtId="44" fontId="32" fillId="25" borderId="19" xfId="0" applyNumberFormat="1" applyFont="1" applyFill="1" applyBorder="1" applyAlignment="1">
      <alignment horizontal="left" vertical="center"/>
    </xf>
    <xf numFmtId="44" fontId="32" fillId="0" borderId="0" xfId="0" applyNumberFormat="1" applyFont="1" applyAlignment="1">
      <alignment horizontal="left" vertical="center"/>
    </xf>
    <xf numFmtId="44" fontId="32" fillId="0" borderId="0" xfId="0" applyNumberFormat="1" applyFont="1" applyFill="1" applyAlignment="1">
      <alignment horizontal="left" vertical="center"/>
    </xf>
    <xf numFmtId="2" fontId="32" fillId="0" borderId="20" xfId="0" applyNumberFormat="1" applyFont="1" applyFill="1" applyBorder="1" applyAlignment="1">
      <alignment horizontal="right" vertical="center"/>
    </xf>
    <xf numFmtId="2" fontId="3" fillId="0" borderId="20" xfId="0" applyNumberFormat="1" applyFont="1" applyFill="1" applyBorder="1" applyAlignment="1">
      <alignment horizontal="right" vertical="center"/>
    </xf>
    <xf numFmtId="1" fontId="32" fillId="29" borderId="19" xfId="0" applyNumberFormat="1" applyFont="1" applyFill="1" applyBorder="1" applyAlignment="1">
      <alignment horizontal="center" vertical="center"/>
    </xf>
    <xf numFmtId="2" fontId="32" fillId="29" borderId="19" xfId="0" applyNumberFormat="1" applyFont="1" applyFill="1" applyBorder="1" applyAlignment="1">
      <alignment horizontal="right" vertical="center"/>
    </xf>
    <xf numFmtId="44" fontId="32" fillId="31" borderId="20" xfId="0" applyNumberFormat="1" applyFont="1" applyFill="1" applyBorder="1" applyAlignment="1">
      <alignment horizontal="left" vertical="center"/>
    </xf>
    <xf numFmtId="44" fontId="32" fillId="31" borderId="19" xfId="0" applyNumberFormat="1" applyFont="1" applyFill="1" applyBorder="1" applyAlignment="1">
      <alignment horizontal="left" vertical="center"/>
    </xf>
    <xf numFmtId="9" fontId="23" fillId="0" borderId="0" xfId="42" applyFont="1" applyAlignment="1">
      <alignment horizontal="center" vertical="center"/>
    </xf>
    <xf numFmtId="0" fontId="24" fillId="0" borderId="0" xfId="0" applyFont="1" applyAlignment="1">
      <alignment horizontal="center"/>
    </xf>
    <xf numFmtId="44" fontId="32" fillId="29" borderId="46" xfId="0" applyNumberFormat="1" applyFont="1" applyFill="1" applyBorder="1" applyAlignment="1">
      <alignment horizontal="left" vertical="center"/>
    </xf>
    <xf numFmtId="0" fontId="32" fillId="29" borderId="45" xfId="0" applyFont="1" applyFill="1" applyBorder="1" applyAlignment="1">
      <alignment horizontal="left" vertical="center"/>
    </xf>
    <xf numFmtId="0" fontId="34" fillId="0" borderId="0" xfId="0" applyFont="1" applyBorder="1"/>
    <xf numFmtId="0" fontId="23" fillId="0" borderId="0" xfId="0" applyFont="1" applyBorder="1"/>
    <xf numFmtId="10" fontId="23" fillId="0" borderId="0" xfId="0" applyNumberFormat="1" applyFont="1" applyBorder="1" applyAlignment="1">
      <alignment horizontal="center"/>
    </xf>
    <xf numFmtId="44" fontId="23" fillId="0" borderId="0" xfId="29" applyNumberFormat="1" applyFont="1" applyFill="1" applyBorder="1" applyAlignment="1"/>
    <xf numFmtId="0" fontId="35" fillId="0" borderId="0" xfId="0" applyFont="1" applyFill="1" applyBorder="1" applyAlignment="1"/>
    <xf numFmtId="0" fontId="0" fillId="0" borderId="0" xfId="0" applyFill="1" applyBorder="1" applyAlignment="1"/>
    <xf numFmtId="43" fontId="24" fillId="0" borderId="0" xfId="0" applyNumberFormat="1" applyFont="1" applyFill="1" applyBorder="1"/>
    <xf numFmtId="44" fontId="24" fillId="0" borderId="0" xfId="0" applyNumberFormat="1" applyFont="1" applyFill="1" applyBorder="1"/>
    <xf numFmtId="0" fontId="24" fillId="0" borderId="0" xfId="0" applyFont="1" applyFill="1" applyBorder="1"/>
    <xf numFmtId="165" fontId="24" fillId="0" borderId="0" xfId="0" applyNumberFormat="1" applyFont="1" applyFill="1" applyBorder="1"/>
    <xf numFmtId="44" fontId="24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43" fontId="42" fillId="0" borderId="0" xfId="28" applyFont="1" applyFill="1" applyBorder="1"/>
    <xf numFmtId="44" fontId="42" fillId="0" borderId="0" xfId="0" applyNumberFormat="1" applyFont="1" applyFill="1" applyBorder="1"/>
    <xf numFmtId="10" fontId="42" fillId="0" borderId="0" xfId="0" applyNumberFormat="1" applyFont="1" applyFill="1" applyBorder="1" applyAlignment="1">
      <alignment horizontal="center"/>
    </xf>
    <xf numFmtId="0" fontId="42" fillId="0" borderId="0" xfId="0" applyFont="1" applyFill="1" applyBorder="1"/>
    <xf numFmtId="44" fontId="42" fillId="0" borderId="0" xfId="0" applyNumberFormat="1" applyFont="1" applyFill="1" applyBorder="1" applyAlignment="1">
      <alignment horizontal="center"/>
    </xf>
    <xf numFmtId="0" fontId="41" fillId="0" borderId="0" xfId="0" applyFont="1" applyFill="1" applyBorder="1" applyAlignment="1">
      <alignment wrapText="1"/>
    </xf>
    <xf numFmtId="0" fontId="34" fillId="0" borderId="0" xfId="0" applyFont="1" applyFill="1" applyBorder="1" applyAlignment="1"/>
    <xf numFmtId="9" fontId="23" fillId="0" borderId="0" xfId="42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24" fillId="0" borderId="0" xfId="0" applyFont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43" fontId="24" fillId="0" borderId="0" xfId="28" applyNumberFormat="1" applyFont="1" applyBorder="1" applyAlignment="1">
      <alignment horizontal="right"/>
    </xf>
    <xf numFmtId="170" fontId="24" fillId="0" borderId="0" xfId="28" applyNumberFormat="1" applyFont="1" applyBorder="1" applyAlignment="1">
      <alignment horizontal="right"/>
    </xf>
    <xf numFmtId="42" fontId="24" fillId="0" borderId="0" xfId="29" applyNumberFormat="1" applyFont="1" applyBorder="1"/>
    <xf numFmtId="2" fontId="24" fillId="0" borderId="0" xfId="0" applyNumberFormat="1" applyFont="1" applyFill="1" applyBorder="1" applyAlignment="1">
      <alignment horizontal="center"/>
    </xf>
    <xf numFmtId="3" fontId="24" fillId="0" borderId="0" xfId="28" applyNumberFormat="1" applyFont="1" applyBorder="1" applyAlignment="1">
      <alignment horizontal="center"/>
    </xf>
    <xf numFmtId="165" fontId="24" fillId="0" borderId="0" xfId="28" applyNumberFormat="1" applyFont="1" applyFill="1" applyBorder="1" applyAlignment="1">
      <alignment horizontal="center"/>
    </xf>
    <xf numFmtId="164" fontId="24" fillId="0" borderId="0" xfId="0" applyNumberFormat="1" applyFont="1" applyBorder="1"/>
    <xf numFmtId="164" fontId="24" fillId="0" borderId="0" xfId="0" applyNumberFormat="1" applyFont="1" applyFill="1" applyBorder="1"/>
    <xf numFmtId="9" fontId="23" fillId="0" borderId="0" xfId="42" applyFont="1"/>
    <xf numFmtId="0" fontId="23" fillId="0" borderId="0" xfId="0" applyFont="1"/>
    <xf numFmtId="0" fontId="24" fillId="33" borderId="26" xfId="0" applyFont="1" applyFill="1" applyBorder="1"/>
    <xf numFmtId="0" fontId="24" fillId="33" borderId="27" xfId="0" applyFont="1" applyFill="1" applyBorder="1" applyAlignment="1">
      <alignment horizontal="center"/>
    </xf>
    <xf numFmtId="164" fontId="23" fillId="33" borderId="27" xfId="0" applyNumberFormat="1" applyFont="1" applyFill="1" applyBorder="1"/>
    <xf numFmtId="164" fontId="24" fillId="33" borderId="28" xfId="0" applyNumberFormat="1" applyFont="1" applyFill="1" applyBorder="1"/>
    <xf numFmtId="0" fontId="24" fillId="32" borderId="10" xfId="0" applyFont="1" applyFill="1" applyBorder="1" applyAlignment="1">
      <alignment horizontal="center"/>
    </xf>
    <xf numFmtId="0" fontId="24" fillId="32" borderId="29" xfId="0" applyFont="1" applyFill="1" applyBorder="1" applyAlignment="1">
      <alignment horizontal="center"/>
    </xf>
    <xf numFmtId="0" fontId="24" fillId="32" borderId="12" xfId="0" applyFont="1" applyFill="1" applyBorder="1" applyAlignment="1">
      <alignment horizontal="center"/>
    </xf>
    <xf numFmtId="0" fontId="24" fillId="32" borderId="30" xfId="0" applyFont="1" applyFill="1" applyBorder="1" applyAlignment="1">
      <alignment horizontal="center"/>
    </xf>
    <xf numFmtId="0" fontId="24" fillId="32" borderId="14" xfId="0" applyFont="1" applyFill="1" applyBorder="1" applyAlignment="1">
      <alignment horizontal="center"/>
    </xf>
    <xf numFmtId="0" fontId="24" fillId="32" borderId="31" xfId="0" applyFont="1" applyFill="1" applyBorder="1" applyAlignment="1">
      <alignment horizontal="center"/>
    </xf>
    <xf numFmtId="164" fontId="23" fillId="32" borderId="12" xfId="0" applyNumberFormat="1" applyFont="1" applyFill="1" applyBorder="1"/>
    <xf numFmtId="164" fontId="23" fillId="32" borderId="30" xfId="0" applyNumberFormat="1" applyFont="1" applyFill="1" applyBorder="1"/>
    <xf numFmtId="167" fontId="23" fillId="32" borderId="12" xfId="0" applyNumberFormat="1" applyFont="1" applyFill="1" applyBorder="1" applyAlignment="1">
      <alignment horizontal="center"/>
    </xf>
    <xf numFmtId="164" fontId="24" fillId="32" borderId="25" xfId="0" applyNumberFormat="1" applyFont="1" applyFill="1" applyBorder="1"/>
    <xf numFmtId="164" fontId="23" fillId="32" borderId="25" xfId="0" applyNumberFormat="1" applyFont="1" applyFill="1" applyBorder="1"/>
    <xf numFmtId="167" fontId="24" fillId="32" borderId="25" xfId="0" applyNumberFormat="1" applyFont="1" applyFill="1" applyBorder="1" applyAlignment="1">
      <alignment horizontal="center"/>
    </xf>
    <xf numFmtId="0" fontId="24" fillId="34" borderId="17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center"/>
    </xf>
    <xf numFmtId="164" fontId="23" fillId="34" borderId="13" xfId="0" applyNumberFormat="1" applyFont="1" applyFill="1" applyBorder="1"/>
    <xf numFmtId="2" fontId="23" fillId="34" borderId="13" xfId="0" applyNumberFormat="1" applyFont="1" applyFill="1" applyBorder="1" applyAlignment="1">
      <alignment horizontal="center"/>
    </xf>
    <xf numFmtId="164" fontId="24" fillId="34" borderId="20" xfId="0" applyNumberFormat="1" applyFont="1" applyFill="1" applyBorder="1"/>
    <xf numFmtId="168" fontId="24" fillId="34" borderId="2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13" xfId="0" applyFont="1" applyBorder="1"/>
    <xf numFmtId="0" fontId="24" fillId="33" borderId="27" xfId="0" applyFont="1" applyFill="1" applyBorder="1"/>
    <xf numFmtId="0" fontId="23" fillId="26" borderId="32" xfId="0" applyFont="1" applyFill="1" applyBorder="1"/>
    <xf numFmtId="0" fontId="23" fillId="26" borderId="33" xfId="0" applyFont="1" applyFill="1" applyBorder="1"/>
    <xf numFmtId="0" fontId="23" fillId="26" borderId="33" xfId="0" applyFont="1" applyFill="1" applyBorder="1" applyAlignment="1">
      <alignment horizontal="center"/>
    </xf>
    <xf numFmtId="0" fontId="23" fillId="26" borderId="37" xfId="0" applyFont="1" applyFill="1" applyBorder="1"/>
    <xf numFmtId="0" fontId="24" fillId="28" borderId="32" xfId="0" applyFont="1" applyFill="1" applyBorder="1" applyAlignment="1">
      <alignment horizontal="center"/>
    </xf>
    <xf numFmtId="0" fontId="24" fillId="28" borderId="33" xfId="0" applyFont="1" applyFill="1" applyBorder="1" applyAlignment="1">
      <alignment horizontal="center"/>
    </xf>
    <xf numFmtId="0" fontId="24" fillId="28" borderId="37" xfId="0" applyFont="1" applyFill="1" applyBorder="1" applyAlignment="1">
      <alignment horizontal="center"/>
    </xf>
    <xf numFmtId="0" fontId="24" fillId="35" borderId="32" xfId="0" applyFont="1" applyFill="1" applyBorder="1" applyAlignment="1">
      <alignment horizontal="center"/>
    </xf>
    <xf numFmtId="0" fontId="24" fillId="35" borderId="33" xfId="0" applyFont="1" applyFill="1" applyBorder="1" applyAlignment="1">
      <alignment horizontal="center"/>
    </xf>
    <xf numFmtId="0" fontId="24" fillId="35" borderId="37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/>
    <xf numFmtId="0" fontId="25" fillId="0" borderId="0" xfId="0" applyFont="1" applyAlignment="1">
      <alignment horizontal="center"/>
    </xf>
    <xf numFmtId="0" fontId="24" fillId="26" borderId="33" xfId="0" applyFont="1" applyFill="1" applyBorder="1" applyAlignment="1">
      <alignment horizontal="center"/>
    </xf>
    <xf numFmtId="170" fontId="3" fillId="27" borderId="35" xfId="206" applyNumberFormat="1" applyFont="1" applyFill="1" applyBorder="1" applyAlignment="1">
      <alignment horizontal="center" vertical="center"/>
    </xf>
    <xf numFmtId="170" fontId="3" fillId="27" borderId="19" xfId="206" applyNumberFormat="1" applyFont="1" applyFill="1" applyBorder="1" applyAlignment="1">
      <alignment horizontal="center" vertical="center"/>
    </xf>
    <xf numFmtId="170" fontId="3" fillId="27" borderId="36" xfId="206" applyNumberFormat="1" applyFont="1" applyFill="1" applyBorder="1" applyAlignment="1">
      <alignment horizontal="center" vertical="center"/>
    </xf>
    <xf numFmtId="44" fontId="3" fillId="27" borderId="35" xfId="206" applyFont="1" applyFill="1" applyBorder="1" applyAlignment="1">
      <alignment horizontal="center" vertical="center"/>
    </xf>
    <xf numFmtId="44" fontId="3" fillId="27" borderId="19" xfId="206" applyFont="1" applyFill="1" applyBorder="1" applyAlignment="1">
      <alignment horizontal="center" vertical="center"/>
    </xf>
    <xf numFmtId="44" fontId="3" fillId="27" borderId="36" xfId="206" applyFont="1" applyFill="1" applyBorder="1" applyAlignment="1">
      <alignment horizontal="center" vertical="center"/>
    </xf>
    <xf numFmtId="170" fontId="3" fillId="30" borderId="35" xfId="206" applyNumberFormat="1" applyFont="1" applyFill="1" applyBorder="1" applyAlignment="1">
      <alignment horizontal="center" vertical="center"/>
    </xf>
    <xf numFmtId="170" fontId="3" fillId="30" borderId="19" xfId="206" applyNumberFormat="1" applyFont="1" applyFill="1" applyBorder="1" applyAlignment="1">
      <alignment horizontal="center" vertical="center"/>
    </xf>
    <xf numFmtId="170" fontId="3" fillId="30" borderId="36" xfId="206" applyNumberFormat="1" applyFont="1" applyFill="1" applyBorder="1" applyAlignment="1">
      <alignment horizontal="center" vertical="center"/>
    </xf>
    <xf numFmtId="44" fontId="3" fillId="30" borderId="35" xfId="206" applyFont="1" applyFill="1" applyBorder="1" applyAlignment="1">
      <alignment horizontal="center" vertical="center"/>
    </xf>
    <xf numFmtId="44" fontId="3" fillId="30" borderId="19" xfId="206" applyFont="1" applyFill="1" applyBorder="1" applyAlignment="1">
      <alignment horizontal="center" vertical="center"/>
    </xf>
    <xf numFmtId="44" fontId="3" fillId="30" borderId="36" xfId="206" applyFont="1" applyFill="1" applyBorder="1" applyAlignment="1">
      <alignment horizontal="center" vertical="center"/>
    </xf>
    <xf numFmtId="169" fontId="3" fillId="30" borderId="35" xfId="226" applyFont="1" applyFill="1" applyBorder="1" applyAlignment="1">
      <alignment horizontal="center" vertical="center"/>
    </xf>
    <xf numFmtId="169" fontId="3" fillId="30" borderId="19" xfId="226" applyFont="1" applyFill="1" applyBorder="1" applyAlignment="1">
      <alignment horizontal="center" vertical="center"/>
    </xf>
    <xf numFmtId="169" fontId="3" fillId="30" borderId="36" xfId="226" applyFont="1" applyFill="1" applyBorder="1" applyAlignment="1">
      <alignment horizontal="center" vertical="center"/>
    </xf>
    <xf numFmtId="169" fontId="3" fillId="27" borderId="35" xfId="226" applyFont="1" applyFill="1" applyBorder="1" applyAlignment="1">
      <alignment horizontal="center" vertical="center"/>
    </xf>
    <xf numFmtId="169" fontId="3" fillId="27" borderId="19" xfId="226" applyFont="1" applyFill="1" applyBorder="1" applyAlignment="1">
      <alignment horizontal="center" vertical="center"/>
    </xf>
    <xf numFmtId="169" fontId="3" fillId="27" borderId="36" xfId="226" applyFont="1" applyFill="1" applyBorder="1" applyAlignment="1">
      <alignment horizontal="center" vertical="center"/>
    </xf>
    <xf numFmtId="170" fontId="3" fillId="30" borderId="35" xfId="206" applyNumberFormat="1" applyFont="1" applyFill="1" applyBorder="1" applyAlignment="1">
      <alignment horizontal="center" vertical="center" wrapText="1"/>
    </xf>
    <xf numFmtId="170" fontId="3" fillId="30" borderId="19" xfId="206" applyNumberFormat="1" applyFont="1" applyFill="1" applyBorder="1" applyAlignment="1">
      <alignment horizontal="center" vertical="center" wrapText="1"/>
    </xf>
    <xf numFmtId="170" fontId="3" fillId="30" borderId="36" xfId="206" applyNumberFormat="1" applyFont="1" applyFill="1" applyBorder="1" applyAlignment="1">
      <alignment horizontal="center" vertical="center" wrapText="1"/>
    </xf>
    <xf numFmtId="170" fontId="3" fillId="27" borderId="35" xfId="206" applyNumberFormat="1" applyFont="1" applyFill="1" applyBorder="1" applyAlignment="1">
      <alignment horizontal="center" vertical="center" wrapText="1"/>
    </xf>
    <xf numFmtId="170" fontId="3" fillId="27" borderId="19" xfId="206" applyNumberFormat="1" applyFont="1" applyFill="1" applyBorder="1" applyAlignment="1">
      <alignment horizontal="center" vertical="center" wrapText="1"/>
    </xf>
    <xf numFmtId="170" fontId="3" fillId="27" borderId="36" xfId="206" applyNumberFormat="1" applyFont="1" applyFill="1" applyBorder="1" applyAlignment="1">
      <alignment horizontal="center" vertical="center" wrapText="1"/>
    </xf>
    <xf numFmtId="0" fontId="3" fillId="0" borderId="0" xfId="39" applyFont="1" applyFill="1" applyAlignment="1">
      <alignment horizontal="center"/>
    </xf>
    <xf numFmtId="0" fontId="24" fillId="36" borderId="18" xfId="0" applyFont="1" applyFill="1" applyBorder="1" applyAlignment="1">
      <alignment horizontal="center"/>
    </xf>
    <xf numFmtId="3" fontId="24" fillId="36" borderId="22" xfId="0" applyNumberFormat="1" applyFont="1" applyFill="1" applyBorder="1" applyAlignment="1">
      <alignment horizontal="center"/>
    </xf>
    <xf numFmtId="43" fontId="24" fillId="36" borderId="21" xfId="28" applyNumberFormat="1" applyFont="1" applyFill="1" applyBorder="1" applyAlignment="1">
      <alignment horizontal="right"/>
    </xf>
    <xf numFmtId="170" fontId="24" fillId="36" borderId="21" xfId="28" applyNumberFormat="1" applyFont="1" applyFill="1" applyBorder="1" applyAlignment="1">
      <alignment horizontal="right"/>
    </xf>
    <xf numFmtId="42" fontId="24" fillId="36" borderId="21" xfId="29" applyNumberFormat="1" applyFont="1" applyFill="1" applyBorder="1"/>
    <xf numFmtId="2" fontId="24" fillId="36" borderId="21" xfId="0" applyNumberFormat="1" applyFont="1" applyFill="1" applyBorder="1" applyAlignment="1">
      <alignment horizontal="center"/>
    </xf>
    <xf numFmtId="3" fontId="24" fillId="36" borderId="23" xfId="28" applyNumberFormat="1" applyFont="1" applyFill="1" applyBorder="1" applyAlignment="1">
      <alignment horizontal="center"/>
    </xf>
    <xf numFmtId="165" fontId="24" fillId="36" borderId="21" xfId="28" applyNumberFormat="1" applyFont="1" applyFill="1" applyBorder="1" applyAlignment="1">
      <alignment horizontal="center"/>
    </xf>
    <xf numFmtId="44" fontId="24" fillId="36" borderId="19" xfId="0" applyNumberFormat="1" applyFont="1" applyFill="1" applyBorder="1"/>
    <xf numFmtId="164" fontId="24" fillId="36" borderId="20" xfId="0" applyNumberFormat="1" applyFont="1" applyFill="1" applyBorder="1"/>
    <xf numFmtId="0" fontId="24" fillId="34" borderId="16" xfId="0" applyFont="1" applyFill="1" applyBorder="1" applyAlignment="1">
      <alignment horizontal="center"/>
    </xf>
  </cellXfs>
  <cellStyles count="232">
    <cellStyle name="20% - Accent1" xfId="1" builtinId="30" customBuiltin="1"/>
    <cellStyle name="20% - Accent1 2" xfId="47" xr:uid="{00000000-0005-0000-0000-000001000000}"/>
    <cellStyle name="20% - Accent1 3" xfId="90" xr:uid="{00000000-0005-0000-0000-000002000000}"/>
    <cellStyle name="20% - Accent1 4" xfId="132" xr:uid="{00000000-0005-0000-0000-000003000000}"/>
    <cellStyle name="20% - Accent1 5" xfId="175" xr:uid="{00000000-0005-0000-0000-000004000000}"/>
    <cellStyle name="20% - Accent2" xfId="2" builtinId="34" customBuiltin="1"/>
    <cellStyle name="20% - Accent2 2" xfId="48" xr:uid="{00000000-0005-0000-0000-000006000000}"/>
    <cellStyle name="20% - Accent2 3" xfId="91" xr:uid="{00000000-0005-0000-0000-000007000000}"/>
    <cellStyle name="20% - Accent2 4" xfId="133" xr:uid="{00000000-0005-0000-0000-000008000000}"/>
    <cellStyle name="20% - Accent2 5" xfId="176" xr:uid="{00000000-0005-0000-0000-000009000000}"/>
    <cellStyle name="20% - Accent3" xfId="3" builtinId="38" customBuiltin="1"/>
    <cellStyle name="20% - Accent3 2" xfId="49" xr:uid="{00000000-0005-0000-0000-00000B000000}"/>
    <cellStyle name="20% - Accent3 3" xfId="92" xr:uid="{00000000-0005-0000-0000-00000C000000}"/>
    <cellStyle name="20% - Accent3 4" xfId="134" xr:uid="{00000000-0005-0000-0000-00000D000000}"/>
    <cellStyle name="20% - Accent3 5" xfId="177" xr:uid="{00000000-0005-0000-0000-00000E000000}"/>
    <cellStyle name="20% - Accent4" xfId="4" builtinId="42" customBuiltin="1"/>
    <cellStyle name="20% - Accent4 2" xfId="50" xr:uid="{00000000-0005-0000-0000-000010000000}"/>
    <cellStyle name="20% - Accent4 3" xfId="93" xr:uid="{00000000-0005-0000-0000-000011000000}"/>
    <cellStyle name="20% - Accent4 4" xfId="135" xr:uid="{00000000-0005-0000-0000-000012000000}"/>
    <cellStyle name="20% - Accent4 5" xfId="178" xr:uid="{00000000-0005-0000-0000-000013000000}"/>
    <cellStyle name="20% - Accent5" xfId="5" builtinId="46" customBuiltin="1"/>
    <cellStyle name="20% - Accent5 2" xfId="51" xr:uid="{00000000-0005-0000-0000-000015000000}"/>
    <cellStyle name="20% - Accent5 3" xfId="94" xr:uid="{00000000-0005-0000-0000-000016000000}"/>
    <cellStyle name="20% - Accent5 4" xfId="136" xr:uid="{00000000-0005-0000-0000-000017000000}"/>
    <cellStyle name="20% - Accent5 5" xfId="179" xr:uid="{00000000-0005-0000-0000-000018000000}"/>
    <cellStyle name="20% - Accent6" xfId="6" builtinId="50" customBuiltin="1"/>
    <cellStyle name="20% - Accent6 2" xfId="52" xr:uid="{00000000-0005-0000-0000-00001A000000}"/>
    <cellStyle name="20% - Accent6 3" xfId="95" xr:uid="{00000000-0005-0000-0000-00001B000000}"/>
    <cellStyle name="20% - Accent6 4" xfId="137" xr:uid="{00000000-0005-0000-0000-00001C000000}"/>
    <cellStyle name="20% - Accent6 5" xfId="180" xr:uid="{00000000-0005-0000-0000-00001D000000}"/>
    <cellStyle name="40% - Accent1" xfId="7" builtinId="31" customBuiltin="1"/>
    <cellStyle name="40% - Accent1 2" xfId="53" xr:uid="{00000000-0005-0000-0000-00001F000000}"/>
    <cellStyle name="40% - Accent1 3" xfId="96" xr:uid="{00000000-0005-0000-0000-000020000000}"/>
    <cellStyle name="40% - Accent1 4" xfId="138" xr:uid="{00000000-0005-0000-0000-000021000000}"/>
    <cellStyle name="40% - Accent1 5" xfId="181" xr:uid="{00000000-0005-0000-0000-000022000000}"/>
    <cellStyle name="40% - Accent2" xfId="8" builtinId="35" customBuiltin="1"/>
    <cellStyle name="40% - Accent2 2" xfId="54" xr:uid="{00000000-0005-0000-0000-000024000000}"/>
    <cellStyle name="40% - Accent2 3" xfId="97" xr:uid="{00000000-0005-0000-0000-000025000000}"/>
    <cellStyle name="40% - Accent2 4" xfId="139" xr:uid="{00000000-0005-0000-0000-000026000000}"/>
    <cellStyle name="40% - Accent2 5" xfId="182" xr:uid="{00000000-0005-0000-0000-000027000000}"/>
    <cellStyle name="40% - Accent3" xfId="9" builtinId="39" customBuiltin="1"/>
    <cellStyle name="40% - Accent3 2" xfId="55" xr:uid="{00000000-0005-0000-0000-000029000000}"/>
    <cellStyle name="40% - Accent3 3" xfId="98" xr:uid="{00000000-0005-0000-0000-00002A000000}"/>
    <cellStyle name="40% - Accent3 4" xfId="140" xr:uid="{00000000-0005-0000-0000-00002B000000}"/>
    <cellStyle name="40% - Accent3 5" xfId="183" xr:uid="{00000000-0005-0000-0000-00002C000000}"/>
    <cellStyle name="40% - Accent4" xfId="10" builtinId="43" customBuiltin="1"/>
    <cellStyle name="40% - Accent4 2" xfId="56" xr:uid="{00000000-0005-0000-0000-00002E000000}"/>
    <cellStyle name="40% - Accent4 3" xfId="99" xr:uid="{00000000-0005-0000-0000-00002F000000}"/>
    <cellStyle name="40% - Accent4 4" xfId="141" xr:uid="{00000000-0005-0000-0000-000030000000}"/>
    <cellStyle name="40% - Accent4 5" xfId="184" xr:uid="{00000000-0005-0000-0000-000031000000}"/>
    <cellStyle name="40% - Accent5" xfId="11" builtinId="47" customBuiltin="1"/>
    <cellStyle name="40% - Accent5 2" xfId="57" xr:uid="{00000000-0005-0000-0000-000033000000}"/>
    <cellStyle name="40% - Accent5 3" xfId="100" xr:uid="{00000000-0005-0000-0000-000034000000}"/>
    <cellStyle name="40% - Accent5 4" xfId="142" xr:uid="{00000000-0005-0000-0000-000035000000}"/>
    <cellStyle name="40% - Accent5 5" xfId="185" xr:uid="{00000000-0005-0000-0000-000036000000}"/>
    <cellStyle name="40% - Accent6" xfId="12" builtinId="51" customBuiltin="1"/>
    <cellStyle name="40% - Accent6 2" xfId="58" xr:uid="{00000000-0005-0000-0000-000038000000}"/>
    <cellStyle name="40% - Accent6 3" xfId="101" xr:uid="{00000000-0005-0000-0000-000039000000}"/>
    <cellStyle name="40% - Accent6 4" xfId="143" xr:uid="{00000000-0005-0000-0000-00003A000000}"/>
    <cellStyle name="40% - Accent6 5" xfId="186" xr:uid="{00000000-0005-0000-0000-00003B000000}"/>
    <cellStyle name="60% - Accent1" xfId="13" builtinId="32" customBuiltin="1"/>
    <cellStyle name="60% - Accent1 2" xfId="59" xr:uid="{00000000-0005-0000-0000-00003D000000}"/>
    <cellStyle name="60% - Accent1 3" xfId="102" xr:uid="{00000000-0005-0000-0000-00003E000000}"/>
    <cellStyle name="60% - Accent1 4" xfId="144" xr:uid="{00000000-0005-0000-0000-00003F000000}"/>
    <cellStyle name="60% - Accent1 5" xfId="187" xr:uid="{00000000-0005-0000-0000-000040000000}"/>
    <cellStyle name="60% - Accent2" xfId="14" builtinId="36" customBuiltin="1"/>
    <cellStyle name="60% - Accent2 2" xfId="60" xr:uid="{00000000-0005-0000-0000-000042000000}"/>
    <cellStyle name="60% - Accent2 3" xfId="103" xr:uid="{00000000-0005-0000-0000-000043000000}"/>
    <cellStyle name="60% - Accent2 4" xfId="145" xr:uid="{00000000-0005-0000-0000-000044000000}"/>
    <cellStyle name="60% - Accent2 5" xfId="188" xr:uid="{00000000-0005-0000-0000-000045000000}"/>
    <cellStyle name="60% - Accent3" xfId="15" builtinId="40" customBuiltin="1"/>
    <cellStyle name="60% - Accent3 2" xfId="61" xr:uid="{00000000-0005-0000-0000-000047000000}"/>
    <cellStyle name="60% - Accent3 3" xfId="104" xr:uid="{00000000-0005-0000-0000-000048000000}"/>
    <cellStyle name="60% - Accent3 4" xfId="146" xr:uid="{00000000-0005-0000-0000-000049000000}"/>
    <cellStyle name="60% - Accent3 5" xfId="189" xr:uid="{00000000-0005-0000-0000-00004A000000}"/>
    <cellStyle name="60% - Accent4" xfId="16" builtinId="44" customBuiltin="1"/>
    <cellStyle name="60% - Accent4 2" xfId="62" xr:uid="{00000000-0005-0000-0000-00004C000000}"/>
    <cellStyle name="60% - Accent4 3" xfId="105" xr:uid="{00000000-0005-0000-0000-00004D000000}"/>
    <cellStyle name="60% - Accent4 4" xfId="147" xr:uid="{00000000-0005-0000-0000-00004E000000}"/>
    <cellStyle name="60% - Accent4 5" xfId="190" xr:uid="{00000000-0005-0000-0000-00004F000000}"/>
    <cellStyle name="60% - Accent5" xfId="17" builtinId="48" customBuiltin="1"/>
    <cellStyle name="60% - Accent5 2" xfId="63" xr:uid="{00000000-0005-0000-0000-000051000000}"/>
    <cellStyle name="60% - Accent5 3" xfId="106" xr:uid="{00000000-0005-0000-0000-000052000000}"/>
    <cellStyle name="60% - Accent5 4" xfId="148" xr:uid="{00000000-0005-0000-0000-000053000000}"/>
    <cellStyle name="60% - Accent5 5" xfId="191" xr:uid="{00000000-0005-0000-0000-000054000000}"/>
    <cellStyle name="60% - Accent6" xfId="18" builtinId="52" customBuiltin="1"/>
    <cellStyle name="60% - Accent6 2" xfId="64" xr:uid="{00000000-0005-0000-0000-000056000000}"/>
    <cellStyle name="60% - Accent6 3" xfId="107" xr:uid="{00000000-0005-0000-0000-000057000000}"/>
    <cellStyle name="60% - Accent6 4" xfId="149" xr:uid="{00000000-0005-0000-0000-000058000000}"/>
    <cellStyle name="60% - Accent6 5" xfId="192" xr:uid="{00000000-0005-0000-0000-000059000000}"/>
    <cellStyle name="Accent1" xfId="19" builtinId="29" customBuiltin="1"/>
    <cellStyle name="Accent1 2" xfId="65" xr:uid="{00000000-0005-0000-0000-00005B000000}"/>
    <cellStyle name="Accent1 3" xfId="108" xr:uid="{00000000-0005-0000-0000-00005C000000}"/>
    <cellStyle name="Accent1 4" xfId="150" xr:uid="{00000000-0005-0000-0000-00005D000000}"/>
    <cellStyle name="Accent1 5" xfId="193" xr:uid="{00000000-0005-0000-0000-00005E000000}"/>
    <cellStyle name="Accent2" xfId="20" builtinId="33" customBuiltin="1"/>
    <cellStyle name="Accent2 2" xfId="66" xr:uid="{00000000-0005-0000-0000-000060000000}"/>
    <cellStyle name="Accent2 3" xfId="109" xr:uid="{00000000-0005-0000-0000-000061000000}"/>
    <cellStyle name="Accent2 4" xfId="151" xr:uid="{00000000-0005-0000-0000-000062000000}"/>
    <cellStyle name="Accent2 5" xfId="194" xr:uid="{00000000-0005-0000-0000-000063000000}"/>
    <cellStyle name="Accent3" xfId="21" builtinId="37" customBuiltin="1"/>
    <cellStyle name="Accent3 2" xfId="67" xr:uid="{00000000-0005-0000-0000-000065000000}"/>
    <cellStyle name="Accent3 3" xfId="110" xr:uid="{00000000-0005-0000-0000-000066000000}"/>
    <cellStyle name="Accent3 4" xfId="152" xr:uid="{00000000-0005-0000-0000-000067000000}"/>
    <cellStyle name="Accent3 5" xfId="195" xr:uid="{00000000-0005-0000-0000-000068000000}"/>
    <cellStyle name="Accent4" xfId="22" builtinId="41" customBuiltin="1"/>
    <cellStyle name="Accent4 2" xfId="68" xr:uid="{00000000-0005-0000-0000-00006A000000}"/>
    <cellStyle name="Accent4 3" xfId="111" xr:uid="{00000000-0005-0000-0000-00006B000000}"/>
    <cellStyle name="Accent4 4" xfId="153" xr:uid="{00000000-0005-0000-0000-00006C000000}"/>
    <cellStyle name="Accent4 5" xfId="196" xr:uid="{00000000-0005-0000-0000-00006D000000}"/>
    <cellStyle name="Accent5" xfId="23" builtinId="45" customBuiltin="1"/>
    <cellStyle name="Accent5 2" xfId="69" xr:uid="{00000000-0005-0000-0000-00006F000000}"/>
    <cellStyle name="Accent5 3" xfId="112" xr:uid="{00000000-0005-0000-0000-000070000000}"/>
    <cellStyle name="Accent5 4" xfId="154" xr:uid="{00000000-0005-0000-0000-000071000000}"/>
    <cellStyle name="Accent5 5" xfId="197" xr:uid="{00000000-0005-0000-0000-000072000000}"/>
    <cellStyle name="Accent6" xfId="24" builtinId="49" customBuiltin="1"/>
    <cellStyle name="Accent6 2" xfId="70" xr:uid="{00000000-0005-0000-0000-000074000000}"/>
    <cellStyle name="Accent6 3" xfId="113" xr:uid="{00000000-0005-0000-0000-000075000000}"/>
    <cellStyle name="Accent6 4" xfId="155" xr:uid="{00000000-0005-0000-0000-000076000000}"/>
    <cellStyle name="Accent6 5" xfId="198" xr:uid="{00000000-0005-0000-0000-000077000000}"/>
    <cellStyle name="Bad" xfId="25" builtinId="27" customBuiltin="1"/>
    <cellStyle name="Bad 2" xfId="71" xr:uid="{00000000-0005-0000-0000-000079000000}"/>
    <cellStyle name="Bad 3" xfId="114" xr:uid="{00000000-0005-0000-0000-00007A000000}"/>
    <cellStyle name="Bad 4" xfId="156" xr:uid="{00000000-0005-0000-0000-00007B000000}"/>
    <cellStyle name="Bad 5" xfId="199" xr:uid="{00000000-0005-0000-0000-00007C000000}"/>
    <cellStyle name="Calculation" xfId="26" builtinId="22" customBuiltin="1"/>
    <cellStyle name="Calculation 2" xfId="72" xr:uid="{00000000-0005-0000-0000-00007E000000}"/>
    <cellStyle name="Calculation 3" xfId="115" xr:uid="{00000000-0005-0000-0000-00007F000000}"/>
    <cellStyle name="Calculation 4" xfId="157" xr:uid="{00000000-0005-0000-0000-000080000000}"/>
    <cellStyle name="Calculation 5" xfId="200" xr:uid="{00000000-0005-0000-0000-000081000000}"/>
    <cellStyle name="Check Cell" xfId="27" builtinId="23" customBuiltin="1"/>
    <cellStyle name="Check Cell 2" xfId="73" xr:uid="{00000000-0005-0000-0000-000083000000}"/>
    <cellStyle name="Check Cell 3" xfId="116" xr:uid="{00000000-0005-0000-0000-000084000000}"/>
    <cellStyle name="Check Cell 4" xfId="158" xr:uid="{00000000-0005-0000-0000-000085000000}"/>
    <cellStyle name="Check Cell 5" xfId="201" xr:uid="{00000000-0005-0000-0000-000086000000}"/>
    <cellStyle name="Comma" xfId="28" builtinId="3"/>
    <cellStyle name="Comma 2" xfId="74" xr:uid="{00000000-0005-0000-0000-000088000000}"/>
    <cellStyle name="Comma 3" xfId="203" xr:uid="{00000000-0005-0000-0000-000089000000}"/>
    <cellStyle name="Comma 4" xfId="204" xr:uid="{00000000-0005-0000-0000-00008A000000}"/>
    <cellStyle name="Comma 5" xfId="202" xr:uid="{00000000-0005-0000-0000-00008B000000}"/>
    <cellStyle name="Comma 5 2" xfId="230" xr:uid="{00000000-0005-0000-0000-00008C000000}"/>
    <cellStyle name="Currency" xfId="29" builtinId="4"/>
    <cellStyle name="Currency 2" xfId="75" xr:uid="{00000000-0005-0000-0000-00008E000000}"/>
    <cellStyle name="Currency 3" xfId="117" xr:uid="{00000000-0005-0000-0000-00008F000000}"/>
    <cellStyle name="Currency 4" xfId="159" xr:uid="{00000000-0005-0000-0000-000090000000}"/>
    <cellStyle name="Currency 5" xfId="206" xr:uid="{00000000-0005-0000-0000-000091000000}"/>
    <cellStyle name="Currency 6" xfId="207" xr:uid="{00000000-0005-0000-0000-000092000000}"/>
    <cellStyle name="Currency 7" xfId="205" xr:uid="{00000000-0005-0000-0000-000093000000}"/>
    <cellStyle name="Currency 7 2" xfId="231" xr:uid="{00000000-0005-0000-0000-000094000000}"/>
    <cellStyle name="Explanatory Text" xfId="30" builtinId="53" customBuiltin="1"/>
    <cellStyle name="Explanatory Text 2" xfId="76" xr:uid="{00000000-0005-0000-0000-000096000000}"/>
    <cellStyle name="Explanatory Text 3" xfId="118" xr:uid="{00000000-0005-0000-0000-000097000000}"/>
    <cellStyle name="Explanatory Text 4" xfId="160" xr:uid="{00000000-0005-0000-0000-000098000000}"/>
    <cellStyle name="Explanatory Text 5" xfId="208" xr:uid="{00000000-0005-0000-0000-000099000000}"/>
    <cellStyle name="Good" xfId="31" builtinId="26" customBuiltin="1"/>
    <cellStyle name="Good 2" xfId="77" xr:uid="{00000000-0005-0000-0000-00009B000000}"/>
    <cellStyle name="Good 3" xfId="119" xr:uid="{00000000-0005-0000-0000-00009C000000}"/>
    <cellStyle name="Good 4" xfId="161" xr:uid="{00000000-0005-0000-0000-00009D000000}"/>
    <cellStyle name="Good 5" xfId="209" xr:uid="{00000000-0005-0000-0000-00009E000000}"/>
    <cellStyle name="Heading 1" xfId="32" builtinId="16" customBuiltin="1"/>
    <cellStyle name="Heading 1 2" xfId="78" xr:uid="{00000000-0005-0000-0000-0000A0000000}"/>
    <cellStyle name="Heading 1 3" xfId="120" xr:uid="{00000000-0005-0000-0000-0000A1000000}"/>
    <cellStyle name="Heading 1 4" xfId="162" xr:uid="{00000000-0005-0000-0000-0000A2000000}"/>
    <cellStyle name="Heading 1 5" xfId="210" xr:uid="{00000000-0005-0000-0000-0000A3000000}"/>
    <cellStyle name="Heading 2" xfId="33" builtinId="17" customBuiltin="1"/>
    <cellStyle name="Heading 2 2" xfId="79" xr:uid="{00000000-0005-0000-0000-0000A5000000}"/>
    <cellStyle name="Heading 2 3" xfId="121" xr:uid="{00000000-0005-0000-0000-0000A6000000}"/>
    <cellStyle name="Heading 2 4" xfId="163" xr:uid="{00000000-0005-0000-0000-0000A7000000}"/>
    <cellStyle name="Heading 2 5" xfId="211" xr:uid="{00000000-0005-0000-0000-0000A8000000}"/>
    <cellStyle name="Heading 3" xfId="34" builtinId="18" customBuiltin="1"/>
    <cellStyle name="Heading 3 2" xfId="80" xr:uid="{00000000-0005-0000-0000-0000AA000000}"/>
    <cellStyle name="Heading 3 3" xfId="122" xr:uid="{00000000-0005-0000-0000-0000AB000000}"/>
    <cellStyle name="Heading 3 4" xfId="164" xr:uid="{00000000-0005-0000-0000-0000AC000000}"/>
    <cellStyle name="Heading 3 5" xfId="212" xr:uid="{00000000-0005-0000-0000-0000AD000000}"/>
    <cellStyle name="Heading 4" xfId="35" builtinId="19" customBuiltin="1"/>
    <cellStyle name="Heading 4 2" xfId="81" xr:uid="{00000000-0005-0000-0000-0000AF000000}"/>
    <cellStyle name="Heading 4 3" xfId="123" xr:uid="{00000000-0005-0000-0000-0000B0000000}"/>
    <cellStyle name="Heading 4 4" xfId="165" xr:uid="{00000000-0005-0000-0000-0000B1000000}"/>
    <cellStyle name="Heading 4 5" xfId="213" xr:uid="{00000000-0005-0000-0000-0000B2000000}"/>
    <cellStyle name="Input" xfId="36" builtinId="20" customBuiltin="1"/>
    <cellStyle name="Input 2" xfId="82" xr:uid="{00000000-0005-0000-0000-0000B4000000}"/>
    <cellStyle name="Input 3" xfId="124" xr:uid="{00000000-0005-0000-0000-0000B5000000}"/>
    <cellStyle name="Input 4" xfId="166" xr:uid="{00000000-0005-0000-0000-0000B6000000}"/>
    <cellStyle name="Input 5" xfId="214" xr:uid="{00000000-0005-0000-0000-0000B7000000}"/>
    <cellStyle name="Linked Cell" xfId="37" builtinId="24" customBuiltin="1"/>
    <cellStyle name="Linked Cell 2" xfId="83" xr:uid="{00000000-0005-0000-0000-0000B9000000}"/>
    <cellStyle name="Linked Cell 3" xfId="125" xr:uid="{00000000-0005-0000-0000-0000BA000000}"/>
    <cellStyle name="Linked Cell 4" xfId="167" xr:uid="{00000000-0005-0000-0000-0000BB000000}"/>
    <cellStyle name="Linked Cell 5" xfId="215" xr:uid="{00000000-0005-0000-0000-0000BC000000}"/>
    <cellStyle name="Neutral" xfId="38" builtinId="28" customBuiltin="1"/>
    <cellStyle name="Neutral 2" xfId="84" xr:uid="{00000000-0005-0000-0000-0000BE000000}"/>
    <cellStyle name="Neutral 3" xfId="126" xr:uid="{00000000-0005-0000-0000-0000BF000000}"/>
    <cellStyle name="Neutral 4" xfId="168" xr:uid="{00000000-0005-0000-0000-0000C0000000}"/>
    <cellStyle name="Neutral 5" xfId="216" xr:uid="{00000000-0005-0000-0000-0000C1000000}"/>
    <cellStyle name="Normal" xfId="0" builtinId="0"/>
    <cellStyle name="Normal 2" xfId="217" xr:uid="{00000000-0005-0000-0000-0000C3000000}"/>
    <cellStyle name="Normal 2 2" xfId="46" xr:uid="{00000000-0005-0000-0000-0000C4000000}"/>
    <cellStyle name="Normal 2 2 2" xfId="218" xr:uid="{00000000-0005-0000-0000-0000C5000000}"/>
    <cellStyle name="Normal 2 3" xfId="228" xr:uid="{00000000-0005-0000-0000-0000C6000000}"/>
    <cellStyle name="Normal 3" xfId="219" xr:uid="{00000000-0005-0000-0000-0000C7000000}"/>
    <cellStyle name="Normal 4" xfId="174" xr:uid="{00000000-0005-0000-0000-0000C8000000}"/>
    <cellStyle name="Normal 4 2" xfId="227" xr:uid="{00000000-0005-0000-0000-0000C9000000}"/>
    <cellStyle name="Normal 5" xfId="226" xr:uid="{00000000-0005-0000-0000-0000CA000000}"/>
    <cellStyle name="Normal_Copy of Avoided Cost adjusted Final" xfId="39" xr:uid="{00000000-0005-0000-0000-0000CB000000}"/>
    <cellStyle name="Normal_Copy of Avoided Cost adjusted Final 2" xfId="229" xr:uid="{00000000-0005-0000-0000-0000CC000000}"/>
    <cellStyle name="Note" xfId="40" builtinId="10" customBuiltin="1"/>
    <cellStyle name="Note 2" xfId="85" xr:uid="{00000000-0005-0000-0000-0000CE000000}"/>
    <cellStyle name="Note 3" xfId="127" xr:uid="{00000000-0005-0000-0000-0000CF000000}"/>
    <cellStyle name="Note 4" xfId="169" xr:uid="{00000000-0005-0000-0000-0000D0000000}"/>
    <cellStyle name="Note 5" xfId="220" xr:uid="{00000000-0005-0000-0000-0000D1000000}"/>
    <cellStyle name="Output" xfId="41" builtinId="21" customBuiltin="1"/>
    <cellStyle name="Output 2" xfId="86" xr:uid="{00000000-0005-0000-0000-0000D3000000}"/>
    <cellStyle name="Output 3" xfId="128" xr:uid="{00000000-0005-0000-0000-0000D4000000}"/>
    <cellStyle name="Output 4" xfId="170" xr:uid="{00000000-0005-0000-0000-0000D5000000}"/>
    <cellStyle name="Output 5" xfId="221" xr:uid="{00000000-0005-0000-0000-0000D6000000}"/>
    <cellStyle name="Percent" xfId="42" builtinId="5"/>
    <cellStyle name="Percent 2" xfId="222" xr:uid="{00000000-0005-0000-0000-0000D8000000}"/>
    <cellStyle name="Title" xfId="43" builtinId="15" customBuiltin="1"/>
    <cellStyle name="Title 2" xfId="87" xr:uid="{00000000-0005-0000-0000-0000DA000000}"/>
    <cellStyle name="Title 3" xfId="129" xr:uid="{00000000-0005-0000-0000-0000DB000000}"/>
    <cellStyle name="Title 4" xfId="171" xr:uid="{00000000-0005-0000-0000-0000DC000000}"/>
    <cellStyle name="Title 5" xfId="223" xr:uid="{00000000-0005-0000-0000-0000DD000000}"/>
    <cellStyle name="Total" xfId="44" builtinId="25" customBuiltin="1"/>
    <cellStyle name="Total 2" xfId="88" xr:uid="{00000000-0005-0000-0000-0000DF000000}"/>
    <cellStyle name="Total 3" xfId="130" xr:uid="{00000000-0005-0000-0000-0000E0000000}"/>
    <cellStyle name="Total 4" xfId="172" xr:uid="{00000000-0005-0000-0000-0000E1000000}"/>
    <cellStyle name="Total 5" xfId="224" xr:uid="{00000000-0005-0000-0000-0000E2000000}"/>
    <cellStyle name="Warning Text" xfId="45" builtinId="11" customBuiltin="1"/>
    <cellStyle name="Warning Text 2" xfId="89" xr:uid="{00000000-0005-0000-0000-0000E4000000}"/>
    <cellStyle name="Warning Text 3" xfId="131" xr:uid="{00000000-0005-0000-0000-0000E5000000}"/>
    <cellStyle name="Warning Text 4" xfId="173" xr:uid="{00000000-0005-0000-0000-0000E6000000}"/>
    <cellStyle name="Warning Text 5" xfId="225" xr:uid="{00000000-0005-0000-0000-0000E7000000}"/>
  </cellStyles>
  <dxfs count="0"/>
  <tableStyles count="0" defaultTableStyle="TableStyleMedium9" defaultPivotStyle="PivotStyleLight16"/>
  <colors>
    <mruColors>
      <color rgb="FFCCFFFF"/>
      <color rgb="FFCCFFCC"/>
      <color rgb="FFFFCC9B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ept\Rates\Laron%20T\WA%20CPI\Tools_103006\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ept\Rates\Laron%20T\WA%20CPI\Tools_103006\DaveB\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ocuments%20and%20Settings\jim.abrahamson\Local%20Settings\Temporary%20Internet%20Files\Content.Outlook\Y0CQP8DK\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ocuments%20and%20Settings\jim.abrahamson\Local%20Settings\Temporary%20Internet%20Files\Content.Outlook\Y0CQP8DK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ensyel, Phillip" id="{71F85FE2-DACA-421C-A7B0-838AA90ABA60}" userId="S::Phillip.Hensyel@cngc.com::8cb960d2-2928-4575-9655-df6987f1a2ad" providerId="AD"/>
  <person displayName="Cowlishaw, Monica" id="{FF3EBEC7-D4CA-4ED5-9AF4-5B19BD9A8BAC}" userId="S::Monica.Cowlishaw@cngc.com::6a558e23-4bbe-4dd8-8861-bc8e1c40174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7" dT="2019-04-17T23:37:10.10" personId="{FF3EBEC7-D4CA-4ED5-9AF4-5B19BD9A8BAC}" id="{4D3EE8B2-E64E-4131-B65D-93B6948D4FCE}">
    <text>I updated these three inputs for this calendar year, we still need to either update or confirm 2016 avoided costs on the above spreadsheet though.</text>
  </threadedComment>
  <threadedComment ref="E57" dT="2020-04-15T17:10:36.06" personId="{71F85FE2-DACA-421C-A7B0-838AA90ABA60}" id="{BC4F75B5-78E6-4320-808A-C1E9DDD52C67}" parentId="{4D3EE8B2-E64E-4131-B65D-93B6948D4FCE}">
    <text>These inputs have been updated to coincide with the 2016 IRP as per the Aug. 31, 2017 301-A UG-170929  tariff requirement.  04/15/2020 10:15 AM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41"/>
    <pageSetUpPr fitToPage="1"/>
  </sheetPr>
  <dimension ref="A1:P65"/>
  <sheetViews>
    <sheetView tabSelected="1" zoomScale="70" zoomScaleNormal="70" workbookViewId="0">
      <selection activeCell="N66" sqref="N66"/>
    </sheetView>
  </sheetViews>
  <sheetFormatPr defaultColWidth="18.33203125" defaultRowHeight="12.75" x14ac:dyDescent="0.2"/>
  <cols>
    <col min="1" max="1" width="50.1640625" style="1" bestFit="1" customWidth="1"/>
    <col min="2" max="2" width="22.33203125" style="1" bestFit="1" customWidth="1"/>
    <col min="3" max="3" width="22.83203125" style="2" bestFit="1" customWidth="1"/>
    <col min="4" max="4" width="20" style="1" customWidth="1"/>
    <col min="5" max="5" width="19.6640625" style="2" bestFit="1" customWidth="1"/>
    <col min="6" max="6" width="15" style="1" bestFit="1" customWidth="1"/>
    <col min="7" max="7" width="17" style="1" bestFit="1" customWidth="1"/>
    <col min="8" max="8" width="14.1640625" style="1" bestFit="1" customWidth="1"/>
    <col min="9" max="9" width="32" style="2" bestFit="1" customWidth="1"/>
    <col min="10" max="10" width="12" style="1" customWidth="1"/>
    <col min="11" max="11" width="18" style="28" bestFit="1" customWidth="1"/>
    <col min="12" max="12" width="13.33203125" style="29" bestFit="1" customWidth="1"/>
    <col min="13" max="13" width="5.83203125" style="28" customWidth="1"/>
    <col min="14" max="14" width="16.6640625" style="29" bestFit="1" customWidth="1"/>
    <col min="15" max="15" width="18" style="29" bestFit="1" customWidth="1"/>
    <col min="16" max="16" width="13.33203125" style="28" bestFit="1" customWidth="1"/>
    <col min="17" max="17" width="18.33203125" style="1" customWidth="1"/>
    <col min="18" max="16384" width="18.33203125" style="1"/>
  </cols>
  <sheetData>
    <row r="1" spans="1:16" x14ac:dyDescent="0.2">
      <c r="A1" s="350" t="s">
        <v>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</row>
    <row r="2" spans="1:16" x14ac:dyDescent="0.2">
      <c r="A2" s="350" t="s">
        <v>161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</row>
    <row r="3" spans="1:16" x14ac:dyDescent="0.2">
      <c r="A3" s="352" t="s">
        <v>26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</row>
    <row r="4" spans="1:16" x14ac:dyDescent="0.2">
      <c r="A4" s="340"/>
      <c r="B4" s="341"/>
      <c r="C4" s="342"/>
      <c r="D4" s="341"/>
      <c r="E4" s="342"/>
      <c r="F4" s="353" t="s">
        <v>222</v>
      </c>
      <c r="G4" s="353"/>
      <c r="H4" s="341"/>
      <c r="I4" s="342"/>
      <c r="J4" s="341"/>
      <c r="K4" s="341"/>
      <c r="L4" s="342"/>
      <c r="M4" s="341"/>
      <c r="N4" s="342"/>
      <c r="O4" s="342"/>
      <c r="P4" s="343"/>
    </row>
    <row r="5" spans="1:16" s="5" customFormat="1" x14ac:dyDescent="0.2">
      <c r="A5" s="11"/>
      <c r="B5" s="11"/>
      <c r="C5" s="6" t="s">
        <v>4</v>
      </c>
      <c r="D5" s="6" t="s">
        <v>1</v>
      </c>
      <c r="E5" s="6" t="s">
        <v>2</v>
      </c>
      <c r="F5" s="6"/>
      <c r="G5" s="6" t="s">
        <v>3</v>
      </c>
      <c r="H5" s="6"/>
      <c r="I5" s="303" t="s">
        <v>226</v>
      </c>
      <c r="J5" s="338"/>
      <c r="K5" s="332" t="s">
        <v>19</v>
      </c>
      <c r="L5" s="332" t="s">
        <v>24</v>
      </c>
      <c r="M5" s="339"/>
      <c r="N5" s="321" t="s">
        <v>4</v>
      </c>
      <c r="O5" s="322" t="s">
        <v>17</v>
      </c>
      <c r="P5" s="321" t="s">
        <v>24</v>
      </c>
    </row>
    <row r="6" spans="1:16" s="5" customFormat="1" x14ac:dyDescent="0.2">
      <c r="A6" s="11"/>
      <c r="B6" s="11"/>
      <c r="C6" s="6" t="s">
        <v>5</v>
      </c>
      <c r="D6" s="6" t="s">
        <v>6</v>
      </c>
      <c r="E6" s="6" t="s">
        <v>7</v>
      </c>
      <c r="F6" s="6" t="s">
        <v>1</v>
      </c>
      <c r="G6" s="6" t="s">
        <v>8</v>
      </c>
      <c r="H6" s="6" t="s">
        <v>225</v>
      </c>
      <c r="I6" s="163" t="s">
        <v>227</v>
      </c>
      <c r="J6" s="12" t="s">
        <v>10</v>
      </c>
      <c r="K6" s="332" t="s">
        <v>18</v>
      </c>
      <c r="L6" s="332" t="s">
        <v>12</v>
      </c>
      <c r="M6" s="316"/>
      <c r="N6" s="321" t="s">
        <v>9</v>
      </c>
      <c r="O6" s="322" t="s">
        <v>18</v>
      </c>
      <c r="P6" s="321" t="s">
        <v>12</v>
      </c>
    </row>
    <row r="7" spans="1:16" s="5" customFormat="1" x14ac:dyDescent="0.2">
      <c r="A7" s="7" t="s">
        <v>1</v>
      </c>
      <c r="B7" s="7" t="s">
        <v>20</v>
      </c>
      <c r="C7" s="7" t="s">
        <v>11</v>
      </c>
      <c r="D7" s="7" t="s">
        <v>12</v>
      </c>
      <c r="E7" s="7" t="str">
        <f>"("&amp;TEXT(NEPercentage,"##%")&amp;" of cost)"</f>
        <v>(10% of cost)</v>
      </c>
      <c r="F7" s="7" t="s">
        <v>13</v>
      </c>
      <c r="G7" s="7" t="s">
        <v>11</v>
      </c>
      <c r="H7" s="7" t="s">
        <v>224</v>
      </c>
      <c r="I7" s="13" t="s">
        <v>228</v>
      </c>
      <c r="J7" s="14" t="s">
        <v>12</v>
      </c>
      <c r="K7" s="389" t="s">
        <v>16</v>
      </c>
      <c r="L7" s="389" t="s">
        <v>25</v>
      </c>
      <c r="M7" s="316"/>
      <c r="N7" s="323" t="s">
        <v>12</v>
      </c>
      <c r="O7" s="324" t="s">
        <v>16</v>
      </c>
      <c r="P7" s="323" t="s">
        <v>25</v>
      </c>
    </row>
    <row r="8" spans="1:16" x14ac:dyDescent="0.2">
      <c r="A8" s="15" t="s">
        <v>21</v>
      </c>
      <c r="B8" s="16">
        <f>'2020 WA LIW ACTUALS'!F47</f>
        <v>29</v>
      </c>
      <c r="C8" s="47">
        <f>'2020 WA LIW ACTUALS'!H46</f>
        <v>2967.8999999999996</v>
      </c>
      <c r="D8" s="25">
        <f>'2020 WA LIW ACTUALS'!F48</f>
        <v>94839.919999999984</v>
      </c>
      <c r="E8" s="18">
        <f>0.1*D8</f>
        <v>9483.9919999999984</v>
      </c>
      <c r="F8" s="50">
        <v>45</v>
      </c>
      <c r="G8" s="17">
        <f t="shared" ref="G8:G21" si="0">PV($B$25,F8,-C8)</f>
        <v>66540.130482036562</v>
      </c>
      <c r="H8" s="25">
        <f t="shared" ref="H8:H21" si="1">$B$26*(C8/$C$22)</f>
        <v>9635.9600782282796</v>
      </c>
      <c r="I8" s="26">
        <f>D8</f>
        <v>94839.919999999984</v>
      </c>
      <c r="J8" s="19">
        <f>IF(ISERROR(I8/G8),0,I8/G8)</f>
        <v>1.4253040881187233</v>
      </c>
      <c r="K8" s="333">
        <f>(I8+H8)/G8</f>
        <v>1.5701183529604437</v>
      </c>
      <c r="L8" s="334">
        <f t="shared" ref="L8:L22" si="2">(VLOOKUP($F8,AC,6)*$C8)/($I8+$H8)</f>
        <v>1.0560374777203196</v>
      </c>
      <c r="M8" s="317"/>
      <c r="N8" s="325">
        <f>IF(ISERROR((D8-E8)/G8),0,(D8-E8)/G8)</f>
        <v>1.2827736793068509</v>
      </c>
      <c r="O8" s="326">
        <f>(D8-E8+H8)/G8</f>
        <v>1.4275879441485715</v>
      </c>
      <c r="P8" s="327">
        <f t="shared" ref="P8:P22" si="3">(VLOOKUP($F8,AC,4)*$C8)/($D8-$E8+$H8)</f>
        <v>0.96789356712897012</v>
      </c>
    </row>
    <row r="9" spans="1:16" x14ac:dyDescent="0.2">
      <c r="A9" s="1" t="s">
        <v>14</v>
      </c>
      <c r="B9" s="16">
        <f>'2020 WA LIW ACTUALS'!I47</f>
        <v>11</v>
      </c>
      <c r="C9" s="47">
        <f>'2020 WA LIW ACTUALS'!K46</f>
        <v>700.77</v>
      </c>
      <c r="D9" s="25">
        <f>'2020 WA LIW ACTUALS'!I48</f>
        <v>33282.54</v>
      </c>
      <c r="E9" s="18">
        <f t="shared" ref="E9:E21" si="4">0.1*D9</f>
        <v>3328.2540000000004</v>
      </c>
      <c r="F9" s="50">
        <v>45</v>
      </c>
      <c r="G9" s="17">
        <f t="shared" si="0"/>
        <v>15711.21912392492</v>
      </c>
      <c r="H9" s="25">
        <f t="shared" si="1"/>
        <v>2275.2086471983666</v>
      </c>
      <c r="I9" s="26">
        <f t="shared" ref="I9:I20" si="5">D9</f>
        <v>33282.54</v>
      </c>
      <c r="J9" s="19">
        <f t="shared" ref="J9:J21" si="6">IF(ISERROR(I9/G9),0,I9/G9)</f>
        <v>2.1183932155409639</v>
      </c>
      <c r="K9" s="333">
        <f t="shared" ref="K9:K21" si="7">(I9+H9)/G9</f>
        <v>2.2632074803826843</v>
      </c>
      <c r="L9" s="334">
        <f t="shared" si="2"/>
        <v>0.73263447543146221</v>
      </c>
      <c r="M9" s="317"/>
      <c r="N9" s="325">
        <f t="shared" ref="N9:N21" si="8">IF(ISERROR((D9-E9)/G9),0,(D9-E9)/G9)</f>
        <v>1.9065538939868676</v>
      </c>
      <c r="O9" s="326">
        <f t="shared" ref="O9:O22" si="9">(D9-E9+H9)/G9</f>
        <v>2.0513681588285881</v>
      </c>
      <c r="P9" s="327">
        <f t="shared" si="3"/>
        <v>0.67357640397485208</v>
      </c>
    </row>
    <row r="10" spans="1:16" x14ac:dyDescent="0.2">
      <c r="A10" s="15" t="s">
        <v>22</v>
      </c>
      <c r="B10" s="16">
        <f>'2020 WA LIW ACTUALS'!L47</f>
        <v>25</v>
      </c>
      <c r="C10" s="47">
        <f>'2020 WA LIW ACTUALS'!N46</f>
        <v>1511.0800000000002</v>
      </c>
      <c r="D10" s="25">
        <f>'2020 WA LIW ACTUALS'!L48</f>
        <v>108472.05999999998</v>
      </c>
      <c r="E10" s="18">
        <f t="shared" si="4"/>
        <v>10847.205999999998</v>
      </c>
      <c r="F10" s="50">
        <v>45</v>
      </c>
      <c r="G10" s="17">
        <f t="shared" si="0"/>
        <v>33878.318126889659</v>
      </c>
      <c r="H10" s="25">
        <f t="shared" si="1"/>
        <v>4906.0637336194586</v>
      </c>
      <c r="I10" s="26">
        <f t="shared" si="5"/>
        <v>108472.05999999998</v>
      </c>
      <c r="J10" s="19">
        <f t="shared" si="6"/>
        <v>3.2018136081526523</v>
      </c>
      <c r="K10" s="333">
        <f t="shared" si="7"/>
        <v>3.346627872994373</v>
      </c>
      <c r="L10" s="334">
        <f t="shared" si="2"/>
        <v>0.49545509333822418</v>
      </c>
      <c r="M10" s="317"/>
      <c r="N10" s="325">
        <f t="shared" si="8"/>
        <v>2.8816322473373872</v>
      </c>
      <c r="O10" s="326">
        <f t="shared" si="9"/>
        <v>3.026446512179108</v>
      </c>
      <c r="P10" s="327">
        <f t="shared" si="3"/>
        <v>0.45655959293904103</v>
      </c>
    </row>
    <row r="11" spans="1:16" x14ac:dyDescent="0.2">
      <c r="A11" s="15" t="s">
        <v>23</v>
      </c>
      <c r="B11" s="16">
        <f>'2020 WA LIW ACTUALS'!O47</f>
        <v>11</v>
      </c>
      <c r="C11" s="47">
        <f>'2020 WA LIW ACTUALS'!Q46</f>
        <v>81.87</v>
      </c>
      <c r="D11" s="25">
        <f>'2020 WA LIW ACTUALS'!O48</f>
        <v>12731.849999999999</v>
      </c>
      <c r="E11" s="18">
        <f t="shared" si="4"/>
        <v>1273.1849999999999</v>
      </c>
      <c r="F11" s="50">
        <v>13</v>
      </c>
      <c r="G11" s="17">
        <f t="shared" si="0"/>
        <v>842.42348184115463</v>
      </c>
      <c r="H11" s="25">
        <f t="shared" si="1"/>
        <v>265.80951231663784</v>
      </c>
      <c r="I11" s="26">
        <f t="shared" si="5"/>
        <v>12731.849999999999</v>
      </c>
      <c r="J11" s="19">
        <f t="shared" si="6"/>
        <v>15.113360767406393</v>
      </c>
      <c r="K11" s="333">
        <f t="shared" si="7"/>
        <v>15.428890329492791</v>
      </c>
      <c r="L11" s="334">
        <f t="shared" si="2"/>
        <v>4.8794047151259921E-2</v>
      </c>
      <c r="M11" s="317"/>
      <c r="N11" s="325">
        <f t="shared" si="8"/>
        <v>13.602024690665754</v>
      </c>
      <c r="O11" s="326">
        <f t="shared" si="9"/>
        <v>13.917554252752153</v>
      </c>
      <c r="P11" s="327">
        <f t="shared" si="3"/>
        <v>4.9175176285668691E-2</v>
      </c>
    </row>
    <row r="12" spans="1:16" x14ac:dyDescent="0.2">
      <c r="A12" s="15" t="s">
        <v>88</v>
      </c>
      <c r="B12" s="16">
        <f>'2020 WA LIW ACTUALS'!R47</f>
        <v>3</v>
      </c>
      <c r="C12" s="47">
        <f>'2020 WA LIW ACTUALS'!T46</f>
        <v>19.200000000000003</v>
      </c>
      <c r="D12" s="253">
        <f>'2020 WA LIW ACTUALS'!R48</f>
        <v>597.79</v>
      </c>
      <c r="E12" s="18">
        <f t="shared" si="4"/>
        <v>59.778999999999996</v>
      </c>
      <c r="F12" s="50">
        <v>13</v>
      </c>
      <c r="G12" s="17">
        <f t="shared" si="0"/>
        <v>197.56358680041737</v>
      </c>
      <c r="H12" s="25">
        <f t="shared" si="1"/>
        <v>62.337152027353682</v>
      </c>
      <c r="I12" s="26">
        <f t="shared" si="5"/>
        <v>597.79</v>
      </c>
      <c r="J12" s="19">
        <f t="shared" si="6"/>
        <v>3.0258106247276184</v>
      </c>
      <c r="K12" s="333">
        <f t="shared" si="7"/>
        <v>3.341340186814016</v>
      </c>
      <c r="L12" s="334">
        <f t="shared" si="2"/>
        <v>0.22531019295785151</v>
      </c>
      <c r="M12" s="317"/>
      <c r="N12" s="325">
        <f t="shared" si="8"/>
        <v>2.7232295622548568</v>
      </c>
      <c r="O12" s="326">
        <f t="shared" si="9"/>
        <v>3.0387591243412544</v>
      </c>
      <c r="P12" s="327">
        <f t="shared" si="3"/>
        <v>0.22522291364334765</v>
      </c>
    </row>
    <row r="13" spans="1:16" x14ac:dyDescent="0.2">
      <c r="A13" s="15" t="s">
        <v>68</v>
      </c>
      <c r="B13" s="16">
        <f>'2020 WA LIW ACTUALS'!U47</f>
        <v>7</v>
      </c>
      <c r="C13" s="47">
        <f>'2020 WA LIW ACTUALS'!W46</f>
        <v>147</v>
      </c>
      <c r="D13" s="253">
        <f>'2020 WA LIW ACTUALS'!U48</f>
        <v>4694.37</v>
      </c>
      <c r="E13" s="18">
        <f t="shared" si="4"/>
        <v>469.43700000000001</v>
      </c>
      <c r="F13" s="50">
        <v>18</v>
      </c>
      <c r="G13" s="17">
        <f t="shared" si="0"/>
        <v>1935.6725627223452</v>
      </c>
      <c r="H13" s="25">
        <f t="shared" si="1"/>
        <v>477.26882020942662</v>
      </c>
      <c r="I13" s="26">
        <f>D13</f>
        <v>4694.37</v>
      </c>
      <c r="J13" s="19">
        <f t="shared" si="6"/>
        <v>2.425188066621041</v>
      </c>
      <c r="K13" s="333">
        <f>(I13+H13)/G13</f>
        <v>2.6717529192726652</v>
      </c>
      <c r="L13" s="334">
        <f t="shared" si="2"/>
        <v>0.3275306017854136</v>
      </c>
      <c r="M13" s="317"/>
      <c r="N13" s="325">
        <f t="shared" si="8"/>
        <v>2.1826692599589368</v>
      </c>
      <c r="O13" s="326">
        <f t="shared" si="9"/>
        <v>2.429234112610561</v>
      </c>
      <c r="P13" s="327">
        <f t="shared" si="3"/>
        <v>0.32020365300546388</v>
      </c>
    </row>
    <row r="14" spans="1:16" x14ac:dyDescent="0.2">
      <c r="A14" s="15" t="s">
        <v>69</v>
      </c>
      <c r="B14" s="16">
        <f>'2020 WA LIW ACTUALS'!X47</f>
        <v>11</v>
      </c>
      <c r="C14" s="47">
        <f>'2020 WA LIW ACTUALS'!Z46</f>
        <v>847</v>
      </c>
      <c r="D14" s="253">
        <f>'2020 WA LIW ACTUALS'!X48</f>
        <v>14709.560000000001</v>
      </c>
      <c r="E14" s="18">
        <f t="shared" si="4"/>
        <v>1470.9560000000001</v>
      </c>
      <c r="F14" s="50">
        <v>18</v>
      </c>
      <c r="G14" s="17">
        <f t="shared" si="0"/>
        <v>11153.160956638274</v>
      </c>
      <c r="H14" s="25">
        <f t="shared" si="1"/>
        <v>2749.9774878733629</v>
      </c>
      <c r="I14" s="26">
        <f t="shared" si="5"/>
        <v>14709.560000000001</v>
      </c>
      <c r="J14" s="19">
        <f t="shared" si="6"/>
        <v>1.3188691580071734</v>
      </c>
      <c r="K14" s="333">
        <f t="shared" si="7"/>
        <v>1.5654340106587974</v>
      </c>
      <c r="L14" s="334">
        <f t="shared" si="2"/>
        <v>0.55900206301448796</v>
      </c>
      <c r="M14" s="317"/>
      <c r="N14" s="325">
        <f t="shared" si="8"/>
        <v>1.186982242206456</v>
      </c>
      <c r="O14" s="326">
        <f t="shared" si="9"/>
        <v>1.4335470948580802</v>
      </c>
      <c r="P14" s="327">
        <f t="shared" si="3"/>
        <v>0.54260487126890977</v>
      </c>
    </row>
    <row r="15" spans="1:16" x14ac:dyDescent="0.2">
      <c r="A15" s="15" t="s">
        <v>153</v>
      </c>
      <c r="B15" s="16">
        <f>'2020 WA LIW ACTUALS'!AA47</f>
        <v>31</v>
      </c>
      <c r="C15" s="47">
        <f>'2020 WA LIW ACTUALS'!AC46</f>
        <v>403</v>
      </c>
      <c r="D15" s="253">
        <f>'2020 WA LIW ACTUALS'!AA48</f>
        <v>87238.910000000018</v>
      </c>
      <c r="E15" s="18">
        <f t="shared" si="4"/>
        <v>8723.8910000000014</v>
      </c>
      <c r="F15" s="50">
        <v>10</v>
      </c>
      <c r="G15" s="17">
        <f t="shared" si="0"/>
        <v>3348.2158533064517</v>
      </c>
      <c r="H15" s="25">
        <f t="shared" si="1"/>
        <v>1308.430847240809</v>
      </c>
      <c r="I15" s="26">
        <f t="shared" si="5"/>
        <v>87238.910000000018</v>
      </c>
      <c r="J15" s="19">
        <f t="shared" si="6"/>
        <v>26.055342254547085</v>
      </c>
      <c r="K15" s="333">
        <f t="shared" si="7"/>
        <v>26.446126751295918</v>
      </c>
      <c r="L15" s="334">
        <f t="shared" si="2"/>
        <v>2.6532714788726583E-2</v>
      </c>
      <c r="M15" s="317"/>
      <c r="N15" s="325">
        <f t="shared" si="8"/>
        <v>23.449808029092377</v>
      </c>
      <c r="O15" s="326">
        <f t="shared" si="9"/>
        <v>23.840592525841206</v>
      </c>
      <c r="P15" s="327">
        <f t="shared" si="3"/>
        <v>2.6756791445212473E-2</v>
      </c>
    </row>
    <row r="16" spans="1:16" x14ac:dyDescent="0.2">
      <c r="A16" s="15" t="s">
        <v>154</v>
      </c>
      <c r="B16" s="16">
        <f>'2020 WA LIW ACTUALS'!AD47</f>
        <v>11</v>
      </c>
      <c r="C16" s="47">
        <f>'2020 WA LIW ACTUALS'!AF46</f>
        <v>1110</v>
      </c>
      <c r="D16" s="253">
        <f>'2020 WA LIW ACTUALS'!AD48</f>
        <v>61434.180000000008</v>
      </c>
      <c r="E16" s="18">
        <f t="shared" si="4"/>
        <v>6143.4180000000015</v>
      </c>
      <c r="F16" s="50">
        <v>45</v>
      </c>
      <c r="G16" s="17">
        <f t="shared" si="0"/>
        <v>24886.129867940497</v>
      </c>
      <c r="H16" s="25">
        <f t="shared" si="1"/>
        <v>3603.8666015813847</v>
      </c>
      <c r="I16" s="26">
        <f t="shared" si="5"/>
        <v>61434.180000000008</v>
      </c>
      <c r="J16" s="19">
        <f t="shared" si="6"/>
        <v>2.4686112435321834</v>
      </c>
      <c r="K16" s="333">
        <f t="shared" si="7"/>
        <v>2.6134255083739042</v>
      </c>
      <c r="L16" s="334">
        <f t="shared" si="2"/>
        <v>0.63445612659318373</v>
      </c>
      <c r="M16" s="317"/>
      <c r="N16" s="325">
        <f t="shared" si="8"/>
        <v>2.221750119178965</v>
      </c>
      <c r="O16" s="326">
        <f t="shared" si="9"/>
        <v>2.3665643840206858</v>
      </c>
      <c r="P16" s="327">
        <f t="shared" si="3"/>
        <v>0.58386460853633637</v>
      </c>
    </row>
    <row r="17" spans="1:16" x14ac:dyDescent="0.2">
      <c r="A17" s="15" t="s">
        <v>155</v>
      </c>
      <c r="B17" s="16">
        <f>'2020 WA LIW ACTUALS'!AG47</f>
        <v>1</v>
      </c>
      <c r="C17" s="47">
        <f>'2020 WA LIW ACTUALS'!AI46</f>
        <v>43</v>
      </c>
      <c r="D17" s="253">
        <f>'2020 WA LIW ACTUALS'!AG48</f>
        <v>5821.97</v>
      </c>
      <c r="E17" s="18">
        <f t="shared" si="4"/>
        <v>582.197</v>
      </c>
      <c r="F17" s="50">
        <v>18</v>
      </c>
      <c r="G17" s="17">
        <f t="shared" si="0"/>
        <v>566.21714419769285</v>
      </c>
      <c r="H17" s="25">
        <f t="shared" si="1"/>
        <v>139.60924672792751</v>
      </c>
      <c r="I17" s="26">
        <f t="shared" si="5"/>
        <v>5821.97</v>
      </c>
      <c r="J17" s="19">
        <f t="shared" si="6"/>
        <v>10.282221334448465</v>
      </c>
      <c r="K17" s="333">
        <f t="shared" si="7"/>
        <v>10.528786187100089</v>
      </c>
      <c r="L17" s="334">
        <f t="shared" si="2"/>
        <v>8.3113174293867234E-2</v>
      </c>
      <c r="M17" s="317"/>
      <c r="N17" s="325">
        <f t="shared" si="8"/>
        <v>9.2539992010036176</v>
      </c>
      <c r="O17" s="326">
        <f t="shared" si="9"/>
        <v>9.5005640536552427</v>
      </c>
      <c r="P17" s="327">
        <f t="shared" si="3"/>
        <v>8.1874047948144554E-2</v>
      </c>
    </row>
    <row r="18" spans="1:16" x14ac:dyDescent="0.2">
      <c r="A18" s="15" t="s">
        <v>156</v>
      </c>
      <c r="B18" s="16">
        <f>'2020 WA LIW ACTUALS'!AJ47</f>
        <v>5</v>
      </c>
      <c r="C18" s="47">
        <f>'2020 WA LIW ACTUALS'!AL46</f>
        <v>40</v>
      </c>
      <c r="D18" s="253">
        <f>'2020 WA LIW ACTUALS'!AJ48</f>
        <v>42.44</v>
      </c>
      <c r="E18" s="18">
        <f t="shared" si="4"/>
        <v>4.2439999999999998</v>
      </c>
      <c r="F18" s="50">
        <v>20</v>
      </c>
      <c r="G18" s="17">
        <f t="shared" si="0"/>
        <v>567.46870896890948</v>
      </c>
      <c r="H18" s="25">
        <f t="shared" si="1"/>
        <v>129.8690667236535</v>
      </c>
      <c r="I18" s="26">
        <f t="shared" ref="I18" si="10">D18</f>
        <v>42.44</v>
      </c>
      <c r="J18" s="19">
        <f t="shared" si="6"/>
        <v>7.4788264672978125E-2</v>
      </c>
      <c r="K18" s="333">
        <f t="shared" si="7"/>
        <v>0.30364505390392194</v>
      </c>
      <c r="L18" s="334">
        <f t="shared" si="2"/>
        <v>3.0275597791766558</v>
      </c>
      <c r="M18" s="317"/>
      <c r="N18" s="325">
        <f t="shared" si="8"/>
        <v>6.7309438205680305E-2</v>
      </c>
      <c r="O18" s="326">
        <f t="shared" si="9"/>
        <v>0.29616622743662413</v>
      </c>
      <c r="P18" s="327">
        <f t="shared" si="3"/>
        <v>2.7591218629774721</v>
      </c>
    </row>
    <row r="19" spans="1:16" x14ac:dyDescent="0.2">
      <c r="A19" s="15" t="s">
        <v>157</v>
      </c>
      <c r="B19" s="16">
        <f>'2020 WA LIW ACTUALS'!AM47</f>
        <v>1</v>
      </c>
      <c r="C19" s="47">
        <f>'2020 WA LIW ACTUALS'!AO46</f>
        <v>5</v>
      </c>
      <c r="D19" s="253">
        <f>'2020 WA LIW ACTUALS'!AM48</f>
        <v>22.66</v>
      </c>
      <c r="E19" s="18">
        <f t="shared" si="4"/>
        <v>2.266</v>
      </c>
      <c r="F19" s="50">
        <v>10</v>
      </c>
      <c r="G19" s="17">
        <f t="shared" si="0"/>
        <v>41.541139619186744</v>
      </c>
      <c r="H19" s="25">
        <f t="shared" si="1"/>
        <v>16.233633340456688</v>
      </c>
      <c r="I19" s="26">
        <f t="shared" si="5"/>
        <v>22.66</v>
      </c>
      <c r="J19" s="19">
        <f t="shared" si="6"/>
        <v>0.54548334994483283</v>
      </c>
      <c r="K19" s="333">
        <f t="shared" si="7"/>
        <v>0.9362678466936607</v>
      </c>
      <c r="L19" s="334">
        <f t="shared" si="2"/>
        <v>0.74945170961129171</v>
      </c>
      <c r="M19" s="317"/>
      <c r="N19" s="325">
        <f t="shared" si="8"/>
        <v>0.49093501495034947</v>
      </c>
      <c r="O19" s="326">
        <f t="shared" si="9"/>
        <v>0.88171951169917728</v>
      </c>
      <c r="P19" s="327">
        <f t="shared" si="3"/>
        <v>0.72347016673694831</v>
      </c>
    </row>
    <row r="20" spans="1:16" x14ac:dyDescent="0.2">
      <c r="A20" s="15" t="s">
        <v>158</v>
      </c>
      <c r="B20" s="16">
        <f>'2020 WA LIW ACTUALS'!AP47</f>
        <v>4</v>
      </c>
      <c r="C20" s="47">
        <f>'2020 WA LIW ACTUALS'!AR46</f>
        <v>216</v>
      </c>
      <c r="D20" s="253">
        <f>'2020 WA LIW ACTUALS'!AP48</f>
        <v>17614.75</v>
      </c>
      <c r="E20" s="18">
        <f t="shared" si="4"/>
        <v>1761.4750000000001</v>
      </c>
      <c r="F20" s="50">
        <v>10</v>
      </c>
      <c r="G20" s="17">
        <f t="shared" si="0"/>
        <v>1794.5772315488673</v>
      </c>
      <c r="H20" s="25">
        <f t="shared" si="1"/>
        <v>701.29296030772889</v>
      </c>
      <c r="I20" s="26">
        <f t="shared" si="5"/>
        <v>17614.75</v>
      </c>
      <c r="J20" s="19">
        <f t="shared" si="6"/>
        <v>9.8155430094234646</v>
      </c>
      <c r="K20" s="333">
        <f t="shared" si="7"/>
        <v>10.206327506172293</v>
      </c>
      <c r="L20" s="334">
        <f t="shared" si="2"/>
        <v>6.8750247131918921E-2</v>
      </c>
      <c r="M20" s="317"/>
      <c r="N20" s="325">
        <f t="shared" si="8"/>
        <v>8.8339887084811188</v>
      </c>
      <c r="O20" s="326">
        <f t="shared" si="9"/>
        <v>9.2247732052299476</v>
      </c>
      <c r="P20" s="327">
        <f t="shared" si="3"/>
        <v>6.9150508955880985E-2</v>
      </c>
    </row>
    <row r="21" spans="1:16" s="31" customFormat="1" ht="13.5" thickBot="1" x14ac:dyDescent="0.25">
      <c r="A21" s="38" t="s">
        <v>159</v>
      </c>
      <c r="B21" s="16">
        <f>'2020 WA LIW ACTUALS'!AS47</f>
        <v>1</v>
      </c>
      <c r="C21" s="47">
        <f>'2020 WA LIW ACTUALS'!AU46</f>
        <v>33</v>
      </c>
      <c r="D21" s="254">
        <f>'2020 WA LIW ACTUALS'!AS48</f>
        <v>2439.4499999999998</v>
      </c>
      <c r="E21" s="18">
        <f t="shared" si="4"/>
        <v>243.94499999999999</v>
      </c>
      <c r="F21" s="50">
        <v>16</v>
      </c>
      <c r="G21" s="17">
        <f t="shared" si="0"/>
        <v>398.50707664431144</v>
      </c>
      <c r="H21" s="25">
        <f t="shared" si="1"/>
        <v>107.14198004701414</v>
      </c>
      <c r="I21" s="26">
        <f t="shared" ref="I21" si="11">D21</f>
        <v>2439.4499999999998</v>
      </c>
      <c r="J21" s="19">
        <f t="shared" si="6"/>
        <v>6.1214722221290376</v>
      </c>
      <c r="K21" s="333">
        <f t="shared" si="7"/>
        <v>6.3903306347555313</v>
      </c>
      <c r="L21" s="334">
        <f t="shared" si="2"/>
        <v>0.1300428730219618</v>
      </c>
      <c r="M21" s="317"/>
      <c r="N21" s="325">
        <f t="shared" si="8"/>
        <v>5.5093249999161333</v>
      </c>
      <c r="O21" s="326">
        <f t="shared" si="9"/>
        <v>5.778183412542627</v>
      </c>
      <c r="P21" s="327">
        <f t="shared" si="3"/>
        <v>0.12783978723216607</v>
      </c>
    </row>
    <row r="22" spans="1:16" s="5" customFormat="1" ht="13.5" thickBot="1" x14ac:dyDescent="0.25">
      <c r="A22" s="20" t="s">
        <v>238</v>
      </c>
      <c r="B22" s="21">
        <f>SUM(B8:B21)</f>
        <v>151</v>
      </c>
      <c r="C22" s="257">
        <f>SUM(C8:C21)</f>
        <v>8124.82</v>
      </c>
      <c r="D22" s="42">
        <f>SUM(D8:D21)</f>
        <v>443942.44999999995</v>
      </c>
      <c r="E22" s="22">
        <f>SUM(E8:E20)</f>
        <v>44150.3</v>
      </c>
      <c r="F22" s="51">
        <f>SUMPRODUCT(C8:C21,F8:F21)/SUM(C8:C21)</f>
        <v>38.226897334340947</v>
      </c>
      <c r="G22" s="23">
        <f>SUM(G8:G21)</f>
        <v>161861.14534307926</v>
      </c>
      <c r="H22" s="53">
        <f>B26</f>
        <v>26379.069767441859</v>
      </c>
      <c r="I22" s="30">
        <f>'2020 WA LIW ACTUALS'!BH46</f>
        <v>552683.98</v>
      </c>
      <c r="J22" s="24">
        <f>I22/G22</f>
        <v>3.4145562162465648</v>
      </c>
      <c r="K22" s="335">
        <f>(I22+H22)/G22</f>
        <v>3.5775296692734107</v>
      </c>
      <c r="L22" s="336">
        <f t="shared" si="2"/>
        <v>0.42187696071109482</v>
      </c>
      <c r="M22" s="318"/>
      <c r="N22" s="328">
        <f>(D22-E22)/G22</f>
        <v>2.4699698568955788</v>
      </c>
      <c r="O22" s="329">
        <f t="shared" si="9"/>
        <v>2.6329433099224251</v>
      </c>
      <c r="P22" s="330">
        <f t="shared" si="3"/>
        <v>0.47769016333641384</v>
      </c>
    </row>
    <row r="23" spans="1:16" x14ac:dyDescent="0.2">
      <c r="A23" s="8" t="s">
        <v>86</v>
      </c>
      <c r="B23" s="58">
        <v>3.5200000000000002E-2</v>
      </c>
      <c r="C23" s="255"/>
      <c r="D23" s="40"/>
      <c r="H23" s="256"/>
      <c r="I23" s="249"/>
    </row>
    <row r="24" spans="1:16" x14ac:dyDescent="0.2">
      <c r="A24" s="8" t="s">
        <v>15</v>
      </c>
      <c r="B24" s="58">
        <v>0.01</v>
      </c>
      <c r="C24" s="46"/>
      <c r="D24" s="41"/>
      <c r="E24" s="9"/>
    </row>
    <row r="25" spans="1:16" x14ac:dyDescent="0.2">
      <c r="A25" s="8" t="s">
        <v>87</v>
      </c>
      <c r="B25" s="58">
        <v>3.5200000000000002E-2</v>
      </c>
      <c r="C25" s="282"/>
      <c r="D25" s="283"/>
      <c r="E25" s="284"/>
    </row>
    <row r="26" spans="1:16" x14ac:dyDescent="0.2">
      <c r="A26" s="1" t="s">
        <v>47</v>
      </c>
      <c r="B26" s="52">
        <f>C26*38</f>
        <v>26379.069767441859</v>
      </c>
      <c r="C26" s="285">
        <f>29850/43</f>
        <v>694.18604651162786</v>
      </c>
      <c r="D26" s="286"/>
      <c r="E26" s="287"/>
      <c r="F26" s="28"/>
      <c r="G26" s="28"/>
      <c r="H26" s="28"/>
      <c r="I26" s="29"/>
      <c r="J26" s="28"/>
    </row>
    <row r="27" spans="1:16" x14ac:dyDescent="0.2">
      <c r="A27" s="1" t="s">
        <v>160</v>
      </c>
      <c r="B27" s="52">
        <f>'2020 WA LIW ACTUALS'!AY46</f>
        <v>65244.9</v>
      </c>
      <c r="C27" s="28"/>
      <c r="D27" s="29"/>
      <c r="E27" s="28"/>
      <c r="F27" s="28"/>
      <c r="G27" s="28"/>
      <c r="H27" s="29"/>
      <c r="I27" s="28"/>
      <c r="K27" s="29"/>
      <c r="L27" s="28"/>
      <c r="M27" s="29"/>
      <c r="O27" s="28"/>
    </row>
    <row r="28" spans="1:16" x14ac:dyDescent="0.2">
      <c r="A28" s="43" t="s">
        <v>150</v>
      </c>
      <c r="B28" s="52">
        <f>'2020 WA LIW ACTUALS'!BB46</f>
        <v>43496.593000000008</v>
      </c>
      <c r="C28" s="28"/>
      <c r="D28" s="29"/>
      <c r="E28" s="28"/>
      <c r="F28" s="28"/>
      <c r="G28" s="28"/>
      <c r="H28" s="29"/>
      <c r="I28" s="28"/>
      <c r="K28" s="29"/>
      <c r="L28" s="28"/>
      <c r="M28" s="29"/>
      <c r="O28" s="28"/>
    </row>
    <row r="29" spans="1:16" x14ac:dyDescent="0.2">
      <c r="A29" s="28" t="s">
        <v>244</v>
      </c>
      <c r="B29" s="301">
        <f>I22/I60</f>
        <v>0.86428576533252899</v>
      </c>
      <c r="C29" s="302"/>
      <c r="D29" s="28"/>
      <c r="E29" s="29"/>
      <c r="F29" s="28"/>
      <c r="G29" s="28"/>
      <c r="H29" s="28"/>
      <c r="I29" s="29"/>
      <c r="J29" s="28"/>
    </row>
    <row r="30" spans="1:16" s="164" customFormat="1" x14ac:dyDescent="0.2">
      <c r="A30" s="344" t="s">
        <v>223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6"/>
    </row>
    <row r="31" spans="1:16" s="5" customFormat="1" x14ac:dyDescent="0.2">
      <c r="A31" s="11"/>
      <c r="B31" s="11"/>
      <c r="C31" s="6" t="s">
        <v>4</v>
      </c>
      <c r="D31" s="6" t="s">
        <v>1</v>
      </c>
      <c r="E31" s="6" t="s">
        <v>2</v>
      </c>
      <c r="F31" s="6"/>
      <c r="G31" s="6" t="s">
        <v>3</v>
      </c>
      <c r="H31" s="6"/>
      <c r="I31" s="303" t="s">
        <v>226</v>
      </c>
      <c r="J31" s="338"/>
      <c r="K31" s="332" t="s">
        <v>19</v>
      </c>
      <c r="L31" s="332" t="s">
        <v>24</v>
      </c>
      <c r="M31" s="339"/>
      <c r="N31" s="321" t="s">
        <v>4</v>
      </c>
      <c r="O31" s="322" t="s">
        <v>17</v>
      </c>
      <c r="P31" s="321" t="s">
        <v>24</v>
      </c>
    </row>
    <row r="32" spans="1:16" s="5" customFormat="1" x14ac:dyDescent="0.2">
      <c r="A32" s="11"/>
      <c r="B32" s="11"/>
      <c r="C32" s="6" t="s">
        <v>5</v>
      </c>
      <c r="D32" s="6" t="s">
        <v>6</v>
      </c>
      <c r="E32" s="6" t="s">
        <v>7</v>
      </c>
      <c r="F32" s="6" t="s">
        <v>1</v>
      </c>
      <c r="G32" s="6" t="s">
        <v>8</v>
      </c>
      <c r="H32" s="6" t="s">
        <v>225</v>
      </c>
      <c r="I32" s="163" t="s">
        <v>227</v>
      </c>
      <c r="J32" s="12" t="s">
        <v>10</v>
      </c>
      <c r="K32" s="332" t="s">
        <v>18</v>
      </c>
      <c r="L32" s="332" t="s">
        <v>12</v>
      </c>
      <c r="M32" s="316"/>
      <c r="N32" s="321" t="s">
        <v>9</v>
      </c>
      <c r="O32" s="322" t="s">
        <v>18</v>
      </c>
      <c r="P32" s="321" t="s">
        <v>12</v>
      </c>
    </row>
    <row r="33" spans="1:16" s="5" customFormat="1" x14ac:dyDescent="0.2">
      <c r="A33" s="7" t="s">
        <v>1</v>
      </c>
      <c r="B33" s="7" t="s">
        <v>20</v>
      </c>
      <c r="C33" s="7" t="s">
        <v>11</v>
      </c>
      <c r="D33" s="7" t="s">
        <v>12</v>
      </c>
      <c r="E33" s="7" t="str">
        <f>"("&amp;TEXT(NEPercentage,"##%")&amp;" of cost)"</f>
        <v>(10% of cost)</v>
      </c>
      <c r="F33" s="7" t="s">
        <v>13</v>
      </c>
      <c r="G33" s="7" t="s">
        <v>11</v>
      </c>
      <c r="H33" s="7" t="s">
        <v>224</v>
      </c>
      <c r="I33" s="13" t="s">
        <v>228</v>
      </c>
      <c r="J33" s="14" t="s">
        <v>12</v>
      </c>
      <c r="K33" s="389" t="s">
        <v>16</v>
      </c>
      <c r="L33" s="389" t="s">
        <v>25</v>
      </c>
      <c r="M33" s="316"/>
      <c r="N33" s="323" t="s">
        <v>12</v>
      </c>
      <c r="O33" s="324" t="s">
        <v>16</v>
      </c>
      <c r="P33" s="323" t="s">
        <v>25</v>
      </c>
    </row>
    <row r="34" spans="1:16" s="164" customFormat="1" x14ac:dyDescent="0.2">
      <c r="A34" s="15" t="s">
        <v>21</v>
      </c>
      <c r="B34" s="16">
        <f>'2020 WA LIW ACTUALS'!F57</f>
        <v>4</v>
      </c>
      <c r="C34" s="47">
        <f>'2020 WA LIW ACTUALS'!H56</f>
        <v>394.24</v>
      </c>
      <c r="D34" s="25">
        <f>'2020 WA LIW ACTUALS'!F58</f>
        <v>13646.34</v>
      </c>
      <c r="E34" s="18">
        <f>0.1*D34</f>
        <v>1364.634</v>
      </c>
      <c r="F34" s="50">
        <v>45</v>
      </c>
      <c r="G34" s="17">
        <f t="shared" ref="G34:G47" si="12">PV($B$25,F34,-C34)</f>
        <v>8838.8358911142896</v>
      </c>
      <c r="H34" s="25">
        <f t="shared" ref="H34:H47" si="13">$B$52*(C34/$C$48)</f>
        <v>1257.7480191217701</v>
      </c>
      <c r="I34" s="26">
        <f>D34</f>
        <v>13646.34</v>
      </c>
      <c r="J34" s="19">
        <f>IF(ISERROR(I34/G34),0,I34/G34)</f>
        <v>1.5439069316490772</v>
      </c>
      <c r="K34" s="333">
        <f>(I34+H34)/G34</f>
        <v>1.6862048580520539</v>
      </c>
      <c r="L34" s="334">
        <f t="shared" ref="L34:L47" si="14">(VLOOKUP($F34,AC,6)*$C34)/($I34+$H34)</f>
        <v>0.98333474563595591</v>
      </c>
      <c r="M34" s="317"/>
      <c r="N34" s="325">
        <f>IF(ISERROR((D34-E34)/G34),0,(D34-E34)/G34)</f>
        <v>1.3895162384841695</v>
      </c>
      <c r="O34" s="326">
        <f>(D34-E34+H34)/G34</f>
        <v>1.5318141648871464</v>
      </c>
      <c r="P34" s="327">
        <f t="shared" ref="P34:P48" si="15">(VLOOKUP($F34,AC,4)*$C34)/($D34-$E34+$H34)</f>
        <v>0.90203708734738841</v>
      </c>
    </row>
    <row r="35" spans="1:16" s="164" customFormat="1" x14ac:dyDescent="0.2">
      <c r="A35" s="164" t="s">
        <v>14</v>
      </c>
      <c r="B35" s="16">
        <f>'2020 WA LIW ACTUALS'!I57</f>
        <v>2</v>
      </c>
      <c r="C35" s="47">
        <f>'2020 WA LIW ACTUALS'!K56</f>
        <v>226.57</v>
      </c>
      <c r="D35" s="25">
        <f>'2020 WA LIW ACTUALS'!I58</f>
        <v>17489.989999999998</v>
      </c>
      <c r="E35" s="18">
        <f t="shared" ref="E35:E47" si="16">0.1*D35</f>
        <v>1748.9989999999998</v>
      </c>
      <c r="F35" s="50">
        <v>45</v>
      </c>
      <c r="G35" s="17">
        <f t="shared" si="12"/>
        <v>5079.6850848461963</v>
      </c>
      <c r="H35" s="25">
        <f t="shared" si="13"/>
        <v>722.82865435374242</v>
      </c>
      <c r="I35" s="26">
        <f t="shared" ref="I35:I38" si="17">D35</f>
        <v>17489.989999999998</v>
      </c>
      <c r="J35" s="19">
        <f t="shared" ref="J35:J47" si="18">IF(ISERROR(I35/G35),0,I35/G35)</f>
        <v>3.4431248606683189</v>
      </c>
      <c r="K35" s="333">
        <f t="shared" ref="K35:K36" si="19">(I35+H35)/G35</f>
        <v>3.585422787071296</v>
      </c>
      <c r="L35" s="334">
        <f t="shared" si="14"/>
        <v>0.46245698866022134</v>
      </c>
      <c r="M35" s="317"/>
      <c r="N35" s="325">
        <f t="shared" ref="N35:N47" si="20">IF(ISERROR((D35-E35)/G35),0,(D35-E35)/G35)</f>
        <v>3.0988123746014873</v>
      </c>
      <c r="O35" s="326">
        <f t="shared" ref="O35:O48" si="21">(D35-E35+H35)/G35</f>
        <v>3.241110301004464</v>
      </c>
      <c r="P35" s="327">
        <f t="shared" si="15"/>
        <v>0.42632093922383629</v>
      </c>
    </row>
    <row r="36" spans="1:16" s="164" customFormat="1" x14ac:dyDescent="0.2">
      <c r="A36" s="15" t="s">
        <v>22</v>
      </c>
      <c r="B36" s="16">
        <f>'2020 WA LIW ACTUALS'!L57</f>
        <v>1</v>
      </c>
      <c r="C36" s="47">
        <f>'2020 WA LIW ACTUALS'!N56</f>
        <v>11.75</v>
      </c>
      <c r="D36" s="25">
        <f>'2020 WA LIW ACTUALS'!L58</f>
        <v>229.81</v>
      </c>
      <c r="E36" s="18">
        <f t="shared" si="16"/>
        <v>22.981000000000002</v>
      </c>
      <c r="F36" s="50">
        <v>45</v>
      </c>
      <c r="G36" s="17">
        <f t="shared" si="12"/>
        <v>263.43425761108182</v>
      </c>
      <c r="H36" s="25">
        <f t="shared" si="13"/>
        <v>37.486148601564523</v>
      </c>
      <c r="I36" s="26">
        <f t="shared" si="17"/>
        <v>229.81</v>
      </c>
      <c r="J36" s="19">
        <f t="shared" si="18"/>
        <v>0.87236186395801796</v>
      </c>
      <c r="K36" s="333">
        <f t="shared" si="19"/>
        <v>1.0146597903609946</v>
      </c>
      <c r="L36" s="334">
        <f t="shared" si="14"/>
        <v>1.6341475644686887</v>
      </c>
      <c r="M36" s="317"/>
      <c r="N36" s="325">
        <f t="shared" si="20"/>
        <v>0.78512567756221618</v>
      </c>
      <c r="O36" s="326">
        <f t="shared" si="21"/>
        <v>0.92742360396519286</v>
      </c>
      <c r="P36" s="327">
        <f t="shared" si="15"/>
        <v>1.4898835674923498</v>
      </c>
    </row>
    <row r="37" spans="1:16" s="164" customFormat="1" x14ac:dyDescent="0.2">
      <c r="A37" s="15" t="s">
        <v>23</v>
      </c>
      <c r="B37" s="16">
        <f>'2020 WA LIW ACTUALS'!O57</f>
        <v>1</v>
      </c>
      <c r="C37" s="47">
        <f>'2020 WA LIW ACTUALS'!Q56</f>
        <v>20.399999999999999</v>
      </c>
      <c r="D37" s="25">
        <f>'2020 WA LIW ACTUALS'!O58</f>
        <v>3210.17</v>
      </c>
      <c r="E37" s="18">
        <f t="shared" si="16"/>
        <v>321.01700000000005</v>
      </c>
      <c r="F37" s="50">
        <v>13</v>
      </c>
      <c r="G37" s="17">
        <f t="shared" si="12"/>
        <v>209.9113109754434</v>
      </c>
      <c r="H37" s="25">
        <f t="shared" si="13"/>
        <v>65.082334593354574</v>
      </c>
      <c r="I37" s="26">
        <f t="shared" si="17"/>
        <v>3210.17</v>
      </c>
      <c r="J37" s="19">
        <f t="shared" si="18"/>
        <v>15.292982474753558</v>
      </c>
      <c r="K37" s="333">
        <v>0</v>
      </c>
      <c r="L37" s="334">
        <v>0</v>
      </c>
      <c r="M37" s="317"/>
      <c r="N37" s="325">
        <f t="shared" si="20"/>
        <v>13.763684227278203</v>
      </c>
      <c r="O37" s="326">
        <v>0</v>
      </c>
      <c r="P37" s="327">
        <v>0</v>
      </c>
    </row>
    <row r="38" spans="1:16" s="164" customFormat="1" x14ac:dyDescent="0.2">
      <c r="A38" s="15" t="s">
        <v>88</v>
      </c>
      <c r="B38" s="16">
        <f>'2020 WA LIW ACTUALS'!R57</f>
        <v>0</v>
      </c>
      <c r="C38" s="47">
        <f>'2020 WA LIW ACTUALS'!T56</f>
        <v>0</v>
      </c>
      <c r="D38" s="27">
        <f>'2020 WA LIW ACTUALS'!R58</f>
        <v>0</v>
      </c>
      <c r="E38" s="18">
        <f t="shared" si="16"/>
        <v>0</v>
      </c>
      <c r="F38" s="50">
        <v>13</v>
      </c>
      <c r="G38" s="17">
        <f t="shared" si="12"/>
        <v>0</v>
      </c>
      <c r="H38" s="25">
        <f t="shared" si="13"/>
        <v>0</v>
      </c>
      <c r="I38" s="26">
        <f t="shared" si="17"/>
        <v>0</v>
      </c>
      <c r="J38" s="19">
        <f t="shared" si="18"/>
        <v>0</v>
      </c>
      <c r="K38" s="333">
        <v>0</v>
      </c>
      <c r="L38" s="334">
        <v>0</v>
      </c>
      <c r="M38" s="317"/>
      <c r="N38" s="325">
        <f t="shared" si="20"/>
        <v>0</v>
      </c>
      <c r="O38" s="326">
        <v>0</v>
      </c>
      <c r="P38" s="327">
        <v>0</v>
      </c>
    </row>
    <row r="39" spans="1:16" s="164" customFormat="1" x14ac:dyDescent="0.2">
      <c r="A39" s="15" t="s">
        <v>68</v>
      </c>
      <c r="B39" s="16">
        <f>'2020 WA LIW ACTUALS'!U57</f>
        <v>0</v>
      </c>
      <c r="C39" s="47">
        <f>'2020 WA LIW ACTUALS'!W56</f>
        <v>0</v>
      </c>
      <c r="D39" s="27">
        <f>'2020 WA LIW ACTUALS'!U58</f>
        <v>0</v>
      </c>
      <c r="E39" s="18">
        <f t="shared" si="16"/>
        <v>0</v>
      </c>
      <c r="F39" s="50">
        <v>18</v>
      </c>
      <c r="G39" s="17">
        <f t="shared" si="12"/>
        <v>0</v>
      </c>
      <c r="H39" s="25">
        <f t="shared" si="13"/>
        <v>0</v>
      </c>
      <c r="I39" s="26">
        <f>D39</f>
        <v>0</v>
      </c>
      <c r="J39" s="19">
        <f t="shared" si="18"/>
        <v>0</v>
      </c>
      <c r="K39" s="333">
        <v>0</v>
      </c>
      <c r="L39" s="334">
        <v>0</v>
      </c>
      <c r="M39" s="317"/>
      <c r="N39" s="325">
        <f t="shared" si="20"/>
        <v>0</v>
      </c>
      <c r="O39" s="326">
        <v>0</v>
      </c>
      <c r="P39" s="327">
        <v>0</v>
      </c>
    </row>
    <row r="40" spans="1:16" s="164" customFormat="1" x14ac:dyDescent="0.2">
      <c r="A40" s="15" t="s">
        <v>69</v>
      </c>
      <c r="B40" s="16">
        <f>'2020 WA LIW ACTUALS'!X57</f>
        <v>1</v>
      </c>
      <c r="C40" s="47">
        <f>'2020 WA LIW ACTUALS'!Z56</f>
        <v>77</v>
      </c>
      <c r="D40" s="27">
        <f>'2020 WA LIW ACTUALS'!X58</f>
        <v>227.1</v>
      </c>
      <c r="E40" s="18">
        <f t="shared" si="16"/>
        <v>22.71</v>
      </c>
      <c r="F40" s="50">
        <v>18</v>
      </c>
      <c r="G40" s="17">
        <f t="shared" si="12"/>
        <v>1013.9237233307523</v>
      </c>
      <c r="H40" s="25">
        <f t="shared" si="13"/>
        <v>245.65390998472071</v>
      </c>
      <c r="I40" s="26">
        <f t="shared" ref="I40:I47" si="22">D40</f>
        <v>227.1</v>
      </c>
      <c r="J40" s="19">
        <f t="shared" si="18"/>
        <v>0.22398134571106948</v>
      </c>
      <c r="K40" s="333">
        <f t="shared" ref="K40:K47" si="23">(I40+H40)/G40</f>
        <v>0.46626180954886642</v>
      </c>
      <c r="L40" s="334">
        <f t="shared" si="14"/>
        <v>1.8768014526388079</v>
      </c>
      <c r="M40" s="317"/>
      <c r="N40" s="325">
        <f t="shared" si="20"/>
        <v>0.20158321113996253</v>
      </c>
      <c r="O40" s="326">
        <f t="shared" si="21"/>
        <v>0.44386367497775941</v>
      </c>
      <c r="P40" s="327">
        <f t="shared" si="15"/>
        <v>1.7524516663869005</v>
      </c>
    </row>
    <row r="41" spans="1:16" s="164" customFormat="1" x14ac:dyDescent="0.2">
      <c r="A41" s="15" t="s">
        <v>153</v>
      </c>
      <c r="B41" s="16">
        <f>'2020 WA LIW ACTUALS'!AA57</f>
        <v>4</v>
      </c>
      <c r="C41" s="47">
        <f>'2020 WA LIW ACTUALS'!AC56</f>
        <v>52</v>
      </c>
      <c r="D41" s="27">
        <f>'2020 WA LIW ACTUALS'!AA58</f>
        <v>12384.600000000002</v>
      </c>
      <c r="E41" s="18">
        <f t="shared" si="16"/>
        <v>1238.4600000000003</v>
      </c>
      <c r="F41" s="50">
        <v>10</v>
      </c>
      <c r="G41" s="17">
        <f t="shared" si="12"/>
        <v>432.0278520395421</v>
      </c>
      <c r="H41" s="25">
        <f t="shared" si="13"/>
        <v>165.89614700266853</v>
      </c>
      <c r="I41" s="26">
        <f t="shared" si="22"/>
        <v>12384.600000000002</v>
      </c>
      <c r="J41" s="19">
        <f t="shared" si="18"/>
        <v>28.666207378839271</v>
      </c>
      <c r="K41" s="333">
        <f t="shared" si="23"/>
        <v>29.050201480653531</v>
      </c>
      <c r="L41" s="334">
        <f t="shared" si="14"/>
        <v>2.4154308837615036E-2</v>
      </c>
      <c r="M41" s="317"/>
      <c r="N41" s="325">
        <f t="shared" si="20"/>
        <v>25.79958664095534</v>
      </c>
      <c r="O41" s="326">
        <f t="shared" si="21"/>
        <v>26.183580742769603</v>
      </c>
      <c r="P41" s="327">
        <f t="shared" si="15"/>
        <v>2.4362510552357323E-2</v>
      </c>
    </row>
    <row r="42" spans="1:16" s="164" customFormat="1" x14ac:dyDescent="0.2">
      <c r="A42" s="15" t="s">
        <v>154</v>
      </c>
      <c r="B42" s="16">
        <f>'2020 WA LIW ACTUALS'!AD57</f>
        <v>1</v>
      </c>
      <c r="C42" s="47">
        <f>'2020 WA LIW ACTUALS'!AF56</f>
        <v>111</v>
      </c>
      <c r="D42" s="27">
        <f>'2020 WA LIW ACTUALS'!AD58</f>
        <v>4824.8999999999996</v>
      </c>
      <c r="E42" s="18">
        <f t="shared" si="16"/>
        <v>482.49</v>
      </c>
      <c r="F42" s="50">
        <v>45</v>
      </c>
      <c r="G42" s="17">
        <f t="shared" si="12"/>
        <v>2488.6129867940494</v>
      </c>
      <c r="H42" s="25">
        <f t="shared" si="13"/>
        <v>354.12446764031165</v>
      </c>
      <c r="I42" s="26">
        <f t="shared" si="22"/>
        <v>4824.8999999999996</v>
      </c>
      <c r="J42" s="19">
        <f t="shared" si="18"/>
        <v>1.9387908146439705</v>
      </c>
      <c r="K42" s="333">
        <v>0</v>
      </c>
      <c r="L42" s="334">
        <v>0</v>
      </c>
      <c r="M42" s="317"/>
      <c r="N42" s="325">
        <f t="shared" si="20"/>
        <v>1.7449117331795736</v>
      </c>
      <c r="O42" s="326">
        <v>0</v>
      </c>
      <c r="P42" s="327">
        <v>0</v>
      </c>
    </row>
    <row r="43" spans="1:16" s="164" customFormat="1" x14ac:dyDescent="0.2">
      <c r="A43" s="15" t="s">
        <v>155</v>
      </c>
      <c r="B43" s="16">
        <f>'2020 WA LIW ACTUALS'!AG57</f>
        <v>0</v>
      </c>
      <c r="C43" s="47">
        <f>'2020 WA LIW ACTUALS'!AI56</f>
        <v>0</v>
      </c>
      <c r="D43" s="27">
        <f>'2020 WA LIW ACTUALS'!AG58</f>
        <v>0</v>
      </c>
      <c r="E43" s="18">
        <f t="shared" si="16"/>
        <v>0</v>
      </c>
      <c r="F43" s="50">
        <v>18</v>
      </c>
      <c r="G43" s="17">
        <f t="shared" si="12"/>
        <v>0</v>
      </c>
      <c r="H43" s="25">
        <f t="shared" si="13"/>
        <v>0</v>
      </c>
      <c r="I43" s="26">
        <f t="shared" si="22"/>
        <v>0</v>
      </c>
      <c r="J43" s="19">
        <f t="shared" si="18"/>
        <v>0</v>
      </c>
      <c r="K43" s="333">
        <v>0</v>
      </c>
      <c r="L43" s="334">
        <v>0</v>
      </c>
      <c r="M43" s="317"/>
      <c r="N43" s="325">
        <f t="shared" si="20"/>
        <v>0</v>
      </c>
      <c r="O43" s="326">
        <v>0</v>
      </c>
      <c r="P43" s="327">
        <v>0</v>
      </c>
    </row>
    <row r="44" spans="1:16" s="164" customFormat="1" x14ac:dyDescent="0.2">
      <c r="A44" s="15" t="s">
        <v>156</v>
      </c>
      <c r="B44" s="16">
        <f>'2020 WA LIW ACTUALS'!AJ57</f>
        <v>0</v>
      </c>
      <c r="C44" s="47">
        <f>'2020 WA LIW ACTUALS'!AL56</f>
        <v>0</v>
      </c>
      <c r="D44" s="27">
        <f>'2020 WA LIW ACTUALS'!AJ58</f>
        <v>0</v>
      </c>
      <c r="E44" s="18">
        <f t="shared" si="16"/>
        <v>0</v>
      </c>
      <c r="F44" s="50">
        <v>20</v>
      </c>
      <c r="G44" s="17">
        <f t="shared" si="12"/>
        <v>0</v>
      </c>
      <c r="H44" s="25">
        <f t="shared" si="13"/>
        <v>0</v>
      </c>
      <c r="I44" s="26">
        <f t="shared" si="22"/>
        <v>0</v>
      </c>
      <c r="J44" s="19">
        <f t="shared" si="18"/>
        <v>0</v>
      </c>
      <c r="K44" s="333">
        <v>0</v>
      </c>
      <c r="L44" s="334">
        <v>0</v>
      </c>
      <c r="M44" s="317"/>
      <c r="N44" s="325">
        <f t="shared" si="20"/>
        <v>0</v>
      </c>
      <c r="O44" s="326">
        <v>0</v>
      </c>
      <c r="P44" s="327">
        <v>0</v>
      </c>
    </row>
    <row r="45" spans="1:16" s="164" customFormat="1" x14ac:dyDescent="0.2">
      <c r="A45" s="15" t="s">
        <v>157</v>
      </c>
      <c r="B45" s="16">
        <f>'2020 WA LIW ACTUALS'!AM57</f>
        <v>0</v>
      </c>
      <c r="C45" s="47">
        <f>'2020 WA LIW ACTUALS'!AO56</f>
        <v>0</v>
      </c>
      <c r="D45" s="27">
        <f>'2020 WA LIW ACTUALS'!AM58</f>
        <v>0</v>
      </c>
      <c r="E45" s="18">
        <f t="shared" si="16"/>
        <v>0</v>
      </c>
      <c r="F45" s="50">
        <v>10</v>
      </c>
      <c r="G45" s="17">
        <f t="shared" si="12"/>
        <v>0</v>
      </c>
      <c r="H45" s="25">
        <f t="shared" si="13"/>
        <v>0</v>
      </c>
      <c r="I45" s="26">
        <f t="shared" si="22"/>
        <v>0</v>
      </c>
      <c r="J45" s="19">
        <f t="shared" si="18"/>
        <v>0</v>
      </c>
      <c r="K45" s="333">
        <v>0</v>
      </c>
      <c r="L45" s="334">
        <v>0</v>
      </c>
      <c r="M45" s="317"/>
      <c r="N45" s="325">
        <f t="shared" si="20"/>
        <v>0</v>
      </c>
      <c r="O45" s="326">
        <v>0</v>
      </c>
      <c r="P45" s="327">
        <v>0</v>
      </c>
    </row>
    <row r="46" spans="1:16" s="164" customFormat="1" x14ac:dyDescent="0.2">
      <c r="A46" s="15" t="s">
        <v>158</v>
      </c>
      <c r="B46" s="16">
        <f>'2020 WA LIW ACTUALS'!AP57</f>
        <v>3</v>
      </c>
      <c r="C46" s="47">
        <f>'2020 WA LIW ACTUALS'!AR56</f>
        <v>162</v>
      </c>
      <c r="D46" s="27">
        <f>'2020 WA LIW ACTUALS'!AP58</f>
        <v>14715.72</v>
      </c>
      <c r="E46" s="18">
        <f t="shared" si="16"/>
        <v>1471.5720000000001</v>
      </c>
      <c r="F46" s="50">
        <v>10</v>
      </c>
      <c r="G46" s="17">
        <f t="shared" si="12"/>
        <v>1345.9329236616504</v>
      </c>
      <c r="H46" s="25">
        <f t="shared" si="13"/>
        <v>516.83030412369806</v>
      </c>
      <c r="I46" s="26">
        <f t="shared" si="22"/>
        <v>14715.72</v>
      </c>
      <c r="J46" s="19">
        <f t="shared" si="18"/>
        <v>10.933472048492169</v>
      </c>
      <c r="K46" s="333">
        <f t="shared" si="23"/>
        <v>11.31746615030643</v>
      </c>
      <c r="L46" s="334">
        <f t="shared" si="14"/>
        <v>6.2000409724189728E-2</v>
      </c>
      <c r="M46" s="317"/>
      <c r="N46" s="325">
        <f t="shared" si="20"/>
        <v>9.8401248436429523</v>
      </c>
      <c r="O46" s="326">
        <f t="shared" si="21"/>
        <v>10.224118945457214</v>
      </c>
      <c r="P46" s="327">
        <f t="shared" si="15"/>
        <v>6.2391465274145269E-2</v>
      </c>
    </row>
    <row r="47" spans="1:16" s="164" customFormat="1" ht="13.5" thickBot="1" x14ac:dyDescent="0.25">
      <c r="A47" s="38" t="s">
        <v>159</v>
      </c>
      <c r="B47" s="16">
        <f>'2020 WA LIW ACTUALS'!AS57</f>
        <v>1</v>
      </c>
      <c r="C47" s="47">
        <f>'2020 WA LIW ACTUALS'!AU56</f>
        <v>33</v>
      </c>
      <c r="D47" s="39">
        <f>'2020 WA LIW ACTUALS'!AS58</f>
        <v>2699.4100000000003</v>
      </c>
      <c r="E47" s="18">
        <f t="shared" si="16"/>
        <v>269.94100000000003</v>
      </c>
      <c r="F47" s="50">
        <v>16</v>
      </c>
      <c r="G47" s="17">
        <f t="shared" si="12"/>
        <v>398.50707664431144</v>
      </c>
      <c r="H47" s="25">
        <f t="shared" si="13"/>
        <v>105.28024713630886</v>
      </c>
      <c r="I47" s="26">
        <f t="shared" si="22"/>
        <v>2699.4100000000003</v>
      </c>
      <c r="J47" s="19">
        <f t="shared" si="18"/>
        <v>6.7738069364559008</v>
      </c>
      <c r="K47" s="333">
        <f t="shared" si="23"/>
        <v>7.037993580323902</v>
      </c>
      <c r="L47" s="334">
        <f t="shared" si="14"/>
        <v>0.11807583309355917</v>
      </c>
      <c r="M47" s="317"/>
      <c r="N47" s="325">
        <f t="shared" si="20"/>
        <v>6.0964262428103106</v>
      </c>
      <c r="O47" s="326">
        <f t="shared" si="21"/>
        <v>6.3606128866783118</v>
      </c>
      <c r="P47" s="327">
        <f t="shared" si="15"/>
        <v>0.11613373604216319</v>
      </c>
    </row>
    <row r="48" spans="1:16" s="5" customFormat="1" ht="13.5" thickBot="1" x14ac:dyDescent="0.25">
      <c r="A48" s="20" t="s">
        <v>239</v>
      </c>
      <c r="B48" s="21">
        <f>SUM(B34:B47)</f>
        <v>18</v>
      </c>
      <c r="C48" s="257">
        <f>SUM(C34:C47)</f>
        <v>1087.96</v>
      </c>
      <c r="D48" s="42">
        <f>SUM(D34:D47)</f>
        <v>69428.039999999994</v>
      </c>
      <c r="E48" s="22">
        <f>SUM(E34:E46)</f>
        <v>6672.8630000000003</v>
      </c>
      <c r="F48" s="51">
        <f>SUMPRODUCT(C34:C47,F34:F47)/SUM(C34:C47)</f>
        <v>34.724989889334161</v>
      </c>
      <c r="G48" s="23">
        <f>SUM(G34:G47)</f>
        <v>20070.871107017319</v>
      </c>
      <c r="H48" s="53">
        <f>B52</f>
        <v>3470.9302325581393</v>
      </c>
      <c r="I48" s="30">
        <f>'2020 WA LIW ACTUALS'!BH56</f>
        <v>86785.05</v>
      </c>
      <c r="J48" s="24">
        <f>I48/G48</f>
        <v>4.323930413247365</v>
      </c>
      <c r="K48" s="335">
        <f>(I48+H48)/G48</f>
        <v>4.4968641246967209</v>
      </c>
      <c r="L48" s="336">
        <f>(VLOOKUP($F48,AC,6)*$C48)/($I48+$H48)</f>
        <v>0.31609840267056333</v>
      </c>
      <c r="M48" s="318"/>
      <c r="N48" s="328">
        <f>(D48-E48)/G48</f>
        <v>3.1266792888754633</v>
      </c>
      <c r="O48" s="329">
        <f t="shared" si="21"/>
        <v>3.2996130003248187</v>
      </c>
      <c r="P48" s="330">
        <f t="shared" si="15"/>
        <v>0.35899451610013705</v>
      </c>
    </row>
    <row r="49" spans="1:16" s="164" customFormat="1" ht="14.45" customHeight="1" x14ac:dyDescent="0.2">
      <c r="A49" s="8" t="s">
        <v>86</v>
      </c>
      <c r="B49" s="58">
        <f>'2018 APP 2885'!E57</f>
        <v>4.4299999999999999E-2</v>
      </c>
      <c r="C49" s="288"/>
      <c r="D49" s="289"/>
      <c r="E49" s="288"/>
      <c r="F49" s="288"/>
      <c r="G49" s="290"/>
      <c r="H49" s="291"/>
      <c r="I49" s="292"/>
      <c r="J49" s="293"/>
      <c r="K49" s="293"/>
      <c r="L49" s="337"/>
      <c r="M49" s="28"/>
      <c r="N49" s="29"/>
      <c r="O49" s="29"/>
      <c r="P49" s="28"/>
    </row>
    <row r="50" spans="1:16" s="164" customFormat="1" ht="15.6" customHeight="1" x14ac:dyDescent="0.25">
      <c r="A50" s="8" t="s">
        <v>15</v>
      </c>
      <c r="B50" s="58">
        <f>'2018 APP 2885'!E58</f>
        <v>0.02</v>
      </c>
      <c r="C50" s="294"/>
      <c r="D50" s="295"/>
      <c r="E50" s="296"/>
      <c r="F50" s="297"/>
      <c r="G50" s="297"/>
      <c r="H50" s="297"/>
      <c r="I50" s="298"/>
      <c r="J50" s="299"/>
      <c r="K50" s="299"/>
      <c r="L50" s="337"/>
      <c r="M50" s="28"/>
      <c r="N50" s="29"/>
      <c r="O50" s="29"/>
      <c r="P50" s="28"/>
    </row>
    <row r="51" spans="1:16" s="164" customFormat="1" ht="14.45" customHeight="1" x14ac:dyDescent="0.25">
      <c r="A51" s="8" t="s">
        <v>87</v>
      </c>
      <c r="B51" s="58">
        <f>'2018 APP 2885'!E57</f>
        <v>4.4299999999999999E-2</v>
      </c>
      <c r="C51" s="300"/>
      <c r="D51" s="300"/>
      <c r="E51" s="300"/>
      <c r="F51" s="300"/>
      <c r="G51" s="300"/>
      <c r="H51" s="300"/>
      <c r="I51" s="300"/>
      <c r="J51" s="299"/>
      <c r="K51" s="299"/>
      <c r="L51" s="337"/>
      <c r="M51" s="28"/>
      <c r="N51" s="29"/>
      <c r="O51" s="29"/>
      <c r="P51" s="28"/>
    </row>
    <row r="52" spans="1:16" s="164" customFormat="1" x14ac:dyDescent="0.2">
      <c r="A52" s="164" t="s">
        <v>47</v>
      </c>
      <c r="B52" s="52">
        <f>C26*5</f>
        <v>3470.9302325581393</v>
      </c>
      <c r="C52" s="248"/>
      <c r="D52" s="194"/>
      <c r="E52" s="45"/>
      <c r="F52" s="28"/>
      <c r="G52" s="28"/>
      <c r="H52" s="28"/>
      <c r="I52" s="29"/>
      <c r="J52" s="28"/>
      <c r="K52" s="28"/>
      <c r="L52" s="29"/>
      <c r="M52" s="28"/>
      <c r="N52" s="29"/>
      <c r="O52" s="29"/>
      <c r="P52" s="28"/>
    </row>
    <row r="53" spans="1:16" s="164" customFormat="1" x14ac:dyDescent="0.2">
      <c r="A53" s="164" t="s">
        <v>160</v>
      </c>
      <c r="B53" s="52">
        <f>'2020 WA LIW ACTUALS'!AY56</f>
        <v>10414.209999999999</v>
      </c>
      <c r="C53" s="28"/>
      <c r="D53" s="29"/>
      <c r="E53" s="28"/>
      <c r="F53" s="28"/>
      <c r="G53" s="28"/>
      <c r="H53" s="29"/>
      <c r="I53" s="28"/>
      <c r="K53" s="29"/>
      <c r="L53" s="28"/>
      <c r="M53" s="29"/>
      <c r="N53" s="29"/>
      <c r="O53" s="28"/>
      <c r="P53" s="28"/>
    </row>
    <row r="54" spans="1:16" s="164" customFormat="1" x14ac:dyDescent="0.2">
      <c r="A54" s="43" t="s">
        <v>150</v>
      </c>
      <c r="B54" s="52">
        <f>'2020 WA LIW ACTUALS'!BB56</f>
        <v>6942.8019999999997</v>
      </c>
      <c r="C54" s="28"/>
      <c r="D54" s="29"/>
      <c r="E54" s="28"/>
      <c r="F54" s="28"/>
      <c r="G54" s="28"/>
      <c r="H54" s="29"/>
      <c r="I54" s="28"/>
      <c r="K54" s="29"/>
      <c r="L54" s="28"/>
      <c r="M54" s="29"/>
      <c r="N54" s="29"/>
      <c r="O54" s="28"/>
      <c r="P54" s="28"/>
    </row>
    <row r="55" spans="1:16" x14ac:dyDescent="0.2">
      <c r="A55" s="28" t="s">
        <v>244</v>
      </c>
      <c r="B55" s="278">
        <f>I48/I60</f>
        <v>0.13571423466747093</v>
      </c>
    </row>
    <row r="56" spans="1:16" s="314" customFormat="1" ht="13.5" thickBot="1" x14ac:dyDescent="0.25">
      <c r="A56" s="347" t="s">
        <v>242</v>
      </c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348"/>
      <c r="P56" s="349"/>
    </row>
    <row r="57" spans="1:16" s="5" customFormat="1" x14ac:dyDescent="0.2">
      <c r="A57" s="3"/>
      <c r="B57" s="3"/>
      <c r="C57" s="4" t="s">
        <v>4</v>
      </c>
      <c r="D57" s="4" t="s">
        <v>1</v>
      </c>
      <c r="E57" s="4" t="s">
        <v>2</v>
      </c>
      <c r="F57" s="4"/>
      <c r="G57" s="4" t="s">
        <v>3</v>
      </c>
      <c r="H57" s="4"/>
      <c r="I57" s="192" t="s">
        <v>226</v>
      </c>
      <c r="J57" s="10"/>
      <c r="K57" s="331" t="s">
        <v>19</v>
      </c>
      <c r="L57" s="331" t="s">
        <v>24</v>
      </c>
      <c r="M57" s="315"/>
      <c r="N57" s="319" t="s">
        <v>4</v>
      </c>
      <c r="O57" s="320" t="s">
        <v>17</v>
      </c>
      <c r="P57" s="319" t="s">
        <v>24</v>
      </c>
    </row>
    <row r="58" spans="1:16" s="5" customFormat="1" x14ac:dyDescent="0.2">
      <c r="A58" s="11"/>
      <c r="B58" s="11"/>
      <c r="C58" s="6" t="s">
        <v>5</v>
      </c>
      <c r="D58" s="6" t="s">
        <v>6</v>
      </c>
      <c r="E58" s="6" t="s">
        <v>7</v>
      </c>
      <c r="F58" s="6" t="s">
        <v>1</v>
      </c>
      <c r="G58" s="6" t="s">
        <v>8</v>
      </c>
      <c r="H58" s="6" t="s">
        <v>225</v>
      </c>
      <c r="I58" s="279" t="s">
        <v>227</v>
      </c>
      <c r="J58" s="12" t="s">
        <v>10</v>
      </c>
      <c r="K58" s="332" t="s">
        <v>18</v>
      </c>
      <c r="L58" s="332" t="s">
        <v>12</v>
      </c>
      <c r="M58" s="316"/>
      <c r="N58" s="321" t="s">
        <v>9</v>
      </c>
      <c r="O58" s="322" t="s">
        <v>18</v>
      </c>
      <c r="P58" s="321" t="s">
        <v>12</v>
      </c>
    </row>
    <row r="59" spans="1:16" s="5" customFormat="1" ht="13.5" thickBot="1" x14ac:dyDescent="0.25">
      <c r="A59" s="7"/>
      <c r="B59" s="7" t="s">
        <v>20</v>
      </c>
      <c r="C59" s="7" t="s">
        <v>11</v>
      </c>
      <c r="D59" s="7" t="s">
        <v>12</v>
      </c>
      <c r="E59" s="7" t="str">
        <f>"("&amp;TEXT(NEPercentage,"##%")&amp;" of cost)"</f>
        <v>(10% of cost)</v>
      </c>
      <c r="F59" s="7" t="s">
        <v>13</v>
      </c>
      <c r="G59" s="7" t="s">
        <v>11</v>
      </c>
      <c r="H59" s="7" t="s">
        <v>224</v>
      </c>
      <c r="I59" s="13" t="s">
        <v>228</v>
      </c>
      <c r="J59" s="14" t="s">
        <v>12</v>
      </c>
      <c r="K59" s="332" t="s">
        <v>16</v>
      </c>
      <c r="L59" s="332" t="s">
        <v>25</v>
      </c>
      <c r="M59" s="316"/>
      <c r="N59" s="323" t="s">
        <v>12</v>
      </c>
      <c r="O59" s="324" t="s">
        <v>16</v>
      </c>
      <c r="P59" s="321" t="s">
        <v>25</v>
      </c>
    </row>
    <row r="60" spans="1:16" s="5" customFormat="1" ht="13.5" thickBot="1" x14ac:dyDescent="0.25">
      <c r="A60" s="379" t="s">
        <v>27</v>
      </c>
      <c r="B60" s="380">
        <f>SUM(B22,B48)</f>
        <v>169</v>
      </c>
      <c r="C60" s="381">
        <f>SUM(C22,C48)</f>
        <v>9212.7799999999988</v>
      </c>
      <c r="D60" s="382">
        <f>SUM(D22,D48)</f>
        <v>513370.48999999993</v>
      </c>
      <c r="E60" s="383">
        <f>SUM(E22,E48)</f>
        <v>50823.163</v>
      </c>
      <c r="F60" s="384">
        <f>(F22*$F$63)+(F48*F64)</f>
        <v>37.813348413833836</v>
      </c>
      <c r="G60" s="385">
        <f>SUM(G22,G48)</f>
        <v>181932.01645009659</v>
      </c>
      <c r="H60" s="386">
        <f>SUM(H22,H48)</f>
        <v>29850</v>
      </c>
      <c r="I60" s="387">
        <f>SUM(I22,I48)</f>
        <v>639469.03</v>
      </c>
      <c r="J60" s="388">
        <f>I60/G60</f>
        <v>3.5148790327149726</v>
      </c>
      <c r="K60" s="388">
        <f>((K22*$B$29)+(K48*$B$55))</f>
        <v>3.7022964412946209</v>
      </c>
      <c r="L60" s="388">
        <f>((L22*$B$29)+(L48*$B$55))</f>
        <v>0.40752130466239539</v>
      </c>
      <c r="M60" s="388"/>
      <c r="N60" s="388">
        <f>((N22*$B$29)+(N48*$B$55))</f>
        <v>2.559094674855638</v>
      </c>
      <c r="O60" s="388">
        <f>((O22*$B$29)+(O48*$B$55))</f>
        <v>2.7234198767313855</v>
      </c>
      <c r="P60" s="388">
        <f>((P22*$B$29)+(P48*$B$55))</f>
        <v>0.46158147441338238</v>
      </c>
    </row>
    <row r="61" spans="1:16" s="5" customFormat="1" x14ac:dyDescent="0.2">
      <c r="A61" s="303"/>
      <c r="B61" s="304"/>
      <c r="C61" s="305"/>
      <c r="D61" s="306"/>
      <c r="E61" s="307"/>
      <c r="F61" s="308"/>
      <c r="G61" s="309"/>
      <c r="H61" s="310"/>
      <c r="I61" s="289"/>
      <c r="J61" s="311"/>
      <c r="K61" s="312"/>
      <c r="L61" s="312"/>
      <c r="M61" s="312"/>
      <c r="N61" s="312"/>
      <c r="O61" s="312"/>
      <c r="P61" s="312"/>
    </row>
    <row r="62" spans="1:16" x14ac:dyDescent="0.2">
      <c r="A62" s="314" t="s">
        <v>243</v>
      </c>
    </row>
    <row r="63" spans="1:16" x14ac:dyDescent="0.2">
      <c r="A63" s="1" t="s">
        <v>240</v>
      </c>
      <c r="F63" s="313">
        <f>C22/C60</f>
        <v>0.8819075241132428</v>
      </c>
    </row>
    <row r="64" spans="1:16" x14ac:dyDescent="0.2">
      <c r="A64" s="1" t="s">
        <v>241</v>
      </c>
      <c r="F64" s="313">
        <f>C48/C60</f>
        <v>0.11809247588675732</v>
      </c>
    </row>
    <row r="65" spans="6:6" x14ac:dyDescent="0.2">
      <c r="F65" s="313"/>
    </row>
  </sheetData>
  <mergeCells count="6">
    <mergeCell ref="A30:P30"/>
    <mergeCell ref="A56:P56"/>
    <mergeCell ref="A1:P1"/>
    <mergeCell ref="A2:P2"/>
    <mergeCell ref="A3:P3"/>
    <mergeCell ref="F4:G4"/>
  </mergeCells>
  <phoneticPr fontId="0" type="noConversion"/>
  <pageMargins left="0.25" right="0.27" top="0.73" bottom="0.72" header="0.5" footer="0.5"/>
  <pageSetup paperSize="5" scale="72" fitToHeight="2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73"/>
  <sheetViews>
    <sheetView zoomScale="80" zoomScaleNormal="80" workbookViewId="0">
      <selection activeCell="F46" sqref="F46"/>
    </sheetView>
  </sheetViews>
  <sheetFormatPr defaultColWidth="8.83203125" defaultRowHeight="12.75" x14ac:dyDescent="0.2"/>
  <cols>
    <col min="1" max="2" width="8.83203125" style="33" customWidth="1"/>
    <col min="3" max="3" width="9.83203125" style="92" customWidth="1"/>
    <col min="4" max="4" width="15.33203125" style="92" customWidth="1"/>
    <col min="5" max="5" width="12.6640625" style="150" customWidth="1"/>
    <col min="6" max="6" width="14" style="34" customWidth="1"/>
    <col min="7" max="7" width="12.33203125" style="34" customWidth="1"/>
    <col min="8" max="8" width="10.6640625" style="107" customWidth="1"/>
    <col min="9" max="9" width="13.83203125" style="34" customWidth="1"/>
    <col min="10" max="10" width="13.1640625" style="34" customWidth="1"/>
    <col min="11" max="11" width="10.6640625" style="33" customWidth="1"/>
    <col min="12" max="12" width="12.33203125" style="34" customWidth="1"/>
    <col min="13" max="13" width="12.1640625" style="34" customWidth="1"/>
    <col min="14" max="14" width="10.6640625" style="105" customWidth="1"/>
    <col min="15" max="15" width="11.6640625" style="34" customWidth="1"/>
    <col min="16" max="16" width="11.1640625" style="34" customWidth="1"/>
    <col min="17" max="17" width="10.6640625" style="107" customWidth="1"/>
    <col min="18" max="18" width="10.6640625" style="34" customWidth="1"/>
    <col min="19" max="19" width="11.1640625" style="34" customWidth="1"/>
    <col min="20" max="20" width="10.6640625" style="33" customWidth="1"/>
    <col min="21" max="21" width="10.6640625" style="34" customWidth="1"/>
    <col min="22" max="22" width="11.33203125" style="34" customWidth="1"/>
    <col min="23" max="23" width="10.6640625" style="33" customWidth="1"/>
    <col min="24" max="24" width="14.33203125" style="34" customWidth="1"/>
    <col min="25" max="25" width="11.1640625" style="34" customWidth="1"/>
    <col min="26" max="26" width="10.6640625" style="107" customWidth="1"/>
    <col min="27" max="28" width="13.1640625" style="34" customWidth="1"/>
    <col min="29" max="29" width="10.6640625" style="107" customWidth="1"/>
    <col min="30" max="30" width="11.6640625" style="34" customWidth="1"/>
    <col min="31" max="31" width="11.33203125" style="34" customWidth="1"/>
    <col min="32" max="32" width="10.6640625" style="107" customWidth="1"/>
    <col min="33" max="33" width="12" style="34" customWidth="1"/>
    <col min="34" max="34" width="11.1640625" style="34" customWidth="1"/>
    <col min="35" max="35" width="10.6640625" style="33" customWidth="1"/>
    <col min="36" max="37" width="10.6640625" style="34" customWidth="1"/>
    <col min="38" max="38" width="10.6640625" style="33" customWidth="1"/>
    <col min="39" max="39" width="12.33203125" style="34" customWidth="1"/>
    <col min="40" max="40" width="13.33203125" style="34" customWidth="1"/>
    <col min="41" max="41" width="12.1640625" style="33" customWidth="1"/>
    <col min="42" max="42" width="12.33203125" style="34" customWidth="1"/>
    <col min="43" max="43" width="13.33203125" style="34" customWidth="1"/>
    <col min="44" max="44" width="13.33203125" style="33" customWidth="1"/>
    <col min="45" max="46" width="13.33203125" style="151" customWidth="1"/>
    <col min="47" max="47" width="13.33203125" style="33" customWidth="1"/>
    <col min="48" max="48" width="20.83203125" style="34" customWidth="1"/>
    <col min="49" max="49" width="17.1640625" style="34" customWidth="1"/>
    <col min="50" max="50" width="16.1640625" style="34" customWidth="1"/>
    <col min="51" max="51" width="14.83203125" style="34" customWidth="1"/>
    <col min="52" max="52" width="18.1640625" style="266" hidden="1" customWidth="1"/>
    <col min="53" max="53" width="14.83203125" style="153" customWidth="1"/>
    <col min="54" max="54" width="17.83203125" style="266" hidden="1" customWidth="1"/>
    <col min="55" max="55" width="12" style="152" bestFit="1" customWidth="1"/>
    <col min="56" max="56" width="14.33203125" style="107" bestFit="1" customWidth="1"/>
    <col min="57" max="57" width="8.83203125" style="106" customWidth="1"/>
    <col min="58" max="58" width="12.83203125" style="154" customWidth="1"/>
    <col min="59" max="59" width="16.33203125" style="247" hidden="1" customWidth="1"/>
    <col min="60" max="60" width="19.6640625" style="154" bestFit="1" customWidth="1"/>
    <col min="61" max="16384" width="8.83203125" style="33"/>
  </cols>
  <sheetData>
    <row r="1" spans="1:60" x14ac:dyDescent="0.2">
      <c r="A1" s="99" t="s">
        <v>51</v>
      </c>
      <c r="B1" s="99"/>
      <c r="C1" s="99"/>
      <c r="D1" s="99"/>
      <c r="E1" s="101"/>
      <c r="F1" s="74"/>
      <c r="G1" s="74"/>
      <c r="H1" s="102"/>
      <c r="J1" s="74"/>
      <c r="K1" s="103" t="s">
        <v>52</v>
      </c>
      <c r="L1" s="104" t="s">
        <v>53</v>
      </c>
      <c r="M1" s="74"/>
      <c r="O1" s="74"/>
      <c r="P1" s="74"/>
      <c r="S1" s="74" t="s">
        <v>128</v>
      </c>
      <c r="T1" s="106" t="s">
        <v>129</v>
      </c>
      <c r="U1" s="74"/>
      <c r="V1" s="74"/>
      <c r="X1" s="74"/>
      <c r="Y1" s="74"/>
      <c r="AA1" s="74"/>
      <c r="AB1" s="74"/>
      <c r="AC1" s="102"/>
      <c r="AD1" s="74"/>
      <c r="AE1" s="74"/>
      <c r="AF1" s="102"/>
      <c r="AG1" s="74"/>
      <c r="AH1" s="74"/>
      <c r="AI1" s="103"/>
      <c r="AJ1" s="74"/>
      <c r="AK1" s="74"/>
      <c r="AL1" s="103"/>
      <c r="AM1" s="74"/>
      <c r="AN1" s="74"/>
      <c r="AO1" s="103"/>
      <c r="AP1" s="74"/>
      <c r="AQ1" s="74"/>
      <c r="AR1" s="103"/>
      <c r="AS1" s="108"/>
      <c r="AT1" s="108"/>
      <c r="AU1" s="103"/>
      <c r="AV1" s="74"/>
      <c r="AW1" s="74"/>
      <c r="AX1" s="74"/>
      <c r="AY1" s="74"/>
      <c r="AZ1" s="259"/>
      <c r="BA1" s="74"/>
      <c r="BB1" s="259"/>
      <c r="BC1" s="109"/>
      <c r="BD1" s="110"/>
      <c r="BE1" s="100"/>
      <c r="BF1" s="99"/>
      <c r="BG1" s="242"/>
      <c r="BH1" s="99"/>
    </row>
    <row r="2" spans="1:60" x14ac:dyDescent="0.2">
      <c r="A2" s="99" t="s">
        <v>130</v>
      </c>
      <c r="B2" s="99"/>
      <c r="C2" s="99"/>
      <c r="D2" s="99"/>
      <c r="E2" s="101"/>
      <c r="F2" s="74"/>
      <c r="G2" s="74"/>
      <c r="H2" s="102"/>
      <c r="J2" s="74"/>
      <c r="K2" s="103" t="s">
        <v>54</v>
      </c>
      <c r="L2" s="104" t="s">
        <v>55</v>
      </c>
      <c r="M2" s="74"/>
      <c r="O2" s="74"/>
      <c r="P2" s="74"/>
      <c r="Q2" s="102"/>
      <c r="S2" s="74" t="s">
        <v>131</v>
      </c>
      <c r="T2" s="102" t="s">
        <v>126</v>
      </c>
      <c r="U2" s="74"/>
      <c r="V2" s="74"/>
      <c r="W2" s="103"/>
      <c r="X2" s="74"/>
      <c r="Y2" s="74"/>
      <c r="Z2" s="102"/>
      <c r="AA2" s="74"/>
      <c r="AB2" s="74"/>
      <c r="AC2" s="102"/>
      <c r="AD2" s="74"/>
      <c r="AE2" s="74"/>
      <c r="AF2" s="102"/>
      <c r="AG2" s="74"/>
      <c r="AH2" s="74"/>
      <c r="AI2" s="103"/>
      <c r="AJ2" s="74"/>
      <c r="AK2" s="74"/>
      <c r="AL2" s="103"/>
      <c r="AM2" s="74"/>
      <c r="AN2" s="74"/>
      <c r="AO2" s="103"/>
      <c r="AP2" s="74"/>
      <c r="AQ2" s="74"/>
      <c r="AR2" s="103"/>
      <c r="AS2" s="108"/>
      <c r="AT2" s="108"/>
      <c r="AU2" s="103"/>
      <c r="AV2" s="74"/>
      <c r="AW2" s="74"/>
      <c r="AX2" s="74"/>
      <c r="AY2" s="74"/>
      <c r="AZ2" s="259"/>
      <c r="BA2" s="74"/>
      <c r="BB2" s="259"/>
      <c r="BC2" s="109"/>
      <c r="BD2" s="110"/>
      <c r="BE2" s="100"/>
      <c r="BF2" s="99"/>
      <c r="BG2" s="242"/>
      <c r="BH2" s="99"/>
    </row>
    <row r="3" spans="1:60" x14ac:dyDescent="0.2">
      <c r="A3" s="111" t="s">
        <v>210</v>
      </c>
      <c r="B3" s="99"/>
      <c r="C3" s="99"/>
      <c r="D3" s="99"/>
      <c r="E3" s="101"/>
      <c r="F3" s="74"/>
      <c r="G3" s="74"/>
      <c r="H3" s="102"/>
      <c r="J3" s="74"/>
      <c r="K3" s="103" t="s">
        <v>56</v>
      </c>
      <c r="L3" s="104" t="s">
        <v>57</v>
      </c>
      <c r="M3" s="74"/>
      <c r="O3" s="74"/>
      <c r="P3" s="74"/>
      <c r="Q3" s="102"/>
      <c r="S3" s="74" t="s">
        <v>124</v>
      </c>
      <c r="T3" s="102" t="s">
        <v>125</v>
      </c>
      <c r="U3" s="74"/>
      <c r="V3" s="74"/>
      <c r="W3" s="103"/>
      <c r="X3" s="74"/>
      <c r="Y3" s="74"/>
      <c r="Z3" s="102"/>
      <c r="AA3" s="74"/>
      <c r="AB3" s="74"/>
      <c r="AC3" s="102"/>
      <c r="AD3" s="74"/>
      <c r="AE3" s="74"/>
      <c r="AF3" s="102"/>
      <c r="AG3" s="74"/>
      <c r="AH3" s="74"/>
      <c r="AI3" s="103"/>
      <c r="AJ3" s="74"/>
      <c r="AK3" s="74"/>
      <c r="AL3" s="103"/>
      <c r="AM3" s="74"/>
      <c r="AN3" s="74"/>
      <c r="AO3" s="103"/>
      <c r="AP3" s="74"/>
      <c r="AQ3" s="74"/>
      <c r="AR3" s="103"/>
      <c r="AS3" s="108"/>
      <c r="AT3" s="108"/>
      <c r="AU3" s="103"/>
      <c r="AV3" s="74"/>
      <c r="AW3" s="74"/>
      <c r="AX3" s="74"/>
      <c r="AY3" s="74"/>
      <c r="AZ3" s="259"/>
      <c r="BA3" s="74"/>
      <c r="BB3" s="259"/>
      <c r="BC3" s="109"/>
      <c r="BD3" s="110"/>
      <c r="BE3" s="100"/>
      <c r="BF3" s="99"/>
      <c r="BG3" s="242"/>
      <c r="BH3" s="99"/>
    </row>
    <row r="4" spans="1:60" ht="13.5" thickBot="1" x14ac:dyDescent="0.25">
      <c r="A4" s="99" t="s">
        <v>162</v>
      </c>
      <c r="B4" s="99"/>
      <c r="C4" s="99"/>
      <c r="D4" s="180"/>
      <c r="E4" s="181"/>
      <c r="G4" s="74"/>
      <c r="H4" s="102"/>
      <c r="J4" s="74"/>
      <c r="O4" s="74"/>
      <c r="P4" s="74"/>
      <c r="Q4" s="102"/>
      <c r="U4" s="74"/>
      <c r="V4" s="74"/>
      <c r="W4" s="103"/>
      <c r="X4" s="74"/>
      <c r="Y4" s="74"/>
      <c r="Z4" s="102"/>
      <c r="AA4" s="74"/>
      <c r="AB4" s="74"/>
      <c r="AC4" s="102"/>
      <c r="AD4" s="74"/>
      <c r="AE4" s="74"/>
      <c r="AF4" s="102"/>
      <c r="AG4" s="74"/>
      <c r="AH4" s="74"/>
      <c r="AI4" s="103"/>
      <c r="AJ4" s="74"/>
      <c r="AK4" s="74"/>
      <c r="AL4" s="103"/>
      <c r="AM4" s="74"/>
      <c r="AN4" s="74"/>
      <c r="AO4" s="103"/>
      <c r="AP4" s="74"/>
      <c r="AQ4" s="74"/>
      <c r="AR4" s="103"/>
      <c r="AS4" s="108"/>
      <c r="AT4" s="108"/>
      <c r="AU4" s="103"/>
      <c r="AV4" s="74"/>
      <c r="AW4" s="74"/>
      <c r="AX4" s="74"/>
      <c r="AY4" s="74"/>
      <c r="AZ4" s="259"/>
      <c r="BA4" s="74"/>
      <c r="BB4" s="259"/>
      <c r="BC4" s="109"/>
      <c r="BD4" s="112">
        <v>47020431</v>
      </c>
      <c r="BE4" s="100"/>
      <c r="BF4" s="99"/>
      <c r="BG4" s="242"/>
      <c r="BH4" s="99"/>
    </row>
    <row r="5" spans="1:60" s="223" customFormat="1" ht="15" customHeight="1" thickBot="1" x14ac:dyDescent="0.25">
      <c r="A5" s="366" t="s">
        <v>222</v>
      </c>
      <c r="B5" s="367"/>
      <c r="C5" s="368"/>
      <c r="D5" s="218"/>
      <c r="E5" s="219"/>
      <c r="F5" s="372" t="s">
        <v>132</v>
      </c>
      <c r="G5" s="373"/>
      <c r="H5" s="374"/>
      <c r="I5" s="360" t="s">
        <v>133</v>
      </c>
      <c r="J5" s="361"/>
      <c r="K5" s="362"/>
      <c r="L5" s="360" t="s">
        <v>134</v>
      </c>
      <c r="M5" s="361"/>
      <c r="N5" s="362"/>
      <c r="O5" s="360" t="s">
        <v>135</v>
      </c>
      <c r="P5" s="361"/>
      <c r="Q5" s="362"/>
      <c r="R5" s="360" t="s">
        <v>136</v>
      </c>
      <c r="S5" s="361"/>
      <c r="T5" s="362"/>
      <c r="U5" s="360" t="s">
        <v>137</v>
      </c>
      <c r="V5" s="361"/>
      <c r="W5" s="362"/>
      <c r="X5" s="360" t="s">
        <v>138</v>
      </c>
      <c r="Y5" s="361"/>
      <c r="Z5" s="362"/>
      <c r="AA5" s="360" t="s">
        <v>139</v>
      </c>
      <c r="AB5" s="361"/>
      <c r="AC5" s="362"/>
      <c r="AD5" s="360" t="s">
        <v>140</v>
      </c>
      <c r="AE5" s="361"/>
      <c r="AF5" s="362"/>
      <c r="AG5" s="363" t="s">
        <v>141</v>
      </c>
      <c r="AH5" s="364"/>
      <c r="AI5" s="365"/>
      <c r="AJ5" s="360" t="s">
        <v>142</v>
      </c>
      <c r="AK5" s="361"/>
      <c r="AL5" s="362"/>
      <c r="AM5" s="360" t="s">
        <v>143</v>
      </c>
      <c r="AN5" s="361"/>
      <c r="AO5" s="362"/>
      <c r="AP5" s="360" t="s">
        <v>144</v>
      </c>
      <c r="AQ5" s="361"/>
      <c r="AR5" s="362"/>
      <c r="AS5" s="360" t="s">
        <v>145</v>
      </c>
      <c r="AT5" s="361"/>
      <c r="AU5" s="362"/>
      <c r="AV5" s="220"/>
      <c r="AW5" s="220"/>
      <c r="AX5" s="220"/>
      <c r="AY5" s="220"/>
      <c r="AZ5" s="259"/>
      <c r="BA5" s="220"/>
      <c r="BB5" s="259"/>
      <c r="BC5" s="221"/>
      <c r="BD5" s="222"/>
      <c r="BE5" s="217"/>
      <c r="BF5" s="218"/>
      <c r="BG5" s="242"/>
      <c r="BH5" s="218" t="str">
        <f>A5</f>
        <v>2016 AVOIDED COST</v>
      </c>
    </row>
    <row r="6" spans="1:60" ht="54" customHeight="1" x14ac:dyDescent="0.2">
      <c r="A6" s="182" t="s">
        <v>163</v>
      </c>
      <c r="B6" s="183"/>
      <c r="C6" s="184" t="s">
        <v>58</v>
      </c>
      <c r="D6" s="113" t="s">
        <v>146</v>
      </c>
      <c r="E6" s="114" t="s">
        <v>59</v>
      </c>
      <c r="F6" s="115" t="s">
        <v>90</v>
      </c>
      <c r="G6" s="116" t="s">
        <v>91</v>
      </c>
      <c r="H6" s="117" t="s">
        <v>60</v>
      </c>
      <c r="I6" s="115" t="s">
        <v>92</v>
      </c>
      <c r="J6" s="116" t="s">
        <v>93</v>
      </c>
      <c r="K6" s="118" t="s">
        <v>62</v>
      </c>
      <c r="L6" s="115" t="s">
        <v>94</v>
      </c>
      <c r="M6" s="116" t="s">
        <v>95</v>
      </c>
      <c r="N6" s="118" t="s">
        <v>61</v>
      </c>
      <c r="O6" s="115" t="s">
        <v>96</v>
      </c>
      <c r="P6" s="116" t="s">
        <v>97</v>
      </c>
      <c r="Q6" s="118" t="s">
        <v>98</v>
      </c>
      <c r="R6" s="115" t="s">
        <v>99</v>
      </c>
      <c r="S6" s="116" t="s">
        <v>100</v>
      </c>
      <c r="T6" s="118" t="s">
        <v>74</v>
      </c>
      <c r="U6" s="115" t="s">
        <v>101</v>
      </c>
      <c r="V6" s="116" t="s">
        <v>102</v>
      </c>
      <c r="W6" s="118" t="s">
        <v>75</v>
      </c>
      <c r="X6" s="115" t="s">
        <v>103</v>
      </c>
      <c r="Y6" s="116" t="s">
        <v>104</v>
      </c>
      <c r="Z6" s="118" t="s">
        <v>105</v>
      </c>
      <c r="AA6" s="115" t="s">
        <v>106</v>
      </c>
      <c r="AB6" s="116" t="s">
        <v>107</v>
      </c>
      <c r="AC6" s="118" t="s">
        <v>63</v>
      </c>
      <c r="AD6" s="115" t="s">
        <v>108</v>
      </c>
      <c r="AE6" s="116" t="s">
        <v>109</v>
      </c>
      <c r="AF6" s="119" t="s">
        <v>110</v>
      </c>
      <c r="AG6" s="115" t="s">
        <v>111</v>
      </c>
      <c r="AH6" s="116" t="s">
        <v>112</v>
      </c>
      <c r="AI6" s="118" t="s">
        <v>113</v>
      </c>
      <c r="AJ6" s="115" t="s">
        <v>114</v>
      </c>
      <c r="AK6" s="116" t="s">
        <v>115</v>
      </c>
      <c r="AL6" s="118" t="s">
        <v>76</v>
      </c>
      <c r="AM6" s="115" t="s">
        <v>116</v>
      </c>
      <c r="AN6" s="116" t="s">
        <v>117</v>
      </c>
      <c r="AO6" s="118" t="s">
        <v>77</v>
      </c>
      <c r="AP6" s="115" t="s">
        <v>118</v>
      </c>
      <c r="AQ6" s="116" t="s">
        <v>119</v>
      </c>
      <c r="AR6" s="118" t="s">
        <v>78</v>
      </c>
      <c r="AS6" s="120" t="s">
        <v>120</v>
      </c>
      <c r="AT6" s="121" t="s">
        <v>121</v>
      </c>
      <c r="AU6" s="118" t="s">
        <v>122</v>
      </c>
      <c r="AV6" s="75" t="s">
        <v>147</v>
      </c>
      <c r="AW6" s="122" t="s">
        <v>148</v>
      </c>
      <c r="AX6" s="122" t="s">
        <v>214</v>
      </c>
      <c r="AY6" s="122" t="s">
        <v>149</v>
      </c>
      <c r="AZ6" s="260" t="s">
        <v>234</v>
      </c>
      <c r="BA6" s="122" t="s">
        <v>150</v>
      </c>
      <c r="BB6" s="267" t="s">
        <v>232</v>
      </c>
      <c r="BC6" s="123" t="s">
        <v>64</v>
      </c>
      <c r="BD6" s="124" t="s">
        <v>65</v>
      </c>
      <c r="BE6" s="125"/>
      <c r="BF6" s="126" t="s">
        <v>164</v>
      </c>
      <c r="BG6" s="243" t="s">
        <v>233</v>
      </c>
      <c r="BH6" s="234" t="s">
        <v>123</v>
      </c>
    </row>
    <row r="7" spans="1:60" x14ac:dyDescent="0.2">
      <c r="A7" s="165">
        <v>105600</v>
      </c>
      <c r="B7" s="166" t="s">
        <v>165</v>
      </c>
      <c r="C7" s="167" t="s">
        <v>73</v>
      </c>
      <c r="D7" s="127" t="s">
        <v>151</v>
      </c>
      <c r="E7" s="82">
        <v>521.76</v>
      </c>
      <c r="F7" s="83">
        <v>6627.04</v>
      </c>
      <c r="G7" s="84">
        <v>0</v>
      </c>
      <c r="H7" s="85">
        <v>319.79000000000002</v>
      </c>
      <c r="I7" s="83"/>
      <c r="J7" s="84"/>
      <c r="K7" s="86"/>
      <c r="L7" s="83">
        <v>5854.23</v>
      </c>
      <c r="M7" s="84">
        <v>9227.48</v>
      </c>
      <c r="N7" s="87">
        <v>188.97</v>
      </c>
      <c r="O7" s="83"/>
      <c r="P7" s="84"/>
      <c r="Q7" s="87"/>
      <c r="R7" s="83"/>
      <c r="S7" s="84"/>
      <c r="T7" s="86"/>
      <c r="U7" s="83"/>
      <c r="V7" s="84"/>
      <c r="W7" s="86"/>
      <c r="X7" s="83"/>
      <c r="Y7" s="84"/>
      <c r="Z7" s="87"/>
      <c r="AA7" s="83">
        <v>91.52</v>
      </c>
      <c r="AB7" s="128">
        <v>1534.3</v>
      </c>
      <c r="AC7" s="87">
        <v>13</v>
      </c>
      <c r="AD7" s="83"/>
      <c r="AE7" s="84"/>
      <c r="AF7" s="87"/>
      <c r="AG7" s="83"/>
      <c r="AH7" s="84"/>
      <c r="AI7" s="86"/>
      <c r="AJ7" s="83"/>
      <c r="AK7" s="84"/>
      <c r="AL7" s="86"/>
      <c r="AM7" s="83"/>
      <c r="AN7" s="84"/>
      <c r="AO7" s="86"/>
      <c r="AP7" s="83"/>
      <c r="AQ7" s="84"/>
      <c r="AR7" s="86"/>
      <c r="AS7" s="88"/>
      <c r="AT7" s="89"/>
      <c r="AU7" s="86"/>
      <c r="AV7" s="90">
        <f>F7+I7+L7+R7+O7+U7+X7+AA7+AD7+AG7+AJ7+AM7+AP7+AS7</f>
        <v>12572.79</v>
      </c>
      <c r="AW7" s="90">
        <f t="shared" ref="AW7:AW45" si="0">G7+J7+M7+S7+P7+V7+Y7+AB7+AE7+AH7+AK7+AN7+AQ7+AT7</f>
        <v>10761.779999999999</v>
      </c>
      <c r="AX7" s="90">
        <f>AV7+AW7</f>
        <v>23334.57</v>
      </c>
      <c r="AY7" s="90">
        <v>3500.19</v>
      </c>
      <c r="AZ7" s="261">
        <f>AX7*0.15</f>
        <v>3500.1855</v>
      </c>
      <c r="BA7" s="90">
        <v>2333.46</v>
      </c>
      <c r="BB7" s="261">
        <f>AX7*0.1</f>
        <v>2333.4569999999999</v>
      </c>
      <c r="BC7" s="91">
        <f t="shared" ref="BC7:BC45" si="1">COUNT(F7,I7,L7,O7,R7,U7,X7,AA7,AD7,AG7,AJ7,AM7,AP7,AS7)</f>
        <v>3</v>
      </c>
      <c r="BD7" s="85">
        <f t="shared" ref="BD7:BD44" si="2">H7+K7+N7+T7+Q7+W7+Z7+AC7+AF7+AI7+AL7+AO7+AR7+AU7</f>
        <v>521.76</v>
      </c>
      <c r="BE7" s="54" t="str">
        <f t="shared" ref="BE7:BE45" si="3">B7</f>
        <v>20-01</v>
      </c>
      <c r="BF7" s="54">
        <f t="shared" ref="BF7:BF45" si="4">A7</f>
        <v>105600</v>
      </c>
      <c r="BG7" s="244">
        <f>AX7+AY7+BB7+0.01</f>
        <v>29168.226999999995</v>
      </c>
      <c r="BH7" s="235">
        <v>29168.22</v>
      </c>
    </row>
    <row r="8" spans="1:60" x14ac:dyDescent="0.2">
      <c r="A8" s="168">
        <v>105601</v>
      </c>
      <c r="B8" s="169" t="s">
        <v>166</v>
      </c>
      <c r="C8" s="170" t="s">
        <v>73</v>
      </c>
      <c r="D8" s="81" t="s">
        <v>151</v>
      </c>
      <c r="E8" s="82">
        <v>65.22</v>
      </c>
      <c r="F8" s="83"/>
      <c r="G8" s="84"/>
      <c r="H8" s="85"/>
      <c r="I8" s="83"/>
      <c r="J8" s="84"/>
      <c r="K8" s="86"/>
      <c r="L8" s="83">
        <v>1308.0999999999999</v>
      </c>
      <c r="M8" s="84">
        <v>836.39</v>
      </c>
      <c r="N8" s="87">
        <v>42.22</v>
      </c>
      <c r="O8" s="83"/>
      <c r="P8" s="84"/>
      <c r="Q8" s="87"/>
      <c r="R8" s="83"/>
      <c r="S8" s="84"/>
      <c r="T8" s="86"/>
      <c r="U8" s="83"/>
      <c r="V8" s="84"/>
      <c r="W8" s="86"/>
      <c r="X8" s="83"/>
      <c r="Y8" s="84"/>
      <c r="Z8" s="87"/>
      <c r="AA8" s="83">
        <v>91.52</v>
      </c>
      <c r="AB8" s="84">
        <v>422.27</v>
      </c>
      <c r="AC8" s="87">
        <v>13</v>
      </c>
      <c r="AD8" s="83"/>
      <c r="AE8" s="84"/>
      <c r="AF8" s="87"/>
      <c r="AG8" s="83"/>
      <c r="AH8" s="84"/>
      <c r="AI8" s="86"/>
      <c r="AJ8" s="83">
        <v>12.11</v>
      </c>
      <c r="AK8" s="84">
        <v>0</v>
      </c>
      <c r="AL8" s="86">
        <v>5</v>
      </c>
      <c r="AM8" s="83">
        <v>22.66</v>
      </c>
      <c r="AN8" s="84">
        <v>0</v>
      </c>
      <c r="AO8" s="86">
        <v>5</v>
      </c>
      <c r="AP8" s="83"/>
      <c r="AQ8" s="84"/>
      <c r="AR8" s="86"/>
      <c r="AS8" s="88"/>
      <c r="AT8" s="89"/>
      <c r="AU8" s="86"/>
      <c r="AV8" s="90">
        <f t="shared" ref="AV8:AV43" si="5">F8+I8+L8+R8+O8+U8+X8+AA8+AD8+AG8+AJ8+AM8+AP8+AS8</f>
        <v>1434.3899999999999</v>
      </c>
      <c r="AW8" s="90">
        <f t="shared" si="0"/>
        <v>1258.6599999999999</v>
      </c>
      <c r="AX8" s="90">
        <f t="shared" ref="AX8:AX45" si="6">AV8+AW8</f>
        <v>2693.0499999999997</v>
      </c>
      <c r="AY8" s="90">
        <v>403.96</v>
      </c>
      <c r="AZ8" s="261">
        <f>AX8*0.15</f>
        <v>403.95749999999992</v>
      </c>
      <c r="BA8" s="90">
        <v>269.31</v>
      </c>
      <c r="BB8" s="261">
        <f>AX8*0.1</f>
        <v>269.30500000000001</v>
      </c>
      <c r="BC8" s="91">
        <f t="shared" si="1"/>
        <v>4</v>
      </c>
      <c r="BD8" s="85">
        <f t="shared" si="2"/>
        <v>65.22</v>
      </c>
      <c r="BE8" s="54" t="str">
        <f t="shared" si="3"/>
        <v>20-02</v>
      </c>
      <c r="BF8" s="54">
        <f t="shared" si="4"/>
        <v>105601</v>
      </c>
      <c r="BG8" s="244">
        <f t="shared" ref="BG8:BG15" si="7">AX8+AY8+BB8</f>
        <v>3366.3149999999996</v>
      </c>
      <c r="BH8" s="235">
        <v>3366.31</v>
      </c>
    </row>
    <row r="9" spans="1:60" x14ac:dyDescent="0.2">
      <c r="A9" s="168">
        <v>105603</v>
      </c>
      <c r="B9" s="169" t="s">
        <v>167</v>
      </c>
      <c r="C9" s="170" t="s">
        <v>73</v>
      </c>
      <c r="D9" s="81" t="s">
        <v>151</v>
      </c>
      <c r="E9" s="82">
        <v>184.42</v>
      </c>
      <c r="F9" s="83">
        <v>2013.3</v>
      </c>
      <c r="G9" s="84">
        <v>0</v>
      </c>
      <c r="H9" s="85">
        <v>94.51</v>
      </c>
      <c r="I9" s="83"/>
      <c r="J9" s="84"/>
      <c r="K9" s="86"/>
      <c r="L9" s="83">
        <v>2785.41</v>
      </c>
      <c r="M9" s="84">
        <v>1890.05</v>
      </c>
      <c r="N9" s="87">
        <v>89.91</v>
      </c>
      <c r="O9" s="83"/>
      <c r="P9" s="84"/>
      <c r="Q9" s="87"/>
      <c r="R9" s="83"/>
      <c r="S9" s="84"/>
      <c r="T9" s="86"/>
      <c r="U9" s="83"/>
      <c r="V9" s="84"/>
      <c r="W9" s="86"/>
      <c r="X9" s="83"/>
      <c r="Y9" s="84"/>
      <c r="Z9" s="87"/>
      <c r="AA9" s="83"/>
      <c r="AB9" s="84"/>
      <c r="AC9" s="87"/>
      <c r="AD9" s="83"/>
      <c r="AE9" s="84"/>
      <c r="AF9" s="87"/>
      <c r="AG9" s="83"/>
      <c r="AH9" s="84"/>
      <c r="AI9" s="86"/>
      <c r="AJ9" s="83"/>
      <c r="AK9" s="84"/>
      <c r="AL9" s="86"/>
      <c r="AM9" s="83"/>
      <c r="AN9" s="84"/>
      <c r="AO9" s="86"/>
      <c r="AP9" s="83"/>
      <c r="AQ9" s="84"/>
      <c r="AR9" s="86"/>
      <c r="AS9" s="88"/>
      <c r="AT9" s="89"/>
      <c r="AU9" s="86"/>
      <c r="AV9" s="90">
        <f t="shared" si="5"/>
        <v>4798.71</v>
      </c>
      <c r="AW9" s="90">
        <f t="shared" si="0"/>
        <v>1890.05</v>
      </c>
      <c r="AX9" s="90">
        <f t="shared" si="6"/>
        <v>6688.76</v>
      </c>
      <c r="AY9" s="90">
        <v>1003.31</v>
      </c>
      <c r="AZ9" s="261">
        <f>AX9*0.15</f>
        <v>1003.314</v>
      </c>
      <c r="BA9" s="90">
        <v>668.88</v>
      </c>
      <c r="BB9" s="261">
        <f>AX9*0.1</f>
        <v>668.87600000000009</v>
      </c>
      <c r="BC9" s="91">
        <f t="shared" si="1"/>
        <v>2</v>
      </c>
      <c r="BD9" s="85">
        <f t="shared" si="2"/>
        <v>184.42000000000002</v>
      </c>
      <c r="BE9" s="54" t="str">
        <f t="shared" si="3"/>
        <v>20-03</v>
      </c>
      <c r="BF9" s="54">
        <f t="shared" si="4"/>
        <v>105603</v>
      </c>
      <c r="BG9" s="244">
        <f t="shared" si="7"/>
        <v>8360.9459999999999</v>
      </c>
      <c r="BH9" s="235">
        <v>8360.9599999999991</v>
      </c>
    </row>
    <row r="10" spans="1:60" x14ac:dyDescent="0.2">
      <c r="A10" s="168">
        <v>105604</v>
      </c>
      <c r="B10" s="169" t="s">
        <v>168</v>
      </c>
      <c r="C10" s="170" t="s">
        <v>73</v>
      </c>
      <c r="D10" s="81" t="s">
        <v>151</v>
      </c>
      <c r="E10" s="82">
        <v>208.96</v>
      </c>
      <c r="F10" s="83">
        <v>3319.56</v>
      </c>
      <c r="G10" s="84">
        <v>0</v>
      </c>
      <c r="H10" s="85">
        <v>120.03</v>
      </c>
      <c r="I10" s="83"/>
      <c r="J10" s="84"/>
      <c r="K10" s="86"/>
      <c r="L10" s="83">
        <v>2197.35</v>
      </c>
      <c r="M10" s="84">
        <v>1454.62</v>
      </c>
      <c r="N10" s="87">
        <v>70.930000000000007</v>
      </c>
      <c r="O10" s="83"/>
      <c r="P10" s="84"/>
      <c r="Q10" s="87"/>
      <c r="R10" s="83"/>
      <c r="S10" s="84"/>
      <c r="T10" s="86"/>
      <c r="U10" s="83"/>
      <c r="V10" s="84"/>
      <c r="W10" s="86"/>
      <c r="X10" s="83"/>
      <c r="Y10" s="84"/>
      <c r="Z10" s="87"/>
      <c r="AA10" s="83">
        <v>91.52</v>
      </c>
      <c r="AB10" s="84">
        <v>1213.9000000000001</v>
      </c>
      <c r="AC10" s="87">
        <v>13</v>
      </c>
      <c r="AD10" s="83"/>
      <c r="AE10" s="84"/>
      <c r="AF10" s="87"/>
      <c r="AG10" s="83"/>
      <c r="AH10" s="84"/>
      <c r="AI10" s="86"/>
      <c r="AJ10" s="83">
        <v>12.11</v>
      </c>
      <c r="AK10" s="84">
        <v>0</v>
      </c>
      <c r="AL10" s="86">
        <v>5</v>
      </c>
      <c r="AM10" s="83"/>
      <c r="AN10" s="84"/>
      <c r="AO10" s="86"/>
      <c r="AP10" s="83"/>
      <c r="AQ10" s="84"/>
      <c r="AR10" s="86"/>
      <c r="AS10" s="88"/>
      <c r="AT10" s="89"/>
      <c r="AU10" s="86"/>
      <c r="AV10" s="90">
        <f t="shared" si="5"/>
        <v>5620.54</v>
      </c>
      <c r="AW10" s="90">
        <f t="shared" si="0"/>
        <v>2668.52</v>
      </c>
      <c r="AX10" s="90">
        <f t="shared" si="6"/>
        <v>8289.06</v>
      </c>
      <c r="AY10" s="90">
        <v>1243.3599999999999</v>
      </c>
      <c r="AZ10" s="261">
        <f>AX10*0.15</f>
        <v>1243.3589999999999</v>
      </c>
      <c r="BA10" s="90">
        <v>828.91</v>
      </c>
      <c r="BB10" s="261">
        <f>AX10*0.1</f>
        <v>828.90599999999995</v>
      </c>
      <c r="BC10" s="91">
        <f t="shared" si="1"/>
        <v>4</v>
      </c>
      <c r="BD10" s="85">
        <f t="shared" si="2"/>
        <v>208.96</v>
      </c>
      <c r="BE10" s="54" t="str">
        <f t="shared" si="3"/>
        <v>20-04</v>
      </c>
      <c r="BF10" s="54">
        <f t="shared" si="4"/>
        <v>105604</v>
      </c>
      <c r="BG10" s="244">
        <f t="shared" si="7"/>
        <v>10361.326000000001</v>
      </c>
      <c r="BH10" s="235">
        <v>10361.33</v>
      </c>
    </row>
    <row r="11" spans="1:60" x14ac:dyDescent="0.2">
      <c r="A11" s="168">
        <v>105605</v>
      </c>
      <c r="B11" s="169" t="s">
        <v>169</v>
      </c>
      <c r="C11" s="170" t="s">
        <v>70</v>
      </c>
      <c r="D11" s="81" t="s">
        <v>151</v>
      </c>
      <c r="E11" s="82">
        <v>263.76</v>
      </c>
      <c r="F11" s="83">
        <v>1234.55</v>
      </c>
      <c r="G11" s="84">
        <v>0</v>
      </c>
      <c r="H11" s="85">
        <v>123.02</v>
      </c>
      <c r="I11" s="83"/>
      <c r="J11" s="84"/>
      <c r="K11" s="86"/>
      <c r="L11" s="136">
        <v>2252.12</v>
      </c>
      <c r="M11" s="211">
        <v>3391.74</v>
      </c>
      <c r="N11" s="87">
        <v>72.7</v>
      </c>
      <c r="O11" s="83">
        <v>589.86</v>
      </c>
      <c r="P11" s="84">
        <v>265.42</v>
      </c>
      <c r="Q11" s="87">
        <v>19.04</v>
      </c>
      <c r="R11" s="83"/>
      <c r="S11" s="84"/>
      <c r="T11" s="86"/>
      <c r="U11" s="83">
        <v>111.3</v>
      </c>
      <c r="V11" s="84">
        <v>1143.23</v>
      </c>
      <c r="W11" s="86">
        <v>21</v>
      </c>
      <c r="X11" s="83"/>
      <c r="Y11" s="84"/>
      <c r="Z11" s="87"/>
      <c r="AA11" s="83">
        <v>91.52</v>
      </c>
      <c r="AB11" s="84">
        <v>3598.78</v>
      </c>
      <c r="AC11" s="87">
        <v>13</v>
      </c>
      <c r="AD11" s="83"/>
      <c r="AE11" s="84"/>
      <c r="AF11" s="87"/>
      <c r="AG11" s="83"/>
      <c r="AH11" s="84"/>
      <c r="AI11" s="86"/>
      <c r="AJ11" s="83">
        <v>9.68</v>
      </c>
      <c r="AK11" s="84">
        <v>0</v>
      </c>
      <c r="AL11" s="86">
        <v>5</v>
      </c>
      <c r="AM11" s="83"/>
      <c r="AN11" s="84"/>
      <c r="AO11" s="86"/>
      <c r="AP11" s="83"/>
      <c r="AQ11" s="84"/>
      <c r="AR11" s="86"/>
      <c r="AS11" s="88"/>
      <c r="AT11" s="89"/>
      <c r="AU11" s="86"/>
      <c r="AV11" s="90">
        <f t="shared" si="5"/>
        <v>4289.0300000000007</v>
      </c>
      <c r="AW11" s="90">
        <f t="shared" si="0"/>
        <v>8399.17</v>
      </c>
      <c r="AX11" s="90">
        <f>AV11+AW11</f>
        <v>12688.2</v>
      </c>
      <c r="AY11" s="90">
        <v>1903.23</v>
      </c>
      <c r="AZ11" s="261">
        <f>AX11*0.15</f>
        <v>1903.23</v>
      </c>
      <c r="BA11" s="90">
        <v>1268.8200000000002</v>
      </c>
      <c r="BB11" s="261">
        <f>AX11*0.1</f>
        <v>1268.8200000000002</v>
      </c>
      <c r="BC11" s="91">
        <f t="shared" si="1"/>
        <v>6</v>
      </c>
      <c r="BD11" s="85">
        <f t="shared" si="2"/>
        <v>253.76</v>
      </c>
      <c r="BE11" s="54" t="str">
        <f t="shared" si="3"/>
        <v>20-05</v>
      </c>
      <c r="BF11" s="54">
        <f t="shared" si="4"/>
        <v>105605</v>
      </c>
      <c r="BG11" s="244">
        <f t="shared" si="7"/>
        <v>15860.25</v>
      </c>
      <c r="BH11" s="235">
        <v>15860.25</v>
      </c>
    </row>
    <row r="12" spans="1:60" x14ac:dyDescent="0.2">
      <c r="A12" s="168" t="s">
        <v>170</v>
      </c>
      <c r="B12" s="169" t="s">
        <v>171</v>
      </c>
      <c r="C12" s="170" t="s">
        <v>89</v>
      </c>
      <c r="D12" s="81" t="s">
        <v>151</v>
      </c>
      <c r="E12" s="82">
        <v>291.45999999999998</v>
      </c>
      <c r="F12" s="83">
        <f>632.18+850</f>
        <v>1482.1799999999998</v>
      </c>
      <c r="G12" s="84">
        <v>1168.6300000000001</v>
      </c>
      <c r="H12" s="85">
        <v>78.14</v>
      </c>
      <c r="I12" s="83">
        <v>722.58</v>
      </c>
      <c r="J12" s="84">
        <v>1495.47</v>
      </c>
      <c r="K12" s="86">
        <v>89.32</v>
      </c>
      <c r="L12" s="83"/>
      <c r="M12" s="84"/>
      <c r="N12" s="87"/>
      <c r="O12" s="83"/>
      <c r="P12" s="84"/>
      <c r="Q12" s="87"/>
      <c r="R12" s="83"/>
      <c r="S12" s="84"/>
      <c r="T12" s="86"/>
      <c r="U12" s="83"/>
      <c r="V12" s="84"/>
      <c r="W12" s="86"/>
      <c r="X12" s="83"/>
      <c r="Y12" s="84"/>
      <c r="Z12" s="87"/>
      <c r="AA12" s="83">
        <v>105.17</v>
      </c>
      <c r="AB12" s="84">
        <v>247.78</v>
      </c>
      <c r="AC12" s="87">
        <v>13</v>
      </c>
      <c r="AD12" s="83">
        <v>682.65</v>
      </c>
      <c r="AE12" s="84">
        <v>3065.14</v>
      </c>
      <c r="AF12" s="87">
        <v>111</v>
      </c>
      <c r="AG12" s="83"/>
      <c r="AH12" s="84"/>
      <c r="AI12" s="86"/>
      <c r="AJ12" s="83"/>
      <c r="AK12" s="84"/>
      <c r="AL12" s="86"/>
      <c r="AM12" s="83"/>
      <c r="AN12" s="84"/>
      <c r="AO12" s="86"/>
      <c r="AP12" s="83"/>
      <c r="AQ12" s="84"/>
      <c r="AR12" s="86"/>
      <c r="AS12" s="88"/>
      <c r="AT12" s="89"/>
      <c r="AU12" s="86"/>
      <c r="AV12" s="90">
        <f>F12+I12+L12+R12+O12+U12+X12+AA12+AD12+AG12+AJ12+AM12+AP12+AS12</f>
        <v>2992.58</v>
      </c>
      <c r="AW12" s="90">
        <f t="shared" si="0"/>
        <v>5977.02</v>
      </c>
      <c r="AX12" s="90">
        <f t="shared" si="6"/>
        <v>8969.6</v>
      </c>
      <c r="AY12" s="90">
        <v>0</v>
      </c>
      <c r="AZ12" s="261">
        <v>0</v>
      </c>
      <c r="BA12" s="90">
        <v>0</v>
      </c>
      <c r="BB12" s="261">
        <v>0</v>
      </c>
      <c r="BC12" s="91">
        <f t="shared" si="1"/>
        <v>4</v>
      </c>
      <c r="BD12" s="85">
        <f t="shared" si="2"/>
        <v>291.45999999999998</v>
      </c>
      <c r="BE12" s="54" t="str">
        <f t="shared" si="3"/>
        <v>20-06</v>
      </c>
      <c r="BF12" s="54" t="str">
        <f t="shared" si="4"/>
        <v>No DSMC</v>
      </c>
      <c r="BG12" s="244">
        <f t="shared" si="7"/>
        <v>8969.6</v>
      </c>
      <c r="BH12" s="235">
        <v>8969.6</v>
      </c>
    </row>
    <row r="13" spans="1:60" x14ac:dyDescent="0.2">
      <c r="A13" s="168">
        <v>105950</v>
      </c>
      <c r="B13" s="169" t="s">
        <v>172</v>
      </c>
      <c r="C13" s="170" t="s">
        <v>66</v>
      </c>
      <c r="D13" s="81" t="s">
        <v>152</v>
      </c>
      <c r="E13" s="82">
        <v>325.10000000000002</v>
      </c>
      <c r="F13" s="83">
        <v>3405.07</v>
      </c>
      <c r="G13" s="84">
        <v>337.71</v>
      </c>
      <c r="H13" s="85">
        <v>109.91</v>
      </c>
      <c r="I13" s="83">
        <v>953.69</v>
      </c>
      <c r="J13" s="84">
        <v>273.3</v>
      </c>
      <c r="K13" s="86">
        <v>30.78</v>
      </c>
      <c r="L13" s="83"/>
      <c r="M13" s="84"/>
      <c r="N13" s="87"/>
      <c r="O13" s="83"/>
      <c r="P13" s="84"/>
      <c r="Q13" s="87"/>
      <c r="R13" s="83">
        <v>65.540000000000006</v>
      </c>
      <c r="S13" s="84">
        <v>91.21</v>
      </c>
      <c r="T13" s="86">
        <v>6.4</v>
      </c>
      <c r="U13" s="83"/>
      <c r="V13" s="84"/>
      <c r="W13" s="86"/>
      <c r="X13" s="83"/>
      <c r="Y13" s="84"/>
      <c r="Z13" s="87"/>
      <c r="AA13" s="83">
        <v>91.52</v>
      </c>
      <c r="AB13" s="84">
        <v>3911.01</v>
      </c>
      <c r="AC13" s="87">
        <v>13</v>
      </c>
      <c r="AD13" s="83">
        <v>1136.6400000000001</v>
      </c>
      <c r="AE13" s="84">
        <v>3653.51</v>
      </c>
      <c r="AF13" s="87">
        <v>111</v>
      </c>
      <c r="AG13" s="83"/>
      <c r="AH13" s="84"/>
      <c r="AI13" s="86"/>
      <c r="AJ13" s="83"/>
      <c r="AK13" s="84"/>
      <c r="AL13" s="86"/>
      <c r="AM13" s="83"/>
      <c r="AN13" s="84"/>
      <c r="AO13" s="86"/>
      <c r="AP13" s="83">
        <v>552.96</v>
      </c>
      <c r="AQ13" s="84">
        <v>3811.8</v>
      </c>
      <c r="AR13" s="86">
        <v>54</v>
      </c>
      <c r="AS13" s="88"/>
      <c r="AT13" s="89"/>
      <c r="AU13" s="86"/>
      <c r="AV13" s="90">
        <f t="shared" si="5"/>
        <v>6205.420000000001</v>
      </c>
      <c r="AW13" s="90">
        <f t="shared" si="0"/>
        <v>12078.54</v>
      </c>
      <c r="AX13" s="90">
        <f t="shared" si="6"/>
        <v>18283.960000000003</v>
      </c>
      <c r="AY13" s="90">
        <v>2742.59</v>
      </c>
      <c r="AZ13" s="261">
        <f>AX13*0.15</f>
        <v>2742.5940000000005</v>
      </c>
      <c r="BA13" s="90">
        <v>1828.4</v>
      </c>
      <c r="BB13" s="261">
        <f>AX13*0.1</f>
        <v>1828.3960000000004</v>
      </c>
      <c r="BC13" s="91">
        <f t="shared" si="1"/>
        <v>6</v>
      </c>
      <c r="BD13" s="85">
        <f t="shared" si="2"/>
        <v>325.09000000000003</v>
      </c>
      <c r="BE13" s="54" t="str">
        <f t="shared" si="3"/>
        <v>20-07</v>
      </c>
      <c r="BF13" s="54">
        <f t="shared" si="4"/>
        <v>105950</v>
      </c>
      <c r="BG13" s="244">
        <f t="shared" si="7"/>
        <v>22854.946000000004</v>
      </c>
      <c r="BH13" s="235">
        <v>22854.950000000004</v>
      </c>
    </row>
    <row r="14" spans="1:60" x14ac:dyDescent="0.2">
      <c r="A14" s="168">
        <v>105990</v>
      </c>
      <c r="B14" s="169" t="s">
        <v>212</v>
      </c>
      <c r="C14" s="170" t="s">
        <v>71</v>
      </c>
      <c r="D14" s="81" t="s">
        <v>152</v>
      </c>
      <c r="E14" s="82">
        <v>21</v>
      </c>
      <c r="F14" s="83"/>
      <c r="G14" s="84"/>
      <c r="H14" s="85"/>
      <c r="I14" s="83"/>
      <c r="J14" s="84"/>
      <c r="K14" s="86"/>
      <c r="L14" s="83"/>
      <c r="M14" s="84"/>
      <c r="N14" s="87"/>
      <c r="O14" s="83"/>
      <c r="P14" s="84"/>
      <c r="Q14" s="87"/>
      <c r="R14" s="83"/>
      <c r="S14" s="84"/>
      <c r="T14" s="86"/>
      <c r="U14" s="83">
        <v>111.3</v>
      </c>
      <c r="V14" s="84">
        <v>167.7</v>
      </c>
      <c r="W14" s="86">
        <v>21</v>
      </c>
      <c r="X14" s="83"/>
      <c r="Y14" s="84"/>
      <c r="Z14" s="87"/>
      <c r="AA14" s="83"/>
      <c r="AB14" s="84"/>
      <c r="AC14" s="87"/>
      <c r="AD14" s="83"/>
      <c r="AE14" s="84"/>
      <c r="AF14" s="87"/>
      <c r="AG14" s="83"/>
      <c r="AH14" s="84"/>
      <c r="AI14" s="86"/>
      <c r="AJ14" s="83"/>
      <c r="AK14" s="84"/>
      <c r="AL14" s="86"/>
      <c r="AM14" s="83"/>
      <c r="AN14" s="84"/>
      <c r="AO14" s="86"/>
      <c r="AP14" s="83"/>
      <c r="AQ14" s="84"/>
      <c r="AR14" s="86"/>
      <c r="AS14" s="88"/>
      <c r="AT14" s="89"/>
      <c r="AU14" s="86"/>
      <c r="AV14" s="90">
        <f t="shared" si="5"/>
        <v>111.3</v>
      </c>
      <c r="AW14" s="90">
        <f t="shared" si="0"/>
        <v>167.7</v>
      </c>
      <c r="AX14" s="90">
        <f t="shared" si="6"/>
        <v>279</v>
      </c>
      <c r="AY14" s="90">
        <v>41.85</v>
      </c>
      <c r="AZ14" s="261">
        <f>AX14*0.15</f>
        <v>41.85</v>
      </c>
      <c r="BA14" s="90">
        <v>27.9</v>
      </c>
      <c r="BB14" s="261">
        <f>AX14*0.1</f>
        <v>27.900000000000002</v>
      </c>
      <c r="BC14" s="91">
        <f t="shared" si="1"/>
        <v>1</v>
      </c>
      <c r="BD14" s="85">
        <f t="shared" si="2"/>
        <v>21</v>
      </c>
      <c r="BE14" s="54" t="str">
        <f t="shared" si="3"/>
        <v>20-08</v>
      </c>
      <c r="BF14" s="54">
        <f t="shared" si="4"/>
        <v>105990</v>
      </c>
      <c r="BG14" s="244">
        <f t="shared" si="7"/>
        <v>348.75</v>
      </c>
      <c r="BH14" s="235">
        <v>348.75</v>
      </c>
    </row>
    <row r="15" spans="1:60" x14ac:dyDescent="0.2">
      <c r="A15" s="168">
        <v>106153</v>
      </c>
      <c r="B15" s="169" t="s">
        <v>173</v>
      </c>
      <c r="C15" s="170" t="s">
        <v>72</v>
      </c>
      <c r="D15" s="81" t="s">
        <v>152</v>
      </c>
      <c r="E15" s="82">
        <v>454.28</v>
      </c>
      <c r="F15" s="83">
        <v>3184.25</v>
      </c>
      <c r="G15" s="84">
        <v>248.96</v>
      </c>
      <c r="H15" s="85">
        <v>102.78</v>
      </c>
      <c r="I15" s="83">
        <v>349.37</v>
      </c>
      <c r="J15" s="84">
        <v>0</v>
      </c>
      <c r="K15" s="86">
        <v>18.940000000000001</v>
      </c>
      <c r="L15" s="83">
        <v>1913.82</v>
      </c>
      <c r="M15" s="84">
        <v>1811.33</v>
      </c>
      <c r="N15" s="87">
        <v>61.78</v>
      </c>
      <c r="O15" s="83">
        <v>488.74</v>
      </c>
      <c r="P15" s="84">
        <v>3783.45</v>
      </c>
      <c r="Q15" s="87">
        <v>15.78</v>
      </c>
      <c r="R15" s="83"/>
      <c r="S15" s="84"/>
      <c r="T15" s="86"/>
      <c r="U15" s="83"/>
      <c r="V15" s="84"/>
      <c r="W15" s="86"/>
      <c r="X15" s="83">
        <v>542.08000000000004</v>
      </c>
      <c r="Y15" s="84">
        <v>3730.11</v>
      </c>
      <c r="Z15" s="87">
        <v>77</v>
      </c>
      <c r="AA15" s="83">
        <v>91.52</v>
      </c>
      <c r="AB15" s="84">
        <v>4892.5600000000004</v>
      </c>
      <c r="AC15" s="87">
        <v>13</v>
      </c>
      <c r="AD15" s="83">
        <v>1136.6400000000001</v>
      </c>
      <c r="AE15" s="84">
        <v>3483</v>
      </c>
      <c r="AF15" s="87">
        <v>111</v>
      </c>
      <c r="AG15" s="83"/>
      <c r="AH15" s="84"/>
      <c r="AI15" s="86"/>
      <c r="AJ15" s="83"/>
      <c r="AK15" s="84"/>
      <c r="AL15" s="86"/>
      <c r="AM15" s="83"/>
      <c r="AN15" s="84"/>
      <c r="AO15" s="86"/>
      <c r="AP15" s="83">
        <v>552.96</v>
      </c>
      <c r="AQ15" s="84">
        <v>4218.43</v>
      </c>
      <c r="AR15" s="86">
        <v>54</v>
      </c>
      <c r="AS15" s="88"/>
      <c r="AT15" s="89"/>
      <c r="AU15" s="86"/>
      <c r="AV15" s="90">
        <f t="shared" si="5"/>
        <v>8259.380000000001</v>
      </c>
      <c r="AW15" s="90">
        <f t="shared" si="0"/>
        <v>22167.84</v>
      </c>
      <c r="AX15" s="90">
        <f t="shared" si="6"/>
        <v>30427.22</v>
      </c>
      <c r="AY15" s="90">
        <v>4564.08</v>
      </c>
      <c r="AZ15" s="261">
        <f>AX15*0.15</f>
        <v>4564.0829999999996</v>
      </c>
      <c r="BA15" s="90">
        <v>3042.72</v>
      </c>
      <c r="BB15" s="261">
        <f>AX15*0.1</f>
        <v>3042.7220000000002</v>
      </c>
      <c r="BC15" s="91">
        <f t="shared" si="1"/>
        <v>8</v>
      </c>
      <c r="BD15" s="85">
        <f t="shared" si="2"/>
        <v>454.28</v>
      </c>
      <c r="BE15" s="54" t="str">
        <f t="shared" si="3"/>
        <v>20-09</v>
      </c>
      <c r="BF15" s="54">
        <f t="shared" si="4"/>
        <v>106153</v>
      </c>
      <c r="BG15" s="244">
        <f t="shared" si="7"/>
        <v>38034.022000000004</v>
      </c>
      <c r="BH15" s="235">
        <v>38034.03</v>
      </c>
    </row>
    <row r="16" spans="1:60" x14ac:dyDescent="0.2">
      <c r="A16" s="168">
        <v>106227</v>
      </c>
      <c r="B16" s="169" t="s">
        <v>174</v>
      </c>
      <c r="C16" s="170" t="s">
        <v>72</v>
      </c>
      <c r="D16" s="81" t="s">
        <v>152</v>
      </c>
      <c r="E16" s="82">
        <v>260.89999999999998</v>
      </c>
      <c r="F16" s="83"/>
      <c r="G16" s="84"/>
      <c r="H16" s="85"/>
      <c r="I16" s="83"/>
      <c r="J16" s="84"/>
      <c r="K16" s="86"/>
      <c r="L16" s="83">
        <v>1855.83</v>
      </c>
      <c r="M16" s="84">
        <v>147.84</v>
      </c>
      <c r="N16" s="87">
        <v>59.9</v>
      </c>
      <c r="O16" s="83"/>
      <c r="P16" s="84"/>
      <c r="Q16" s="87"/>
      <c r="R16" s="83"/>
      <c r="S16" s="84"/>
      <c r="T16" s="86"/>
      <c r="U16" s="83"/>
      <c r="V16" s="84"/>
      <c r="W16" s="86"/>
      <c r="X16" s="83">
        <v>542.08000000000004</v>
      </c>
      <c r="Y16" s="84">
        <v>295.37</v>
      </c>
      <c r="Z16" s="87">
        <v>77</v>
      </c>
      <c r="AA16" s="83">
        <v>91.52</v>
      </c>
      <c r="AB16" s="84">
        <v>3431.26</v>
      </c>
      <c r="AC16" s="87">
        <v>13</v>
      </c>
      <c r="AD16" s="83">
        <v>1136.6400000000001</v>
      </c>
      <c r="AE16" s="84">
        <v>4373.8</v>
      </c>
      <c r="AF16" s="87">
        <v>111</v>
      </c>
      <c r="AG16" s="83"/>
      <c r="AH16" s="84"/>
      <c r="AI16" s="86"/>
      <c r="AJ16" s="83"/>
      <c r="AK16" s="84"/>
      <c r="AL16" s="86"/>
      <c r="AM16" s="83"/>
      <c r="AN16" s="84"/>
      <c r="AO16" s="86"/>
      <c r="AP16" s="83"/>
      <c r="AQ16" s="84"/>
      <c r="AR16" s="86"/>
      <c r="AS16" s="88"/>
      <c r="AT16" s="89"/>
      <c r="AU16" s="86"/>
      <c r="AV16" s="90">
        <f t="shared" si="5"/>
        <v>3626.0699999999997</v>
      </c>
      <c r="AW16" s="90">
        <f t="shared" si="0"/>
        <v>8248.27</v>
      </c>
      <c r="AX16" s="90">
        <f t="shared" si="6"/>
        <v>11874.34</v>
      </c>
      <c r="AY16" s="90">
        <v>1781.15</v>
      </c>
      <c r="AZ16" s="261">
        <v>1781.15</v>
      </c>
      <c r="BA16" s="90">
        <v>1187.43</v>
      </c>
      <c r="BB16" s="261">
        <v>1187.43</v>
      </c>
      <c r="BC16" s="91">
        <f t="shared" si="1"/>
        <v>4</v>
      </c>
      <c r="BD16" s="85">
        <f t="shared" si="2"/>
        <v>260.89999999999998</v>
      </c>
      <c r="BE16" s="54" t="str">
        <f t="shared" si="3"/>
        <v>20-10</v>
      </c>
      <c r="BF16" s="54">
        <f t="shared" si="4"/>
        <v>106227</v>
      </c>
      <c r="BG16" s="244">
        <f>AX16+AY16+BB16+0.01</f>
        <v>14842.93</v>
      </c>
      <c r="BH16" s="235">
        <v>14842.93</v>
      </c>
    </row>
    <row r="17" spans="1:60" x14ac:dyDescent="0.2">
      <c r="A17" s="168">
        <v>106239</v>
      </c>
      <c r="B17" s="169" t="s">
        <v>175</v>
      </c>
      <c r="C17" s="170" t="s">
        <v>72</v>
      </c>
      <c r="D17" s="81" t="s">
        <v>152</v>
      </c>
      <c r="E17" s="82">
        <v>231.12</v>
      </c>
      <c r="F17" s="83">
        <v>2584.4499999999998</v>
      </c>
      <c r="G17" s="84">
        <v>0</v>
      </c>
      <c r="H17" s="85">
        <v>88.7</v>
      </c>
      <c r="I17" s="83"/>
      <c r="J17" s="84"/>
      <c r="K17" s="86"/>
      <c r="L17" s="83">
        <v>1623.85</v>
      </c>
      <c r="M17" s="84">
        <v>1937.37</v>
      </c>
      <c r="N17" s="87">
        <v>52.42</v>
      </c>
      <c r="O17" s="83"/>
      <c r="P17" s="84"/>
      <c r="Q17" s="87"/>
      <c r="R17" s="83"/>
      <c r="S17" s="84"/>
      <c r="T17" s="86"/>
      <c r="U17" s="83"/>
      <c r="V17" s="84"/>
      <c r="W17" s="86"/>
      <c r="X17" s="83">
        <v>542.08000000000004</v>
      </c>
      <c r="Y17" s="84">
        <v>312.56</v>
      </c>
      <c r="Z17" s="87">
        <v>77</v>
      </c>
      <c r="AA17" s="83">
        <v>91.52</v>
      </c>
      <c r="AB17" s="84">
        <v>3690.38</v>
      </c>
      <c r="AC17" s="87">
        <v>13</v>
      </c>
      <c r="AD17" s="83"/>
      <c r="AE17" s="84"/>
      <c r="AF17" s="87"/>
      <c r="AG17" s="83"/>
      <c r="AH17" s="84"/>
      <c r="AI17" s="86"/>
      <c r="AJ17" s="83"/>
      <c r="AK17" s="84"/>
      <c r="AL17" s="86"/>
      <c r="AM17" s="83"/>
      <c r="AN17" s="84"/>
      <c r="AO17" s="86"/>
      <c r="AP17" s="83"/>
      <c r="AQ17" s="84"/>
      <c r="AR17" s="86"/>
      <c r="AS17" s="88"/>
      <c r="AT17" s="89"/>
      <c r="AU17" s="86"/>
      <c r="AV17" s="90">
        <f t="shared" si="5"/>
        <v>4841.8999999999996</v>
      </c>
      <c r="AW17" s="90">
        <f t="shared" si="0"/>
        <v>5940.3099999999995</v>
      </c>
      <c r="AX17" s="90">
        <f t="shared" si="6"/>
        <v>10782.21</v>
      </c>
      <c r="AY17" s="90">
        <v>1617.33</v>
      </c>
      <c r="AZ17" s="261">
        <f t="shared" ref="AZ17:AZ23" si="8">AX17*0.15</f>
        <v>1617.3314999999998</v>
      </c>
      <c r="BA17" s="90">
        <v>1078.22</v>
      </c>
      <c r="BB17" s="261">
        <f t="shared" ref="BB17:BB23" si="9">AX17*0.1</f>
        <v>1078.221</v>
      </c>
      <c r="BC17" s="91">
        <f t="shared" si="1"/>
        <v>4</v>
      </c>
      <c r="BD17" s="85">
        <f t="shared" si="2"/>
        <v>231.12</v>
      </c>
      <c r="BE17" s="54" t="str">
        <f t="shared" si="3"/>
        <v>20-11</v>
      </c>
      <c r="BF17" s="54">
        <f t="shared" si="4"/>
        <v>106239</v>
      </c>
      <c r="BG17" s="244">
        <f t="shared" ref="BG17:BG23" si="10">AX17+AY17+BB17</f>
        <v>13477.760999999999</v>
      </c>
      <c r="BH17" s="235">
        <v>13477.76</v>
      </c>
    </row>
    <row r="18" spans="1:60" x14ac:dyDescent="0.2">
      <c r="A18" s="168">
        <v>106307</v>
      </c>
      <c r="B18" s="169" t="s">
        <v>176</v>
      </c>
      <c r="C18" s="170" t="s">
        <v>177</v>
      </c>
      <c r="D18" s="81" t="s">
        <v>178</v>
      </c>
      <c r="E18" s="82">
        <v>371.68</v>
      </c>
      <c r="F18" s="83">
        <v>3156.99</v>
      </c>
      <c r="G18" s="84">
        <v>24.83</v>
      </c>
      <c r="H18" s="85">
        <v>101.9</v>
      </c>
      <c r="I18" s="83">
        <v>4470.41</v>
      </c>
      <c r="J18" s="84">
        <v>4278.6899999999996</v>
      </c>
      <c r="K18" s="86">
        <v>144.30000000000001</v>
      </c>
      <c r="L18" s="83">
        <v>322.19</v>
      </c>
      <c r="M18" s="84">
        <v>787.47</v>
      </c>
      <c r="N18" s="87">
        <v>10.4</v>
      </c>
      <c r="O18" s="83">
        <v>126.4</v>
      </c>
      <c r="P18" s="84">
        <v>9.84</v>
      </c>
      <c r="Q18" s="87">
        <v>4.08</v>
      </c>
      <c r="R18" s="83"/>
      <c r="S18" s="84"/>
      <c r="T18" s="86"/>
      <c r="U18" s="83">
        <v>111.3</v>
      </c>
      <c r="V18" s="84">
        <v>437.71</v>
      </c>
      <c r="W18" s="86">
        <v>21</v>
      </c>
      <c r="X18" s="83">
        <v>111.72</v>
      </c>
      <c r="Y18" s="84">
        <v>0</v>
      </c>
      <c r="Z18" s="87">
        <v>77</v>
      </c>
      <c r="AA18" s="83">
        <v>91.52</v>
      </c>
      <c r="AB18" s="84">
        <v>7952.77</v>
      </c>
      <c r="AC18" s="87">
        <v>13</v>
      </c>
      <c r="AD18" s="83"/>
      <c r="AE18" s="84"/>
      <c r="AF18" s="87"/>
      <c r="AG18" s="83"/>
      <c r="AH18" s="84"/>
      <c r="AI18" s="86"/>
      <c r="AJ18" s="83"/>
      <c r="AK18" s="84"/>
      <c r="AL18" s="86"/>
      <c r="AM18" s="83"/>
      <c r="AN18" s="84"/>
      <c r="AO18" s="86"/>
      <c r="AP18" s="83"/>
      <c r="AQ18" s="84"/>
      <c r="AR18" s="86"/>
      <c r="AS18" s="88"/>
      <c r="AT18" s="89"/>
      <c r="AU18" s="86"/>
      <c r="AV18" s="90">
        <f t="shared" si="5"/>
        <v>8390.5299999999988</v>
      </c>
      <c r="AW18" s="90">
        <f t="shared" si="0"/>
        <v>13491.310000000001</v>
      </c>
      <c r="AX18" s="90">
        <f t="shared" si="6"/>
        <v>21881.84</v>
      </c>
      <c r="AY18" s="90">
        <v>3282.28</v>
      </c>
      <c r="AZ18" s="261">
        <f t="shared" si="8"/>
        <v>3282.2759999999998</v>
      </c>
      <c r="BA18" s="90">
        <v>2188.1799999999998</v>
      </c>
      <c r="BB18" s="261">
        <f t="shared" si="9"/>
        <v>2188.1840000000002</v>
      </c>
      <c r="BC18" s="91">
        <f t="shared" si="1"/>
        <v>7</v>
      </c>
      <c r="BD18" s="85">
        <f t="shared" si="2"/>
        <v>371.68</v>
      </c>
      <c r="BE18" s="54" t="str">
        <f t="shared" si="3"/>
        <v>20-12</v>
      </c>
      <c r="BF18" s="54">
        <f t="shared" si="4"/>
        <v>106307</v>
      </c>
      <c r="BG18" s="244">
        <f t="shared" si="10"/>
        <v>27352.304</v>
      </c>
      <c r="BH18" s="235">
        <v>27352.300000000003</v>
      </c>
    </row>
    <row r="19" spans="1:60" x14ac:dyDescent="0.2">
      <c r="A19" s="168">
        <v>101637</v>
      </c>
      <c r="B19" s="171" t="s">
        <v>179</v>
      </c>
      <c r="C19" s="172" t="s">
        <v>89</v>
      </c>
      <c r="D19" s="93" t="s">
        <v>151</v>
      </c>
      <c r="E19" s="94">
        <v>201</v>
      </c>
      <c r="F19" s="49"/>
      <c r="G19" s="90"/>
      <c r="H19" s="85"/>
      <c r="I19" s="95"/>
      <c r="J19" s="96"/>
      <c r="K19" s="129"/>
      <c r="L19" s="95"/>
      <c r="M19" s="96"/>
      <c r="N19" s="130"/>
      <c r="O19" s="95"/>
      <c r="P19" s="96"/>
      <c r="Q19" s="87"/>
      <c r="R19" s="95"/>
      <c r="S19" s="96"/>
      <c r="T19" s="131"/>
      <c r="U19" s="95"/>
      <c r="V19" s="96"/>
      <c r="W19" s="130"/>
      <c r="X19" s="95">
        <v>542.08000000000004</v>
      </c>
      <c r="Y19" s="96">
        <v>163.82</v>
      </c>
      <c r="Z19" s="87">
        <v>77</v>
      </c>
      <c r="AA19" s="95">
        <v>91.52</v>
      </c>
      <c r="AB19" s="96">
        <v>6.22</v>
      </c>
      <c r="AC19" s="87">
        <v>13</v>
      </c>
      <c r="AD19" s="95">
        <v>1136.6400000000001</v>
      </c>
      <c r="AE19" s="96">
        <v>4795.1000000000004</v>
      </c>
      <c r="AF19" s="87">
        <v>111</v>
      </c>
      <c r="AG19" s="95"/>
      <c r="AH19" s="96"/>
      <c r="AI19" s="131"/>
      <c r="AJ19" s="95"/>
      <c r="AK19" s="96"/>
      <c r="AL19" s="131"/>
      <c r="AM19" s="95"/>
      <c r="AN19" s="96"/>
      <c r="AO19" s="131"/>
      <c r="AP19" s="95"/>
      <c r="AQ19" s="96"/>
      <c r="AR19" s="131"/>
      <c r="AS19" s="95"/>
      <c r="AT19" s="96"/>
      <c r="AU19" s="131"/>
      <c r="AV19" s="90">
        <f t="shared" si="5"/>
        <v>1770.2400000000002</v>
      </c>
      <c r="AW19" s="90">
        <f t="shared" si="0"/>
        <v>4965.1400000000003</v>
      </c>
      <c r="AX19" s="90">
        <f t="shared" si="6"/>
        <v>6735.380000000001</v>
      </c>
      <c r="AY19" s="90">
        <v>1010.31</v>
      </c>
      <c r="AZ19" s="261">
        <f t="shared" si="8"/>
        <v>1010.3070000000001</v>
      </c>
      <c r="BA19" s="90">
        <v>673.54</v>
      </c>
      <c r="BB19" s="261">
        <f t="shared" si="9"/>
        <v>673.53800000000012</v>
      </c>
      <c r="BC19" s="91">
        <f t="shared" si="1"/>
        <v>3</v>
      </c>
      <c r="BD19" s="85">
        <f t="shared" si="2"/>
        <v>201</v>
      </c>
      <c r="BE19" s="54" t="str">
        <f t="shared" si="3"/>
        <v>19-39</v>
      </c>
      <c r="BF19" s="132">
        <f t="shared" si="4"/>
        <v>101637</v>
      </c>
      <c r="BG19" s="244">
        <f t="shared" si="10"/>
        <v>8419.228000000001</v>
      </c>
      <c r="BH19" s="236">
        <v>8419.23</v>
      </c>
    </row>
    <row r="20" spans="1:60" x14ac:dyDescent="0.2">
      <c r="A20" s="168">
        <v>102004</v>
      </c>
      <c r="B20" s="171" t="s">
        <v>180</v>
      </c>
      <c r="C20" s="172" t="s">
        <v>89</v>
      </c>
      <c r="D20" s="93" t="s">
        <v>152</v>
      </c>
      <c r="E20" s="94">
        <v>103.18</v>
      </c>
      <c r="F20" s="49">
        <v>2532.6799999999998</v>
      </c>
      <c r="G20" s="90">
        <v>823.33</v>
      </c>
      <c r="H20" s="85">
        <v>81.75</v>
      </c>
      <c r="I20" s="95"/>
      <c r="J20" s="96"/>
      <c r="K20" s="129"/>
      <c r="L20" s="95"/>
      <c r="M20" s="96"/>
      <c r="N20" s="130"/>
      <c r="O20" s="95">
        <v>261.22000000000003</v>
      </c>
      <c r="P20" s="96">
        <v>1993.32</v>
      </c>
      <c r="Q20" s="87">
        <v>8.43</v>
      </c>
      <c r="R20" s="95"/>
      <c r="S20" s="96"/>
      <c r="T20" s="131"/>
      <c r="U20" s="95"/>
      <c r="V20" s="96"/>
      <c r="W20" s="130"/>
      <c r="X20" s="95"/>
      <c r="Y20" s="96"/>
      <c r="Z20" s="87"/>
      <c r="AA20" s="95">
        <v>91.52</v>
      </c>
      <c r="AB20" s="96">
        <v>722.98</v>
      </c>
      <c r="AC20" s="87">
        <v>13</v>
      </c>
      <c r="AD20" s="95"/>
      <c r="AE20" s="96"/>
      <c r="AF20" s="87"/>
      <c r="AG20" s="95"/>
      <c r="AH20" s="96"/>
      <c r="AI20" s="131"/>
      <c r="AJ20" s="95"/>
      <c r="AK20" s="96"/>
      <c r="AL20" s="131"/>
      <c r="AM20" s="95"/>
      <c r="AN20" s="96"/>
      <c r="AO20" s="131"/>
      <c r="AP20" s="95"/>
      <c r="AQ20" s="96"/>
      <c r="AR20" s="131"/>
      <c r="AS20" s="95"/>
      <c r="AT20" s="96"/>
      <c r="AU20" s="131"/>
      <c r="AV20" s="90">
        <f t="shared" si="5"/>
        <v>2885.4199999999996</v>
      </c>
      <c r="AW20" s="90">
        <f t="shared" si="0"/>
        <v>3539.63</v>
      </c>
      <c r="AX20" s="90">
        <f t="shared" si="6"/>
        <v>6425.0499999999993</v>
      </c>
      <c r="AY20" s="90">
        <v>963.76</v>
      </c>
      <c r="AZ20" s="261">
        <f t="shared" si="8"/>
        <v>963.75749999999982</v>
      </c>
      <c r="BA20" s="90">
        <v>642.51</v>
      </c>
      <c r="BB20" s="261">
        <f t="shared" si="9"/>
        <v>642.505</v>
      </c>
      <c r="BC20" s="91">
        <f t="shared" si="1"/>
        <v>3</v>
      </c>
      <c r="BD20" s="85">
        <f t="shared" si="2"/>
        <v>103.18</v>
      </c>
      <c r="BE20" s="54" t="str">
        <f t="shared" si="3"/>
        <v>19-45</v>
      </c>
      <c r="BF20" s="132">
        <f t="shared" si="4"/>
        <v>102004</v>
      </c>
      <c r="BG20" s="244">
        <f t="shared" si="10"/>
        <v>8031.3149999999996</v>
      </c>
      <c r="BH20" s="236">
        <v>8031.31</v>
      </c>
    </row>
    <row r="21" spans="1:60" s="133" customFormat="1" x14ac:dyDescent="0.2">
      <c r="A21" s="173">
        <v>106498</v>
      </c>
      <c r="B21" s="169" t="s">
        <v>181</v>
      </c>
      <c r="C21" s="170" t="s">
        <v>66</v>
      </c>
      <c r="D21" s="81" t="s">
        <v>152</v>
      </c>
      <c r="E21" s="82">
        <v>111</v>
      </c>
      <c r="F21" s="83"/>
      <c r="G21" s="84"/>
      <c r="H21" s="85"/>
      <c r="I21" s="83"/>
      <c r="J21" s="84"/>
      <c r="K21" s="86"/>
      <c r="L21" s="83"/>
      <c r="M21" s="84"/>
      <c r="N21" s="87"/>
      <c r="O21" s="83"/>
      <c r="P21" s="84"/>
      <c r="Q21" s="87"/>
      <c r="R21" s="83"/>
      <c r="S21" s="84"/>
      <c r="T21" s="86"/>
      <c r="U21" s="83"/>
      <c r="V21" s="84"/>
      <c r="W21" s="86"/>
      <c r="X21" s="83"/>
      <c r="Y21" s="84"/>
      <c r="Z21" s="87"/>
      <c r="AA21" s="83"/>
      <c r="AB21" s="84"/>
      <c r="AC21" s="87"/>
      <c r="AD21" s="95">
        <v>1136.6400000000001</v>
      </c>
      <c r="AE21" s="84">
        <v>6363.36</v>
      </c>
      <c r="AF21" s="87">
        <v>111</v>
      </c>
      <c r="AG21" s="83"/>
      <c r="AH21" s="84"/>
      <c r="AI21" s="86"/>
      <c r="AJ21" s="83"/>
      <c r="AK21" s="84"/>
      <c r="AL21" s="86"/>
      <c r="AM21" s="83"/>
      <c r="AN21" s="84"/>
      <c r="AO21" s="86"/>
      <c r="AP21" s="83"/>
      <c r="AQ21" s="84"/>
      <c r="AR21" s="86"/>
      <c r="AS21" s="88"/>
      <c r="AT21" s="89"/>
      <c r="AU21" s="86"/>
      <c r="AV21" s="90">
        <f>F21+I21+L21+R21+O21+U21+X21+AA21+AD21+AG21+AJ21+AM21+AP21+AS21</f>
        <v>1136.6400000000001</v>
      </c>
      <c r="AW21" s="90">
        <f t="shared" si="0"/>
        <v>6363.36</v>
      </c>
      <c r="AX21" s="90">
        <f t="shared" si="6"/>
        <v>7500</v>
      </c>
      <c r="AY21" s="90">
        <v>1125</v>
      </c>
      <c r="AZ21" s="261">
        <f t="shared" si="8"/>
        <v>1125</v>
      </c>
      <c r="BA21" s="90">
        <v>750</v>
      </c>
      <c r="BB21" s="261">
        <f t="shared" si="9"/>
        <v>750</v>
      </c>
      <c r="BC21" s="91">
        <f t="shared" si="1"/>
        <v>1</v>
      </c>
      <c r="BD21" s="85">
        <f t="shared" si="2"/>
        <v>111</v>
      </c>
      <c r="BE21" s="54" t="str">
        <f t="shared" si="3"/>
        <v>20-13</v>
      </c>
      <c r="BF21" s="54">
        <f t="shared" si="4"/>
        <v>106498</v>
      </c>
      <c r="BG21" s="244">
        <f t="shared" si="10"/>
        <v>9375</v>
      </c>
      <c r="BH21" s="235">
        <v>9375</v>
      </c>
    </row>
    <row r="22" spans="1:60" x14ac:dyDescent="0.2">
      <c r="A22" s="168">
        <v>106499</v>
      </c>
      <c r="B22" s="169" t="s">
        <v>182</v>
      </c>
      <c r="C22" s="170" t="s">
        <v>72</v>
      </c>
      <c r="D22" s="81" t="s">
        <v>151</v>
      </c>
      <c r="E22" s="82">
        <v>111</v>
      </c>
      <c r="F22" s="83"/>
      <c r="G22" s="84"/>
      <c r="H22" s="85"/>
      <c r="I22" s="83"/>
      <c r="J22" s="84"/>
      <c r="K22" s="86"/>
      <c r="L22" s="83"/>
      <c r="M22" s="84"/>
      <c r="N22" s="87"/>
      <c r="O22" s="83"/>
      <c r="P22" s="84"/>
      <c r="Q22" s="87"/>
      <c r="R22" s="83"/>
      <c r="S22" s="84"/>
      <c r="T22" s="86"/>
      <c r="U22" s="83"/>
      <c r="V22" s="84"/>
      <c r="W22" s="86"/>
      <c r="X22" s="83"/>
      <c r="Y22" s="84"/>
      <c r="Z22" s="87"/>
      <c r="AA22" s="83"/>
      <c r="AB22" s="84"/>
      <c r="AC22" s="87"/>
      <c r="AD22" s="83">
        <v>1136.6400000000001</v>
      </c>
      <c r="AE22" s="84">
        <v>8994.52</v>
      </c>
      <c r="AF22" s="87">
        <v>111</v>
      </c>
      <c r="AG22" s="83"/>
      <c r="AH22" s="84"/>
      <c r="AI22" s="86"/>
      <c r="AJ22" s="83"/>
      <c r="AK22" s="84"/>
      <c r="AL22" s="86"/>
      <c r="AM22" s="83"/>
      <c r="AN22" s="84"/>
      <c r="AO22" s="86"/>
      <c r="AP22" s="83"/>
      <c r="AQ22" s="84"/>
      <c r="AR22" s="86"/>
      <c r="AS22" s="88"/>
      <c r="AT22" s="89"/>
      <c r="AU22" s="86"/>
      <c r="AV22" s="90">
        <f t="shared" si="5"/>
        <v>1136.6400000000001</v>
      </c>
      <c r="AW22" s="90">
        <f t="shared" si="0"/>
        <v>8994.52</v>
      </c>
      <c r="AX22" s="90">
        <f t="shared" si="6"/>
        <v>10131.16</v>
      </c>
      <c r="AY22" s="90">
        <v>1519.67</v>
      </c>
      <c r="AZ22" s="261">
        <f t="shared" si="8"/>
        <v>1519.674</v>
      </c>
      <c r="BA22" s="90">
        <v>1013.12</v>
      </c>
      <c r="BB22" s="261">
        <f t="shared" si="9"/>
        <v>1013.116</v>
      </c>
      <c r="BC22" s="91">
        <f t="shared" si="1"/>
        <v>1</v>
      </c>
      <c r="BD22" s="85">
        <f t="shared" si="2"/>
        <v>111</v>
      </c>
      <c r="BE22" s="54" t="str">
        <f t="shared" si="3"/>
        <v>20-14</v>
      </c>
      <c r="BF22" s="54">
        <f t="shared" si="4"/>
        <v>106499</v>
      </c>
      <c r="BG22" s="244">
        <f t="shared" si="10"/>
        <v>12663.946</v>
      </c>
      <c r="BH22" s="235">
        <v>12663.949999999999</v>
      </c>
    </row>
    <row r="23" spans="1:60" ht="12.6" customHeight="1" x14ac:dyDescent="0.2">
      <c r="A23" s="168">
        <v>106503</v>
      </c>
      <c r="B23" s="169" t="s">
        <v>183</v>
      </c>
      <c r="C23" s="170" t="s">
        <v>72</v>
      </c>
      <c r="D23" s="81" t="s">
        <v>178</v>
      </c>
      <c r="E23" s="82">
        <v>126.34</v>
      </c>
      <c r="F23" s="83">
        <v>3511.4</v>
      </c>
      <c r="G23" s="84">
        <v>2475.79</v>
      </c>
      <c r="H23" s="85">
        <v>113.34</v>
      </c>
      <c r="I23" s="83"/>
      <c r="J23" s="84"/>
      <c r="K23" s="86"/>
      <c r="L23" s="83"/>
      <c r="M23" s="84"/>
      <c r="N23" s="87"/>
      <c r="O23" s="83"/>
      <c r="P23" s="84"/>
      <c r="Q23" s="87"/>
      <c r="R23" s="83"/>
      <c r="S23" s="84"/>
      <c r="T23" s="86"/>
      <c r="U23" s="83"/>
      <c r="V23" s="84"/>
      <c r="W23" s="86"/>
      <c r="X23" s="83"/>
      <c r="Y23" s="84"/>
      <c r="Z23" s="87"/>
      <c r="AA23" s="83">
        <v>91.52</v>
      </c>
      <c r="AB23" s="84">
        <v>2210.7800000000002</v>
      </c>
      <c r="AC23" s="87">
        <v>13</v>
      </c>
      <c r="AD23" s="83"/>
      <c r="AE23" s="84"/>
      <c r="AF23" s="87"/>
      <c r="AG23" s="83"/>
      <c r="AH23" s="84"/>
      <c r="AI23" s="86"/>
      <c r="AJ23" s="83"/>
      <c r="AK23" s="84"/>
      <c r="AL23" s="86"/>
      <c r="AM23" s="83"/>
      <c r="AN23" s="84"/>
      <c r="AO23" s="86"/>
      <c r="AP23" s="83"/>
      <c r="AQ23" s="84"/>
      <c r="AR23" s="86"/>
      <c r="AS23" s="88"/>
      <c r="AT23" s="89"/>
      <c r="AU23" s="86"/>
      <c r="AV23" s="90">
        <f t="shared" si="5"/>
        <v>3602.92</v>
      </c>
      <c r="AW23" s="90">
        <f t="shared" si="0"/>
        <v>4686.57</v>
      </c>
      <c r="AX23" s="90">
        <f t="shared" si="6"/>
        <v>8289.49</v>
      </c>
      <c r="AY23" s="90">
        <v>1243.42</v>
      </c>
      <c r="AZ23" s="261">
        <f t="shared" si="8"/>
        <v>1243.4234999999999</v>
      </c>
      <c r="BA23" s="90">
        <v>828.95</v>
      </c>
      <c r="BB23" s="261">
        <f t="shared" si="9"/>
        <v>828.94900000000007</v>
      </c>
      <c r="BC23" s="91">
        <f t="shared" si="1"/>
        <v>2</v>
      </c>
      <c r="BD23" s="85">
        <f t="shared" si="2"/>
        <v>126.34</v>
      </c>
      <c r="BE23" s="54" t="str">
        <f t="shared" si="3"/>
        <v>20-15</v>
      </c>
      <c r="BF23" s="54">
        <f t="shared" si="4"/>
        <v>106503</v>
      </c>
      <c r="BG23" s="244">
        <f t="shared" si="10"/>
        <v>10361.859</v>
      </c>
      <c r="BH23" s="235">
        <v>10361.86</v>
      </c>
    </row>
    <row r="24" spans="1:60" x14ac:dyDescent="0.2">
      <c r="A24" s="168">
        <v>106896</v>
      </c>
      <c r="B24" s="169" t="s">
        <v>184</v>
      </c>
      <c r="C24" s="170" t="s">
        <v>71</v>
      </c>
      <c r="D24" s="81" t="s">
        <v>152</v>
      </c>
      <c r="E24" s="82">
        <v>235.51</v>
      </c>
      <c r="F24" s="83">
        <v>1365.5</v>
      </c>
      <c r="G24" s="84">
        <v>0</v>
      </c>
      <c r="H24" s="85">
        <v>55.92</v>
      </c>
      <c r="I24" s="83">
        <v>38.97</v>
      </c>
      <c r="J24" s="84">
        <v>290.02999999999997</v>
      </c>
      <c r="K24" s="86">
        <v>1.26</v>
      </c>
      <c r="L24" s="83">
        <v>2036.25</v>
      </c>
      <c r="M24" s="84">
        <v>5240.08</v>
      </c>
      <c r="N24" s="87">
        <v>65.73</v>
      </c>
      <c r="O24" s="83">
        <v>58.99</v>
      </c>
      <c r="P24" s="84">
        <v>346.01</v>
      </c>
      <c r="Q24" s="87">
        <v>1.9</v>
      </c>
      <c r="R24" s="83"/>
      <c r="S24" s="84"/>
      <c r="T24" s="86"/>
      <c r="U24" s="83">
        <v>111.3</v>
      </c>
      <c r="V24" s="84">
        <v>298.69</v>
      </c>
      <c r="W24" s="86">
        <v>21</v>
      </c>
      <c r="X24" s="83">
        <v>542.08000000000004</v>
      </c>
      <c r="Y24" s="84">
        <v>308.92</v>
      </c>
      <c r="Z24" s="87">
        <v>77</v>
      </c>
      <c r="AA24" s="83">
        <v>91.52</v>
      </c>
      <c r="AB24" s="84">
        <v>2518.48</v>
      </c>
      <c r="AC24" s="87">
        <v>13</v>
      </c>
      <c r="AD24" s="83"/>
      <c r="AE24" s="84"/>
      <c r="AF24" s="87"/>
      <c r="AG24" s="83"/>
      <c r="AH24" s="84"/>
      <c r="AI24" s="86"/>
      <c r="AJ24" s="83"/>
      <c r="AK24" s="84"/>
      <c r="AL24" s="86"/>
      <c r="AM24" s="83"/>
      <c r="AN24" s="84"/>
      <c r="AO24" s="86"/>
      <c r="AP24" s="83"/>
      <c r="AQ24" s="84"/>
      <c r="AR24" s="86"/>
      <c r="AS24" s="88"/>
      <c r="AT24" s="89"/>
      <c r="AU24" s="86"/>
      <c r="AV24" s="90">
        <f t="shared" si="5"/>
        <v>4244.6100000000006</v>
      </c>
      <c r="AW24" s="90">
        <f t="shared" si="0"/>
        <v>9002.2099999999991</v>
      </c>
      <c r="AX24" s="90">
        <v>13246.82</v>
      </c>
      <c r="AY24" s="90">
        <v>1987.02</v>
      </c>
      <c r="AZ24" s="261">
        <v>1987.02</v>
      </c>
      <c r="BA24" s="90">
        <v>1324.68</v>
      </c>
      <c r="BB24" s="261">
        <v>1324.68</v>
      </c>
      <c r="BC24" s="91">
        <f t="shared" si="1"/>
        <v>7</v>
      </c>
      <c r="BD24" s="85">
        <f t="shared" si="2"/>
        <v>235.81</v>
      </c>
      <c r="BE24" s="54" t="str">
        <f t="shared" si="3"/>
        <v>20-16</v>
      </c>
      <c r="BF24" s="54">
        <f t="shared" si="4"/>
        <v>106896</v>
      </c>
      <c r="BG24" s="244">
        <f>AX24+AY24+BB24+0.01</f>
        <v>16558.53</v>
      </c>
      <c r="BH24" s="235">
        <v>16558.53</v>
      </c>
    </row>
    <row r="25" spans="1:60" x14ac:dyDescent="0.2">
      <c r="A25" s="168">
        <v>107429</v>
      </c>
      <c r="B25" s="169" t="s">
        <v>185</v>
      </c>
      <c r="C25" s="170" t="s">
        <v>73</v>
      </c>
      <c r="D25" s="81" t="s">
        <v>151</v>
      </c>
      <c r="E25" s="82">
        <v>304.39999999999998</v>
      </c>
      <c r="F25" s="83">
        <v>2154.71</v>
      </c>
      <c r="G25" s="49">
        <v>0</v>
      </c>
      <c r="H25" s="92">
        <v>180.4</v>
      </c>
      <c r="I25" s="83"/>
      <c r="J25" s="84"/>
      <c r="K25" s="85"/>
      <c r="L25" s="83"/>
      <c r="M25" s="84"/>
      <c r="N25" s="87"/>
      <c r="O25" s="83"/>
      <c r="P25" s="84"/>
      <c r="Q25" s="87"/>
      <c r="R25" s="83"/>
      <c r="S25" s="84"/>
      <c r="T25" s="86"/>
      <c r="U25" s="83">
        <v>111.3</v>
      </c>
      <c r="V25" s="84">
        <v>845.86</v>
      </c>
      <c r="W25" s="86">
        <v>21</v>
      </c>
      <c r="X25" s="83"/>
      <c r="Y25" s="84"/>
      <c r="Z25" s="87"/>
      <c r="AA25" s="83">
        <v>91.52</v>
      </c>
      <c r="AB25" s="84">
        <v>1214.99</v>
      </c>
      <c r="AC25" s="87">
        <v>13</v>
      </c>
      <c r="AD25" s="83"/>
      <c r="AE25" s="84"/>
      <c r="AF25" s="87"/>
      <c r="AG25" s="83"/>
      <c r="AH25" s="84"/>
      <c r="AI25" s="86"/>
      <c r="AJ25" s="83"/>
      <c r="AK25" s="84"/>
      <c r="AL25" s="86"/>
      <c r="AM25" s="83"/>
      <c r="AN25" s="84"/>
      <c r="AO25" s="86"/>
      <c r="AP25" s="83"/>
      <c r="AQ25" s="84"/>
      <c r="AR25" s="86"/>
      <c r="AS25" s="88"/>
      <c r="AT25" s="89"/>
      <c r="AU25" s="86"/>
      <c r="AV25" s="90">
        <f t="shared" si="5"/>
        <v>2357.5300000000002</v>
      </c>
      <c r="AW25" s="90">
        <f t="shared" si="0"/>
        <v>2060.85</v>
      </c>
      <c r="AX25" s="90">
        <f t="shared" si="6"/>
        <v>4418.38</v>
      </c>
      <c r="AY25" s="90">
        <v>662.76</v>
      </c>
      <c r="AZ25" s="261">
        <v>662.76</v>
      </c>
      <c r="BA25" s="90">
        <v>441.84</v>
      </c>
      <c r="BB25" s="261">
        <v>441.84</v>
      </c>
      <c r="BC25" s="91">
        <f t="shared" si="1"/>
        <v>3</v>
      </c>
      <c r="BD25" s="85">
        <f t="shared" si="2"/>
        <v>214.4</v>
      </c>
      <c r="BE25" s="54" t="str">
        <f t="shared" si="3"/>
        <v>20-17</v>
      </c>
      <c r="BF25" s="54">
        <f t="shared" si="4"/>
        <v>107429</v>
      </c>
      <c r="BG25" s="244">
        <f t="shared" ref="BG25:BG33" si="11">AX25+AY25+BB25</f>
        <v>5522.9800000000005</v>
      </c>
      <c r="BH25" s="235">
        <v>5522.9800000000005</v>
      </c>
    </row>
    <row r="26" spans="1:60" x14ac:dyDescent="0.2">
      <c r="A26" s="168">
        <v>107430</v>
      </c>
      <c r="B26" s="169" t="s">
        <v>186</v>
      </c>
      <c r="C26" s="170" t="s">
        <v>73</v>
      </c>
      <c r="D26" s="81" t="s">
        <v>151</v>
      </c>
      <c r="E26" s="82">
        <v>254.74</v>
      </c>
      <c r="F26" s="83">
        <v>1791.36</v>
      </c>
      <c r="G26" s="84">
        <v>0</v>
      </c>
      <c r="H26" s="85">
        <v>69.17</v>
      </c>
      <c r="I26" s="83">
        <v>1907.38</v>
      </c>
      <c r="J26" s="84">
        <v>1294.25</v>
      </c>
      <c r="K26" s="86">
        <v>61.57</v>
      </c>
      <c r="L26" s="83"/>
      <c r="M26" s="84"/>
      <c r="N26" s="87"/>
      <c r="O26" s="83"/>
      <c r="P26" s="84"/>
      <c r="Q26" s="87"/>
      <c r="R26" s="83"/>
      <c r="S26" s="84"/>
      <c r="T26" s="86"/>
      <c r="U26" s="83"/>
      <c r="V26" s="84"/>
      <c r="W26" s="86"/>
      <c r="X26" s="83"/>
      <c r="Y26" s="84"/>
      <c r="Z26" s="87"/>
      <c r="AA26" s="83">
        <v>91.52</v>
      </c>
      <c r="AB26" s="84">
        <v>571.6</v>
      </c>
      <c r="AC26" s="87">
        <v>13</v>
      </c>
      <c r="AD26" s="83">
        <v>1136.6400000000001</v>
      </c>
      <c r="AE26" s="84">
        <v>3880.63</v>
      </c>
      <c r="AF26" s="87">
        <v>111</v>
      </c>
      <c r="AG26" s="83"/>
      <c r="AH26" s="84"/>
      <c r="AI26" s="86"/>
      <c r="AJ26" s="83"/>
      <c r="AK26" s="84"/>
      <c r="AL26" s="86"/>
      <c r="AM26" s="83"/>
      <c r="AN26" s="84"/>
      <c r="AO26" s="86"/>
      <c r="AP26" s="83"/>
      <c r="AQ26" s="84"/>
      <c r="AR26" s="86"/>
      <c r="AS26" s="88"/>
      <c r="AT26" s="89"/>
      <c r="AU26" s="86"/>
      <c r="AV26" s="90">
        <f t="shared" si="5"/>
        <v>4926.8999999999996</v>
      </c>
      <c r="AW26" s="90">
        <f t="shared" si="0"/>
        <v>5746.48</v>
      </c>
      <c r="AX26" s="90">
        <f t="shared" si="6"/>
        <v>10673.38</v>
      </c>
      <c r="AY26" s="90">
        <v>1601.01</v>
      </c>
      <c r="AZ26" s="261">
        <v>1601.01</v>
      </c>
      <c r="BA26" s="90">
        <v>1067.3399999999999</v>
      </c>
      <c r="BB26" s="261">
        <v>1067.3399999999999</v>
      </c>
      <c r="BC26" s="91">
        <f t="shared" si="1"/>
        <v>4</v>
      </c>
      <c r="BD26" s="85">
        <f t="shared" si="2"/>
        <v>254.74</v>
      </c>
      <c r="BE26" s="54" t="str">
        <f t="shared" si="3"/>
        <v>20-18</v>
      </c>
      <c r="BF26" s="54">
        <f t="shared" si="4"/>
        <v>107430</v>
      </c>
      <c r="BG26" s="244">
        <f t="shared" si="11"/>
        <v>13341.73</v>
      </c>
      <c r="BH26" s="235">
        <v>13341.73</v>
      </c>
    </row>
    <row r="27" spans="1:60" x14ac:dyDescent="0.2">
      <c r="A27" s="168">
        <v>107468</v>
      </c>
      <c r="B27" s="169" t="s">
        <v>187</v>
      </c>
      <c r="C27" s="170" t="s">
        <v>71</v>
      </c>
      <c r="D27" s="81" t="s">
        <v>152</v>
      </c>
      <c r="E27" s="82">
        <v>173.94</v>
      </c>
      <c r="F27" s="83"/>
      <c r="G27" s="84"/>
      <c r="H27" s="85"/>
      <c r="I27" s="83"/>
      <c r="J27" s="84"/>
      <c r="K27" s="86"/>
      <c r="L27" s="83">
        <v>1768.83</v>
      </c>
      <c r="M27" s="84">
        <v>1373.16</v>
      </c>
      <c r="N27" s="87">
        <v>57.1</v>
      </c>
      <c r="O27" s="83">
        <v>181.17</v>
      </c>
      <c r="P27" s="84">
        <v>434.54</v>
      </c>
      <c r="Q27" s="87">
        <v>5.85</v>
      </c>
      <c r="R27" s="83"/>
      <c r="S27" s="84"/>
      <c r="T27" s="86"/>
      <c r="U27" s="83">
        <v>111.3</v>
      </c>
      <c r="V27" s="84">
        <v>167.7</v>
      </c>
      <c r="W27" s="86">
        <v>21</v>
      </c>
      <c r="X27" s="83">
        <v>542.08000000000004</v>
      </c>
      <c r="Y27" s="84">
        <v>2480.8200000000002</v>
      </c>
      <c r="Z27" s="87">
        <v>77</v>
      </c>
      <c r="AA27" s="83">
        <v>91.52</v>
      </c>
      <c r="AB27" s="84">
        <v>2448.48</v>
      </c>
      <c r="AC27" s="87">
        <v>13</v>
      </c>
      <c r="AD27" s="83"/>
      <c r="AE27" s="84"/>
      <c r="AF27" s="87"/>
      <c r="AG27" s="83"/>
      <c r="AH27" s="84"/>
      <c r="AI27" s="86"/>
      <c r="AJ27" s="83"/>
      <c r="AK27" s="84"/>
      <c r="AL27" s="86"/>
      <c r="AM27" s="83"/>
      <c r="AN27" s="84"/>
      <c r="AO27" s="86"/>
      <c r="AP27" s="83"/>
      <c r="AQ27" s="84"/>
      <c r="AR27" s="86"/>
      <c r="AS27" s="88"/>
      <c r="AT27" s="89"/>
      <c r="AU27" s="86"/>
      <c r="AV27" s="90">
        <f t="shared" si="5"/>
        <v>2694.9</v>
      </c>
      <c r="AW27" s="90">
        <f>G27+J27+M27+S27+P27+V27+Y27+AB27+AE27+AH27+AK27+AN27+AQ27+AT27-0.01</f>
        <v>6904.6900000000005</v>
      </c>
      <c r="AX27" s="90">
        <f>AV27+AW27+0.01</f>
        <v>9599.6</v>
      </c>
      <c r="AY27" s="90">
        <v>1439.94</v>
      </c>
      <c r="AZ27" s="261">
        <f t="shared" ref="AZ27:AZ43" si="12">AX27*0.15</f>
        <v>1439.94</v>
      </c>
      <c r="BA27" s="90">
        <v>959.97</v>
      </c>
      <c r="BB27" s="261">
        <f t="shared" ref="BB27:BB44" si="13">AX27*0.1</f>
        <v>959.96</v>
      </c>
      <c r="BC27" s="91">
        <f t="shared" si="1"/>
        <v>5</v>
      </c>
      <c r="BD27" s="85">
        <f t="shared" si="2"/>
        <v>173.95</v>
      </c>
      <c r="BE27" s="54" t="str">
        <f t="shared" si="3"/>
        <v>20-19</v>
      </c>
      <c r="BF27" s="54">
        <f t="shared" si="4"/>
        <v>107468</v>
      </c>
      <c r="BG27" s="244">
        <f t="shared" si="11"/>
        <v>11999.5</v>
      </c>
      <c r="BH27" s="235">
        <v>11999.5</v>
      </c>
    </row>
    <row r="28" spans="1:60" x14ac:dyDescent="0.2">
      <c r="A28" s="168">
        <v>108115</v>
      </c>
      <c r="B28" s="169" t="s">
        <v>188</v>
      </c>
      <c r="C28" s="170" t="s">
        <v>72</v>
      </c>
      <c r="D28" s="81" t="s">
        <v>178</v>
      </c>
      <c r="E28" s="82">
        <v>280.88</v>
      </c>
      <c r="F28" s="83">
        <v>2410.5300000000002</v>
      </c>
      <c r="G28" s="84">
        <v>0</v>
      </c>
      <c r="H28" s="85">
        <v>118.27</v>
      </c>
      <c r="I28" s="83"/>
      <c r="J28" s="84"/>
      <c r="K28" s="86"/>
      <c r="L28" s="83">
        <v>2165.13</v>
      </c>
      <c r="M28" s="84">
        <v>4232.3500000000004</v>
      </c>
      <c r="N28" s="87">
        <v>69.89</v>
      </c>
      <c r="O28" s="83">
        <v>84.27</v>
      </c>
      <c r="P28" s="84">
        <v>81.39</v>
      </c>
      <c r="Q28" s="87">
        <v>2.72</v>
      </c>
      <c r="R28" s="83"/>
      <c r="S28" s="84"/>
      <c r="T28" s="86"/>
      <c r="U28" s="83"/>
      <c r="V28" s="84"/>
      <c r="W28" s="86"/>
      <c r="X28" s="83">
        <v>542.08000000000004</v>
      </c>
      <c r="Y28" s="84">
        <v>1494</v>
      </c>
      <c r="Z28" s="87">
        <v>77</v>
      </c>
      <c r="AA28" s="83">
        <v>91.52</v>
      </c>
      <c r="AB28" s="84">
        <v>3527.46</v>
      </c>
      <c r="AC28" s="87">
        <v>13</v>
      </c>
      <c r="AD28" s="83"/>
      <c r="AE28" s="84"/>
      <c r="AF28" s="87"/>
      <c r="AG28" s="83"/>
      <c r="AH28" s="84"/>
      <c r="AI28" s="86"/>
      <c r="AJ28" s="83"/>
      <c r="AK28" s="84"/>
      <c r="AL28" s="86"/>
      <c r="AM28" s="83"/>
      <c r="AN28" s="84"/>
      <c r="AO28" s="86"/>
      <c r="AP28" s="83"/>
      <c r="AQ28" s="84"/>
      <c r="AR28" s="86"/>
      <c r="AS28" s="88"/>
      <c r="AT28" s="89"/>
      <c r="AU28" s="86"/>
      <c r="AV28" s="90">
        <f t="shared" si="5"/>
        <v>5293.5300000000007</v>
      </c>
      <c r="AW28" s="90">
        <f t="shared" si="0"/>
        <v>9335.2000000000007</v>
      </c>
      <c r="AX28" s="90">
        <f t="shared" si="6"/>
        <v>14628.730000000001</v>
      </c>
      <c r="AY28" s="90">
        <v>2194.31</v>
      </c>
      <c r="AZ28" s="261">
        <f t="shared" si="12"/>
        <v>2194.3095000000003</v>
      </c>
      <c r="BA28" s="90">
        <v>1462.87</v>
      </c>
      <c r="BB28" s="261">
        <f t="shared" si="13"/>
        <v>1462.8730000000003</v>
      </c>
      <c r="BC28" s="91">
        <f t="shared" si="1"/>
        <v>5</v>
      </c>
      <c r="BD28" s="85">
        <f t="shared" si="2"/>
        <v>280.88</v>
      </c>
      <c r="BE28" s="54" t="str">
        <f t="shared" si="3"/>
        <v>20-20</v>
      </c>
      <c r="BF28" s="54">
        <f t="shared" si="4"/>
        <v>108115</v>
      </c>
      <c r="BG28" s="244">
        <f t="shared" si="11"/>
        <v>18285.913</v>
      </c>
      <c r="BH28" s="235">
        <v>18285.91</v>
      </c>
    </row>
    <row r="29" spans="1:60" x14ac:dyDescent="0.2">
      <c r="A29" s="168">
        <v>108117</v>
      </c>
      <c r="B29" s="169" t="s">
        <v>189</v>
      </c>
      <c r="C29" s="170" t="s">
        <v>71</v>
      </c>
      <c r="D29" s="81" t="s">
        <v>152</v>
      </c>
      <c r="E29" s="82">
        <v>386.91</v>
      </c>
      <c r="F29" s="83">
        <v>4885.42</v>
      </c>
      <c r="G29" s="84">
        <v>40.58</v>
      </c>
      <c r="H29" s="85">
        <v>157.69999999999999</v>
      </c>
      <c r="I29" s="83"/>
      <c r="J29" s="84"/>
      <c r="K29" s="86"/>
      <c r="L29" s="83">
        <v>3611.77</v>
      </c>
      <c r="M29" s="84">
        <v>4435.63</v>
      </c>
      <c r="N29" s="87">
        <v>116.58</v>
      </c>
      <c r="O29" s="83">
        <v>50.56</v>
      </c>
      <c r="P29" s="84">
        <v>309.44</v>
      </c>
      <c r="Q29" s="87">
        <v>1.63</v>
      </c>
      <c r="R29" s="83"/>
      <c r="S29" s="84"/>
      <c r="T29" s="86"/>
      <c r="U29" s="83">
        <v>111.3</v>
      </c>
      <c r="V29" s="84">
        <v>854.38</v>
      </c>
      <c r="W29" s="86">
        <v>21</v>
      </c>
      <c r="X29" s="83">
        <v>542.08000000000004</v>
      </c>
      <c r="Y29" s="84">
        <v>451.92</v>
      </c>
      <c r="Z29" s="87">
        <v>77</v>
      </c>
      <c r="AA29" s="83">
        <v>91.52</v>
      </c>
      <c r="AB29" s="84">
        <v>2198.48</v>
      </c>
      <c r="AC29" s="87">
        <v>13</v>
      </c>
      <c r="AD29" s="83"/>
      <c r="AE29" s="84"/>
      <c r="AF29" s="87"/>
      <c r="AG29" s="83"/>
      <c r="AH29" s="84"/>
      <c r="AI29" s="86"/>
      <c r="AJ29" s="83"/>
      <c r="AK29" s="84"/>
      <c r="AL29" s="86"/>
      <c r="AM29" s="83"/>
      <c r="AN29" s="84"/>
      <c r="AO29" s="86"/>
      <c r="AP29" s="83"/>
      <c r="AQ29" s="84"/>
      <c r="AR29" s="86"/>
      <c r="AS29" s="88"/>
      <c r="AT29" s="89"/>
      <c r="AU29" s="86"/>
      <c r="AV29" s="90">
        <f t="shared" si="5"/>
        <v>9292.65</v>
      </c>
      <c r="AW29" s="90">
        <f t="shared" si="0"/>
        <v>8290.43</v>
      </c>
      <c r="AX29" s="90">
        <f t="shared" si="6"/>
        <v>17583.080000000002</v>
      </c>
      <c r="AY29" s="90">
        <v>2637.46</v>
      </c>
      <c r="AZ29" s="261">
        <f t="shared" si="12"/>
        <v>2637.462</v>
      </c>
      <c r="BA29" s="90">
        <v>1758.31</v>
      </c>
      <c r="BB29" s="261">
        <f t="shared" si="13"/>
        <v>1758.3080000000002</v>
      </c>
      <c r="BC29" s="91">
        <f t="shared" si="1"/>
        <v>6</v>
      </c>
      <c r="BD29" s="85">
        <f t="shared" si="2"/>
        <v>386.90999999999997</v>
      </c>
      <c r="BE29" s="54" t="str">
        <f t="shared" si="3"/>
        <v>20-21</v>
      </c>
      <c r="BF29" s="54">
        <f t="shared" si="4"/>
        <v>108117</v>
      </c>
      <c r="BG29" s="244">
        <f t="shared" si="11"/>
        <v>21978.848000000002</v>
      </c>
      <c r="BH29" s="235">
        <v>21978.850000000002</v>
      </c>
    </row>
    <row r="30" spans="1:60" x14ac:dyDescent="0.2">
      <c r="A30" s="168">
        <v>108222</v>
      </c>
      <c r="B30" s="169" t="s">
        <v>190</v>
      </c>
      <c r="C30" s="170" t="s">
        <v>70</v>
      </c>
      <c r="D30" s="81" t="s">
        <v>151</v>
      </c>
      <c r="E30" s="82">
        <v>160.22</v>
      </c>
      <c r="F30" s="83">
        <v>363.59</v>
      </c>
      <c r="G30" s="84">
        <v>0</v>
      </c>
      <c r="H30" s="85">
        <v>80.7</v>
      </c>
      <c r="I30" s="83"/>
      <c r="J30" s="84"/>
      <c r="K30" s="86"/>
      <c r="L30" s="83">
        <v>1477.25</v>
      </c>
      <c r="M30" s="84">
        <v>2407.96</v>
      </c>
      <c r="N30" s="87">
        <v>47.68</v>
      </c>
      <c r="O30" s="83">
        <v>273.86</v>
      </c>
      <c r="P30" s="84">
        <v>86.99</v>
      </c>
      <c r="Q30" s="87">
        <v>8.84</v>
      </c>
      <c r="R30" s="83"/>
      <c r="S30" s="84"/>
      <c r="T30" s="86"/>
      <c r="U30" s="83"/>
      <c r="V30" s="84"/>
      <c r="W30" s="86"/>
      <c r="X30" s="83"/>
      <c r="Y30" s="84"/>
      <c r="Z30" s="87"/>
      <c r="AA30" s="83">
        <v>91.52</v>
      </c>
      <c r="AB30" s="84">
        <v>2536</v>
      </c>
      <c r="AC30" s="87">
        <v>13</v>
      </c>
      <c r="AD30" s="83"/>
      <c r="AE30" s="84"/>
      <c r="AF30" s="87"/>
      <c r="AG30" s="83"/>
      <c r="AH30" s="84"/>
      <c r="AI30" s="86"/>
      <c r="AJ30" s="83">
        <v>3.7</v>
      </c>
      <c r="AK30" s="84">
        <v>0</v>
      </c>
      <c r="AL30" s="86">
        <v>10</v>
      </c>
      <c r="AM30" s="83"/>
      <c r="AN30" s="84"/>
      <c r="AO30" s="86"/>
      <c r="AP30" s="83"/>
      <c r="AQ30" s="84"/>
      <c r="AR30" s="86"/>
      <c r="AS30" s="88"/>
      <c r="AT30" s="89"/>
      <c r="AU30" s="86"/>
      <c r="AV30" s="90">
        <f t="shared" si="5"/>
        <v>2209.9199999999996</v>
      </c>
      <c r="AW30" s="90">
        <f t="shared" si="0"/>
        <v>5030.95</v>
      </c>
      <c r="AX30" s="90">
        <f t="shared" si="6"/>
        <v>7240.869999999999</v>
      </c>
      <c r="AY30" s="90">
        <v>1086.1300000000001</v>
      </c>
      <c r="AZ30" s="261">
        <f t="shared" si="12"/>
        <v>1086.1304999999998</v>
      </c>
      <c r="BA30" s="90">
        <v>724.09</v>
      </c>
      <c r="BB30" s="261">
        <f t="shared" si="13"/>
        <v>724.08699999999999</v>
      </c>
      <c r="BC30" s="91">
        <f t="shared" si="1"/>
        <v>5</v>
      </c>
      <c r="BD30" s="85">
        <f t="shared" si="2"/>
        <v>160.22</v>
      </c>
      <c r="BE30" s="54" t="str">
        <f t="shared" si="3"/>
        <v>20-22</v>
      </c>
      <c r="BF30" s="54">
        <f t="shared" si="4"/>
        <v>108222</v>
      </c>
      <c r="BG30" s="244">
        <f t="shared" si="11"/>
        <v>9051.0869999999995</v>
      </c>
      <c r="BH30" s="235">
        <v>9051.09</v>
      </c>
    </row>
    <row r="31" spans="1:60" x14ac:dyDescent="0.2">
      <c r="A31" s="168">
        <v>108425</v>
      </c>
      <c r="B31" s="169" t="s">
        <v>191</v>
      </c>
      <c r="C31" s="172" t="s">
        <v>70</v>
      </c>
      <c r="D31" s="93" t="s">
        <v>151</v>
      </c>
      <c r="E31" s="82">
        <v>260.38</v>
      </c>
      <c r="F31" s="83">
        <v>1449.53</v>
      </c>
      <c r="G31" s="84">
        <v>0</v>
      </c>
      <c r="H31" s="85">
        <v>77.88</v>
      </c>
      <c r="I31" s="83"/>
      <c r="J31" s="84"/>
      <c r="K31" s="86"/>
      <c r="L31" s="83">
        <v>2295.62</v>
      </c>
      <c r="M31" s="84">
        <v>2920.53</v>
      </c>
      <c r="N31" s="87">
        <v>74.099999999999994</v>
      </c>
      <c r="O31" s="83">
        <v>105.33</v>
      </c>
      <c r="P31" s="84">
        <v>973.4</v>
      </c>
      <c r="Q31" s="87">
        <v>3.4</v>
      </c>
      <c r="R31" s="83"/>
      <c r="S31" s="84"/>
      <c r="T31" s="86"/>
      <c r="U31" s="83"/>
      <c r="V31" s="84"/>
      <c r="W31" s="86"/>
      <c r="X31" s="83">
        <v>453.92</v>
      </c>
      <c r="Y31" s="84">
        <v>0</v>
      </c>
      <c r="Z31" s="87">
        <v>77</v>
      </c>
      <c r="AA31" s="83">
        <v>91.52</v>
      </c>
      <c r="AB31" s="84">
        <v>2029.16</v>
      </c>
      <c r="AC31" s="87">
        <v>13</v>
      </c>
      <c r="AD31" s="83"/>
      <c r="AE31" s="84"/>
      <c r="AF31" s="87"/>
      <c r="AG31" s="83"/>
      <c r="AH31" s="84"/>
      <c r="AI31" s="86"/>
      <c r="AJ31" s="83">
        <v>4.84</v>
      </c>
      <c r="AK31" s="84">
        <v>0</v>
      </c>
      <c r="AL31" s="86">
        <v>15</v>
      </c>
      <c r="AM31" s="83"/>
      <c r="AN31" s="84"/>
      <c r="AO31" s="86"/>
      <c r="AP31" s="83"/>
      <c r="AQ31" s="84"/>
      <c r="AR31" s="86"/>
      <c r="AS31" s="88"/>
      <c r="AT31" s="89"/>
      <c r="AU31" s="86"/>
      <c r="AV31" s="90">
        <f t="shared" si="5"/>
        <v>4400.76</v>
      </c>
      <c r="AW31" s="90">
        <f t="shared" si="0"/>
        <v>5923.09</v>
      </c>
      <c r="AX31" s="90">
        <f t="shared" si="6"/>
        <v>10323.85</v>
      </c>
      <c r="AY31" s="90">
        <v>1548.58</v>
      </c>
      <c r="AZ31" s="261">
        <f t="shared" si="12"/>
        <v>1548.5775000000001</v>
      </c>
      <c r="BA31" s="90">
        <v>1032.3900000000001</v>
      </c>
      <c r="BB31" s="261">
        <f t="shared" si="13"/>
        <v>1032.385</v>
      </c>
      <c r="BC31" s="91">
        <f t="shared" si="1"/>
        <v>6</v>
      </c>
      <c r="BD31" s="85">
        <f t="shared" si="2"/>
        <v>260.38</v>
      </c>
      <c r="BE31" s="54" t="str">
        <f t="shared" si="3"/>
        <v>20-23</v>
      </c>
      <c r="BF31" s="54">
        <f t="shared" si="4"/>
        <v>108425</v>
      </c>
      <c r="BG31" s="244">
        <f t="shared" si="11"/>
        <v>12904.815000000001</v>
      </c>
      <c r="BH31" s="235">
        <v>12904.81</v>
      </c>
    </row>
    <row r="32" spans="1:60" s="133" customFormat="1" x14ac:dyDescent="0.2">
      <c r="A32" s="173">
        <v>108495</v>
      </c>
      <c r="B32" s="174" t="s">
        <v>192</v>
      </c>
      <c r="C32" s="175" t="s">
        <v>72</v>
      </c>
      <c r="D32" s="134" t="s">
        <v>211</v>
      </c>
      <c r="E32" s="82">
        <v>270.75</v>
      </c>
      <c r="F32" s="83">
        <v>1832.03</v>
      </c>
      <c r="G32" s="84">
        <v>8100.45</v>
      </c>
      <c r="H32" s="85">
        <v>59.14</v>
      </c>
      <c r="I32" s="83">
        <v>2065.56</v>
      </c>
      <c r="J32" s="84">
        <v>392.7</v>
      </c>
      <c r="K32" s="86">
        <v>66.67</v>
      </c>
      <c r="L32" s="83">
        <v>1082.57</v>
      </c>
      <c r="M32" s="84">
        <v>868.78</v>
      </c>
      <c r="N32" s="87">
        <v>34.94</v>
      </c>
      <c r="O32" s="83"/>
      <c r="P32" s="84"/>
      <c r="Q32" s="87"/>
      <c r="R32" s="83"/>
      <c r="S32" s="84"/>
      <c r="T32" s="86"/>
      <c r="U32" s="83"/>
      <c r="V32" s="84"/>
      <c r="W32" s="86"/>
      <c r="X32" s="83"/>
      <c r="Y32" s="84"/>
      <c r="Z32" s="87"/>
      <c r="AA32" s="83">
        <v>91.52</v>
      </c>
      <c r="AB32" s="84">
        <v>3631.19</v>
      </c>
      <c r="AC32" s="87">
        <v>13</v>
      </c>
      <c r="AD32" s="83"/>
      <c r="AE32" s="84"/>
      <c r="AF32" s="87"/>
      <c r="AG32" s="83">
        <v>498.37</v>
      </c>
      <c r="AH32" s="84">
        <v>5323.6</v>
      </c>
      <c r="AI32" s="86">
        <v>43</v>
      </c>
      <c r="AJ32" s="83"/>
      <c r="AK32" s="84"/>
      <c r="AL32" s="86"/>
      <c r="AM32" s="83"/>
      <c r="AN32" s="84"/>
      <c r="AO32" s="86"/>
      <c r="AP32" s="83">
        <v>552.96</v>
      </c>
      <c r="AQ32" s="84">
        <v>4121.1400000000003</v>
      </c>
      <c r="AR32" s="86">
        <v>54</v>
      </c>
      <c r="AS32" s="88"/>
      <c r="AT32" s="89"/>
      <c r="AU32" s="86"/>
      <c r="AV32" s="90">
        <f t="shared" si="5"/>
        <v>6123.01</v>
      </c>
      <c r="AW32" s="90">
        <f t="shared" si="0"/>
        <v>22437.86</v>
      </c>
      <c r="AX32" s="90">
        <f t="shared" si="6"/>
        <v>28560.870000000003</v>
      </c>
      <c r="AY32" s="90">
        <v>4284.13</v>
      </c>
      <c r="AZ32" s="261">
        <f t="shared" si="12"/>
        <v>4284.1305000000002</v>
      </c>
      <c r="BA32" s="90">
        <v>2856.09</v>
      </c>
      <c r="BB32" s="261">
        <f t="shared" si="13"/>
        <v>2856.0870000000004</v>
      </c>
      <c r="BC32" s="91">
        <f t="shared" si="1"/>
        <v>6</v>
      </c>
      <c r="BD32" s="85">
        <f t="shared" si="2"/>
        <v>270.75</v>
      </c>
      <c r="BE32" s="54" t="str">
        <f t="shared" si="3"/>
        <v>20-24</v>
      </c>
      <c r="BF32" s="54">
        <f t="shared" si="4"/>
        <v>108495</v>
      </c>
      <c r="BG32" s="244">
        <f t="shared" si="11"/>
        <v>35701.087</v>
      </c>
      <c r="BH32" s="235">
        <v>35701.089999999997</v>
      </c>
    </row>
    <row r="33" spans="1:60" s="133" customFormat="1" x14ac:dyDescent="0.2">
      <c r="A33" s="173">
        <v>108644</v>
      </c>
      <c r="B33" s="174" t="s">
        <v>193</v>
      </c>
      <c r="C33" s="175" t="s">
        <v>72</v>
      </c>
      <c r="D33" s="134" t="s">
        <v>211</v>
      </c>
      <c r="E33" s="135">
        <v>141.30000000000001</v>
      </c>
      <c r="F33" s="90">
        <v>2230.06</v>
      </c>
      <c r="G33" s="84">
        <v>690.7</v>
      </c>
      <c r="H33" s="85">
        <v>71.98</v>
      </c>
      <c r="I33" s="83"/>
      <c r="J33" s="84"/>
      <c r="K33" s="86"/>
      <c r="L33" s="83">
        <v>1546.52</v>
      </c>
      <c r="M33" s="84">
        <v>321.38</v>
      </c>
      <c r="N33" s="87">
        <v>49.92</v>
      </c>
      <c r="O33" s="83"/>
      <c r="P33" s="84"/>
      <c r="Q33" s="87"/>
      <c r="R33" s="83">
        <v>65.540000000000006</v>
      </c>
      <c r="S33" s="84">
        <v>217.25</v>
      </c>
      <c r="T33" s="86">
        <v>6.4</v>
      </c>
      <c r="U33" s="83"/>
      <c r="V33" s="84"/>
      <c r="W33" s="86"/>
      <c r="X33" s="83"/>
      <c r="Y33" s="84"/>
      <c r="Z33" s="87"/>
      <c r="AA33" s="83">
        <v>91.52</v>
      </c>
      <c r="AB33" s="84">
        <v>5480.79</v>
      </c>
      <c r="AC33" s="87">
        <v>13</v>
      </c>
      <c r="AD33" s="83"/>
      <c r="AE33" s="84"/>
      <c r="AF33" s="87"/>
      <c r="AG33" s="83"/>
      <c r="AH33" s="84"/>
      <c r="AI33" s="86"/>
      <c r="AJ33" s="83"/>
      <c r="AK33" s="84"/>
      <c r="AL33" s="86"/>
      <c r="AM33" s="136"/>
      <c r="AN33" s="84"/>
      <c r="AO33" s="86"/>
      <c r="AP33" s="83"/>
      <c r="AQ33" s="84"/>
      <c r="AR33" s="86"/>
      <c r="AS33" s="88"/>
      <c r="AT33" s="89"/>
      <c r="AU33" s="86"/>
      <c r="AV33" s="90">
        <f t="shared" si="5"/>
        <v>3933.64</v>
      </c>
      <c r="AW33" s="90">
        <f t="shared" si="0"/>
        <v>6710.12</v>
      </c>
      <c r="AX33" s="90">
        <f t="shared" si="6"/>
        <v>10643.76</v>
      </c>
      <c r="AY33" s="90">
        <v>1596.56</v>
      </c>
      <c r="AZ33" s="261">
        <f t="shared" si="12"/>
        <v>1596.5640000000001</v>
      </c>
      <c r="BA33" s="90">
        <v>1064.3800000000001</v>
      </c>
      <c r="BB33" s="261">
        <f t="shared" si="13"/>
        <v>1064.376</v>
      </c>
      <c r="BC33" s="91">
        <f t="shared" si="1"/>
        <v>4</v>
      </c>
      <c r="BD33" s="85">
        <f t="shared" si="2"/>
        <v>141.30000000000001</v>
      </c>
      <c r="BE33" s="54" t="str">
        <f t="shared" si="3"/>
        <v>20-25</v>
      </c>
      <c r="BF33" s="54">
        <f t="shared" si="4"/>
        <v>108644</v>
      </c>
      <c r="BG33" s="244">
        <f t="shared" si="11"/>
        <v>13304.696</v>
      </c>
      <c r="BH33" s="235">
        <v>13304.7</v>
      </c>
    </row>
    <row r="34" spans="1:60" s="133" customFormat="1" x14ac:dyDescent="0.2">
      <c r="A34" s="173">
        <v>108647</v>
      </c>
      <c r="B34" s="174" t="s">
        <v>194</v>
      </c>
      <c r="C34" s="175" t="s">
        <v>72</v>
      </c>
      <c r="D34" s="134" t="s">
        <v>211</v>
      </c>
      <c r="E34" s="135">
        <v>139</v>
      </c>
      <c r="F34" s="90">
        <v>2453.62</v>
      </c>
      <c r="G34" s="84">
        <v>1857.83</v>
      </c>
      <c r="H34" s="87">
        <v>79.2</v>
      </c>
      <c r="I34" s="83"/>
      <c r="J34" s="84"/>
      <c r="K34" s="86"/>
      <c r="L34" s="83">
        <v>1449.86</v>
      </c>
      <c r="M34" s="84">
        <v>2195.63</v>
      </c>
      <c r="N34" s="87">
        <v>46.8</v>
      </c>
      <c r="O34" s="83"/>
      <c r="P34" s="84"/>
      <c r="Q34" s="87"/>
      <c r="R34" s="83"/>
      <c r="S34" s="84"/>
      <c r="T34" s="86"/>
      <c r="U34" s="83"/>
      <c r="V34" s="84"/>
      <c r="W34" s="86"/>
      <c r="X34" s="83"/>
      <c r="Y34" s="84"/>
      <c r="Z34" s="87"/>
      <c r="AA34" s="83">
        <v>91.52</v>
      </c>
      <c r="AB34" s="84">
        <v>1492.34</v>
      </c>
      <c r="AC34" s="87">
        <v>13</v>
      </c>
      <c r="AD34" s="83">
        <v>0</v>
      </c>
      <c r="AE34" s="84"/>
      <c r="AF34" s="87"/>
      <c r="AG34" s="83"/>
      <c r="AH34" s="84"/>
      <c r="AI34" s="86"/>
      <c r="AJ34" s="83"/>
      <c r="AK34" s="84"/>
      <c r="AL34" s="86"/>
      <c r="AM34" s="83"/>
      <c r="AN34" s="84"/>
      <c r="AO34" s="86"/>
      <c r="AP34" s="83"/>
      <c r="AQ34" s="84"/>
      <c r="AR34" s="86"/>
      <c r="AS34" s="88"/>
      <c r="AT34" s="89"/>
      <c r="AU34" s="86"/>
      <c r="AV34" s="90">
        <f t="shared" si="5"/>
        <v>3994.9999999999995</v>
      </c>
      <c r="AW34" s="90">
        <f t="shared" si="0"/>
        <v>5545.8</v>
      </c>
      <c r="AX34" s="90">
        <f t="shared" si="6"/>
        <v>9540.7999999999993</v>
      </c>
      <c r="AY34" s="90">
        <v>1431.12</v>
      </c>
      <c r="AZ34" s="261">
        <f t="shared" si="12"/>
        <v>1431.12</v>
      </c>
      <c r="BA34" s="90">
        <v>954.07999999999993</v>
      </c>
      <c r="BB34" s="261">
        <f t="shared" si="13"/>
        <v>954.07999999999993</v>
      </c>
      <c r="BC34" s="91">
        <f t="shared" si="1"/>
        <v>4</v>
      </c>
      <c r="BD34" s="85">
        <f t="shared" si="2"/>
        <v>139</v>
      </c>
      <c r="BE34" s="54" t="str">
        <f t="shared" si="3"/>
        <v>20-26</v>
      </c>
      <c r="BF34" s="54">
        <f t="shared" si="4"/>
        <v>108647</v>
      </c>
      <c r="BG34" s="244">
        <f>AX34+AY34+BB34-0.01</f>
        <v>11925.989999999998</v>
      </c>
      <c r="BH34" s="235">
        <v>11925.989999999998</v>
      </c>
    </row>
    <row r="35" spans="1:60" s="133" customFormat="1" x14ac:dyDescent="0.2">
      <c r="A35" s="173">
        <v>108648</v>
      </c>
      <c r="B35" s="174" t="s">
        <v>195</v>
      </c>
      <c r="C35" s="175" t="s">
        <v>72</v>
      </c>
      <c r="D35" s="134" t="s">
        <v>211</v>
      </c>
      <c r="E35" s="135">
        <v>238.08</v>
      </c>
      <c r="F35" s="90">
        <v>1205.27</v>
      </c>
      <c r="G35" s="84">
        <v>0</v>
      </c>
      <c r="H35" s="87">
        <v>59.14</v>
      </c>
      <c r="I35" s="83"/>
      <c r="J35" s="84"/>
      <c r="K35" s="86"/>
      <c r="L35" s="83">
        <v>1082.57</v>
      </c>
      <c r="M35" s="84">
        <v>3154.23</v>
      </c>
      <c r="N35" s="87">
        <v>34.94</v>
      </c>
      <c r="O35" s="83"/>
      <c r="P35" s="84"/>
      <c r="Q35" s="87"/>
      <c r="R35" s="83"/>
      <c r="S35" s="84"/>
      <c r="T35" s="86"/>
      <c r="U35" s="83"/>
      <c r="V35" s="84"/>
      <c r="W35" s="86"/>
      <c r="X35" s="83">
        <v>542.08000000000004</v>
      </c>
      <c r="Y35" s="84">
        <v>27.68</v>
      </c>
      <c r="Z35" s="87">
        <v>77</v>
      </c>
      <c r="AA35" s="83">
        <v>91.52</v>
      </c>
      <c r="AB35" s="84">
        <v>2682</v>
      </c>
      <c r="AC35" s="87">
        <v>13</v>
      </c>
      <c r="AD35" s="83"/>
      <c r="AE35" s="84"/>
      <c r="AF35" s="87"/>
      <c r="AG35" s="83"/>
      <c r="AH35" s="84"/>
      <c r="AI35" s="86"/>
      <c r="AJ35" s="83"/>
      <c r="AK35" s="84"/>
      <c r="AL35" s="86"/>
      <c r="AM35" s="83"/>
      <c r="AN35" s="84"/>
      <c r="AO35" s="86"/>
      <c r="AP35" s="83">
        <v>552.96</v>
      </c>
      <c r="AQ35" s="84">
        <v>3251.54</v>
      </c>
      <c r="AR35" s="86">
        <v>54</v>
      </c>
      <c r="AS35" s="88"/>
      <c r="AT35" s="89"/>
      <c r="AU35" s="86"/>
      <c r="AV35" s="90">
        <f t="shared" si="5"/>
        <v>3474.4</v>
      </c>
      <c r="AW35" s="90">
        <f t="shared" si="0"/>
        <v>9115.4500000000007</v>
      </c>
      <c r="AX35" s="90">
        <f t="shared" si="6"/>
        <v>12589.85</v>
      </c>
      <c r="AY35" s="90">
        <v>1888.48</v>
      </c>
      <c r="AZ35" s="261">
        <f t="shared" si="12"/>
        <v>1888.4775</v>
      </c>
      <c r="BA35" s="90">
        <v>1258.99</v>
      </c>
      <c r="BB35" s="261">
        <f t="shared" si="13"/>
        <v>1258.9850000000001</v>
      </c>
      <c r="BC35" s="91">
        <f t="shared" si="1"/>
        <v>5</v>
      </c>
      <c r="BD35" s="85">
        <f t="shared" si="2"/>
        <v>238.07999999999998</v>
      </c>
      <c r="BE35" s="54" t="str">
        <f t="shared" si="3"/>
        <v>20-27</v>
      </c>
      <c r="BF35" s="54">
        <f t="shared" si="4"/>
        <v>108648</v>
      </c>
      <c r="BG35" s="244">
        <f t="shared" ref="BG35:BG43" si="14">AX35+AY35+BB35</f>
        <v>15737.315000000001</v>
      </c>
      <c r="BH35" s="235">
        <v>15737.31</v>
      </c>
    </row>
    <row r="36" spans="1:60" s="133" customFormat="1" x14ac:dyDescent="0.2">
      <c r="A36" s="173">
        <v>110232</v>
      </c>
      <c r="B36" s="174" t="s">
        <v>196</v>
      </c>
      <c r="C36" s="175" t="s">
        <v>72</v>
      </c>
      <c r="D36" s="134" t="s">
        <v>211</v>
      </c>
      <c r="E36" s="94">
        <v>266.12</v>
      </c>
      <c r="F36" s="137">
        <v>5027.12</v>
      </c>
      <c r="G36" s="96">
        <v>1780.12</v>
      </c>
      <c r="H36" s="138">
        <v>162.27000000000001</v>
      </c>
      <c r="I36" s="83"/>
      <c r="J36" s="96"/>
      <c r="K36" s="138"/>
      <c r="L36" s="95">
        <v>2616.1999999999998</v>
      </c>
      <c r="M36" s="96">
        <v>763.65</v>
      </c>
      <c r="N36" s="138">
        <v>84.45</v>
      </c>
      <c r="O36" s="95"/>
      <c r="P36" s="96"/>
      <c r="Q36" s="138"/>
      <c r="R36" s="95">
        <v>65.540000000000006</v>
      </c>
      <c r="S36" s="96">
        <v>92.71</v>
      </c>
      <c r="T36" s="138">
        <v>6.4</v>
      </c>
      <c r="U36" s="95"/>
      <c r="V36" s="96"/>
      <c r="W36" s="138"/>
      <c r="X36" s="95"/>
      <c r="Y36" s="96"/>
      <c r="Z36" s="138"/>
      <c r="AA36" s="95">
        <v>91.52</v>
      </c>
      <c r="AB36" s="96">
        <v>5048.17</v>
      </c>
      <c r="AC36" s="138">
        <v>13</v>
      </c>
      <c r="AD36" s="95"/>
      <c r="AE36" s="96"/>
      <c r="AF36" s="138"/>
      <c r="AG36" s="95"/>
      <c r="AH36" s="96"/>
      <c r="AI36" s="138"/>
      <c r="AJ36" s="95"/>
      <c r="AK36" s="96"/>
      <c r="AL36" s="138"/>
      <c r="AM36" s="95"/>
      <c r="AN36" s="96"/>
      <c r="AO36" s="138"/>
      <c r="AP36" s="95"/>
      <c r="AQ36" s="96"/>
      <c r="AR36" s="138"/>
      <c r="AS36" s="97"/>
      <c r="AT36" s="98"/>
      <c r="AU36" s="138"/>
      <c r="AV36" s="90">
        <f t="shared" si="5"/>
        <v>7800.38</v>
      </c>
      <c r="AW36" s="90">
        <f t="shared" si="0"/>
        <v>7684.65</v>
      </c>
      <c r="AX36" s="90">
        <f t="shared" si="6"/>
        <v>15485.029999999999</v>
      </c>
      <c r="AY36" s="90">
        <v>2322.75</v>
      </c>
      <c r="AZ36" s="261">
        <f t="shared" si="12"/>
        <v>2322.7544999999996</v>
      </c>
      <c r="BA36" s="90">
        <v>1548.5</v>
      </c>
      <c r="BB36" s="261">
        <f t="shared" si="13"/>
        <v>1548.5029999999999</v>
      </c>
      <c r="BC36" s="91">
        <f t="shared" si="1"/>
        <v>4</v>
      </c>
      <c r="BD36" s="85">
        <f t="shared" si="2"/>
        <v>266.12</v>
      </c>
      <c r="BE36" s="54" t="str">
        <f t="shared" si="3"/>
        <v>20-28</v>
      </c>
      <c r="BF36" s="54">
        <f t="shared" si="4"/>
        <v>110232</v>
      </c>
      <c r="BG36" s="244">
        <f t="shared" si="14"/>
        <v>19356.282999999999</v>
      </c>
      <c r="BH36" s="235">
        <v>19356.29</v>
      </c>
    </row>
    <row r="37" spans="1:60" s="133" customFormat="1" x14ac:dyDescent="0.2">
      <c r="A37" s="173">
        <v>110231</v>
      </c>
      <c r="B37" s="174" t="s">
        <v>197</v>
      </c>
      <c r="C37" s="175" t="s">
        <v>72</v>
      </c>
      <c r="D37" s="134" t="s">
        <v>211</v>
      </c>
      <c r="E37" s="94">
        <v>100.5</v>
      </c>
      <c r="F37" s="137">
        <v>1703.9</v>
      </c>
      <c r="G37" s="96">
        <v>486.89</v>
      </c>
      <c r="H37" s="139">
        <v>55</v>
      </c>
      <c r="I37" s="95"/>
      <c r="J37" s="96"/>
      <c r="K37" s="138"/>
      <c r="L37" s="95">
        <v>1006.85</v>
      </c>
      <c r="M37" s="96">
        <v>1105.18</v>
      </c>
      <c r="N37" s="138">
        <v>32.5</v>
      </c>
      <c r="O37" s="95"/>
      <c r="P37" s="96"/>
      <c r="Q37" s="138"/>
      <c r="R37" s="95"/>
      <c r="S37" s="96"/>
      <c r="T37" s="138"/>
      <c r="U37" s="95"/>
      <c r="V37" s="96"/>
      <c r="W37" s="138"/>
      <c r="X37" s="95"/>
      <c r="Y37" s="96"/>
      <c r="Z37" s="138"/>
      <c r="AA37" s="95">
        <v>91.52</v>
      </c>
      <c r="AB37" s="96">
        <v>2059.92</v>
      </c>
      <c r="AC37" s="138">
        <v>13</v>
      </c>
      <c r="AD37" s="95"/>
      <c r="AE37" s="96"/>
      <c r="AF37" s="138"/>
      <c r="AG37" s="95"/>
      <c r="AH37" s="96"/>
      <c r="AI37" s="138"/>
      <c r="AJ37" s="95"/>
      <c r="AK37" s="96"/>
      <c r="AL37" s="138"/>
      <c r="AM37" s="95"/>
      <c r="AN37" s="96"/>
      <c r="AO37" s="138"/>
      <c r="AP37" s="95"/>
      <c r="AQ37" s="96"/>
      <c r="AR37" s="138"/>
      <c r="AS37" s="97"/>
      <c r="AT37" s="98"/>
      <c r="AU37" s="138"/>
      <c r="AV37" s="90">
        <f t="shared" si="5"/>
        <v>2802.27</v>
      </c>
      <c r="AW37" s="90">
        <f t="shared" si="0"/>
        <v>3651.9900000000002</v>
      </c>
      <c r="AX37" s="90">
        <f t="shared" si="6"/>
        <v>6454.26</v>
      </c>
      <c r="AY37" s="90">
        <v>968.14</v>
      </c>
      <c r="AZ37" s="261">
        <f t="shared" si="12"/>
        <v>968.13900000000001</v>
      </c>
      <c r="BA37" s="90">
        <v>645.42999999999995</v>
      </c>
      <c r="BB37" s="261">
        <f t="shared" si="13"/>
        <v>645.42600000000004</v>
      </c>
      <c r="BC37" s="91">
        <f t="shared" si="1"/>
        <v>3</v>
      </c>
      <c r="BD37" s="85">
        <f t="shared" si="2"/>
        <v>100.5</v>
      </c>
      <c r="BE37" s="54" t="str">
        <f t="shared" si="3"/>
        <v>20-29</v>
      </c>
      <c r="BF37" s="54">
        <f t="shared" si="4"/>
        <v>110231</v>
      </c>
      <c r="BG37" s="244">
        <f t="shared" si="14"/>
        <v>8067.8260000000009</v>
      </c>
      <c r="BH37" s="235">
        <v>8067.83</v>
      </c>
    </row>
    <row r="38" spans="1:60" x14ac:dyDescent="0.2">
      <c r="A38" s="168">
        <v>108886</v>
      </c>
      <c r="B38" s="169" t="s">
        <v>198</v>
      </c>
      <c r="C38" s="172" t="s">
        <v>71</v>
      </c>
      <c r="D38" s="93" t="s">
        <v>211</v>
      </c>
      <c r="E38" s="94">
        <v>165.04</v>
      </c>
      <c r="F38" s="49">
        <v>2977.05</v>
      </c>
      <c r="G38" s="96">
        <v>964.95</v>
      </c>
      <c r="H38" s="139">
        <v>96.1</v>
      </c>
      <c r="I38" s="95">
        <v>20.63</v>
      </c>
      <c r="J38" s="96">
        <v>44.37</v>
      </c>
      <c r="K38" s="138">
        <v>0.67</v>
      </c>
      <c r="L38" s="95">
        <v>1712.45</v>
      </c>
      <c r="M38" s="96">
        <v>3407.93</v>
      </c>
      <c r="N38" s="138">
        <v>55.28</v>
      </c>
      <c r="O38" s="95"/>
      <c r="P38" s="96"/>
      <c r="Q38" s="138"/>
      <c r="R38" s="95"/>
      <c r="S38" s="96"/>
      <c r="T38" s="138"/>
      <c r="U38" s="95"/>
      <c r="V38" s="96"/>
      <c r="W38" s="138"/>
      <c r="X38" s="95"/>
      <c r="Y38" s="96"/>
      <c r="Z38" s="138"/>
      <c r="AA38" s="95">
        <v>91.52</v>
      </c>
      <c r="AB38" s="96">
        <v>1716.73</v>
      </c>
      <c r="AC38" s="138">
        <v>13</v>
      </c>
      <c r="AD38" s="95"/>
      <c r="AE38" s="96"/>
      <c r="AF38" s="138"/>
      <c r="AG38" s="95"/>
      <c r="AH38" s="96"/>
      <c r="AI38" s="138"/>
      <c r="AJ38" s="95"/>
      <c r="AK38" s="96"/>
      <c r="AL38" s="138"/>
      <c r="AM38" s="95"/>
      <c r="AN38" s="96"/>
      <c r="AO38" s="138"/>
      <c r="AP38" s="95"/>
      <c r="AQ38" s="96"/>
      <c r="AR38" s="138"/>
      <c r="AS38" s="97"/>
      <c r="AT38" s="98"/>
      <c r="AU38" s="138"/>
      <c r="AV38" s="90">
        <f t="shared" si="5"/>
        <v>4801.6500000000005</v>
      </c>
      <c r="AW38" s="90">
        <f t="shared" si="0"/>
        <v>6133.98</v>
      </c>
      <c r="AX38" s="90">
        <f t="shared" si="6"/>
        <v>10935.630000000001</v>
      </c>
      <c r="AY38" s="90">
        <v>1640.34</v>
      </c>
      <c r="AZ38" s="261">
        <f t="shared" si="12"/>
        <v>1640.3445000000002</v>
      </c>
      <c r="BA38" s="90">
        <v>1093.56</v>
      </c>
      <c r="BB38" s="261">
        <f t="shared" si="13"/>
        <v>1093.5630000000001</v>
      </c>
      <c r="BC38" s="91">
        <f t="shared" si="1"/>
        <v>4</v>
      </c>
      <c r="BD38" s="85">
        <f t="shared" si="2"/>
        <v>165.05</v>
      </c>
      <c r="BE38" s="54" t="str">
        <f t="shared" si="3"/>
        <v>20-30</v>
      </c>
      <c r="BF38" s="54">
        <f t="shared" si="4"/>
        <v>108886</v>
      </c>
      <c r="BG38" s="244">
        <f t="shared" si="14"/>
        <v>13669.533000000001</v>
      </c>
      <c r="BH38" s="235">
        <v>13669.54</v>
      </c>
    </row>
    <row r="39" spans="1:60" x14ac:dyDescent="0.2">
      <c r="A39" s="168">
        <v>109019</v>
      </c>
      <c r="B39" s="169" t="s">
        <v>199</v>
      </c>
      <c r="C39" s="172" t="s">
        <v>66</v>
      </c>
      <c r="D39" s="93" t="s">
        <v>211</v>
      </c>
      <c r="E39" s="94">
        <v>73.77</v>
      </c>
      <c r="F39" s="49"/>
      <c r="G39" s="96"/>
      <c r="H39" s="139"/>
      <c r="I39" s="95"/>
      <c r="J39" s="96"/>
      <c r="K39" s="138"/>
      <c r="L39" s="95">
        <v>1262.99</v>
      </c>
      <c r="M39" s="96">
        <v>2288.7399999999998</v>
      </c>
      <c r="N39" s="138">
        <v>40.770000000000003</v>
      </c>
      <c r="O39" s="95"/>
      <c r="P39" s="96"/>
      <c r="Q39" s="138"/>
      <c r="R39" s="95"/>
      <c r="S39" s="96"/>
      <c r="T39" s="138"/>
      <c r="U39" s="95"/>
      <c r="V39" s="96"/>
      <c r="W39" s="140"/>
      <c r="X39" s="95"/>
      <c r="Y39" s="96"/>
      <c r="Z39" s="138"/>
      <c r="AA39" s="95"/>
      <c r="AB39" s="96"/>
      <c r="AC39" s="138"/>
      <c r="AD39" s="95"/>
      <c r="AE39" s="96"/>
      <c r="AF39" s="138"/>
      <c r="AG39" s="95"/>
      <c r="AH39" s="96"/>
      <c r="AI39" s="138"/>
      <c r="AJ39" s="95"/>
      <c r="AK39" s="96"/>
      <c r="AL39" s="138"/>
      <c r="AM39" s="95"/>
      <c r="AN39" s="96"/>
      <c r="AO39" s="138"/>
      <c r="AP39" s="95"/>
      <c r="AQ39" s="96"/>
      <c r="AR39" s="138"/>
      <c r="AS39" s="97">
        <v>212.85</v>
      </c>
      <c r="AT39" s="98">
        <v>2226.6</v>
      </c>
      <c r="AU39" s="138">
        <v>33</v>
      </c>
      <c r="AV39" s="90">
        <f t="shared" si="5"/>
        <v>1475.84</v>
      </c>
      <c r="AW39" s="90">
        <f t="shared" si="0"/>
        <v>4515.34</v>
      </c>
      <c r="AX39" s="90">
        <f t="shared" si="6"/>
        <v>5991.18</v>
      </c>
      <c r="AY39" s="90">
        <v>898.68</v>
      </c>
      <c r="AZ39" s="261">
        <f t="shared" si="12"/>
        <v>898.67700000000002</v>
      </c>
      <c r="BA39" s="90">
        <v>599.12</v>
      </c>
      <c r="BB39" s="261">
        <f t="shared" si="13"/>
        <v>599.11800000000005</v>
      </c>
      <c r="BC39" s="91">
        <f t="shared" si="1"/>
        <v>2</v>
      </c>
      <c r="BD39" s="85">
        <f t="shared" si="2"/>
        <v>73.77000000000001</v>
      </c>
      <c r="BE39" s="54" t="str">
        <f t="shared" si="3"/>
        <v>20-31</v>
      </c>
      <c r="BF39" s="54">
        <f t="shared" si="4"/>
        <v>109019</v>
      </c>
      <c r="BG39" s="244">
        <f t="shared" si="14"/>
        <v>7488.978000000001</v>
      </c>
      <c r="BH39" s="235">
        <v>7488.98</v>
      </c>
    </row>
    <row r="40" spans="1:60" x14ac:dyDescent="0.2">
      <c r="A40" s="168">
        <v>109545</v>
      </c>
      <c r="B40" s="169" t="s">
        <v>200</v>
      </c>
      <c r="C40" s="172" t="s">
        <v>66</v>
      </c>
      <c r="D40" s="93" t="s">
        <v>211</v>
      </c>
      <c r="E40" s="94">
        <v>111</v>
      </c>
      <c r="F40" s="49"/>
      <c r="G40" s="96"/>
      <c r="H40" s="139"/>
      <c r="I40" s="95"/>
      <c r="J40" s="96"/>
      <c r="K40" s="138"/>
      <c r="L40" s="95"/>
      <c r="M40" s="96"/>
      <c r="N40" s="87"/>
      <c r="O40" s="95"/>
      <c r="P40" s="96"/>
      <c r="Q40" s="138"/>
      <c r="R40" s="95"/>
      <c r="S40" s="96"/>
      <c r="T40" s="138"/>
      <c r="U40" s="95"/>
      <c r="V40" s="96"/>
      <c r="W40" s="140"/>
      <c r="X40" s="95"/>
      <c r="Y40" s="96"/>
      <c r="Z40" s="138"/>
      <c r="AA40" s="95"/>
      <c r="AB40" s="96"/>
      <c r="AC40" s="138"/>
      <c r="AD40" s="95">
        <v>1136.6400000000001</v>
      </c>
      <c r="AE40" s="96">
        <v>4788.3599999999997</v>
      </c>
      <c r="AF40" s="138">
        <v>111</v>
      </c>
      <c r="AG40" s="95"/>
      <c r="AH40" s="96"/>
      <c r="AI40" s="138"/>
      <c r="AJ40" s="95"/>
      <c r="AK40" s="96"/>
      <c r="AL40" s="138"/>
      <c r="AM40" s="95"/>
      <c r="AN40" s="96"/>
      <c r="AO40" s="138"/>
      <c r="AP40" s="95"/>
      <c r="AQ40" s="96"/>
      <c r="AR40" s="138"/>
      <c r="AS40" s="97"/>
      <c r="AT40" s="98"/>
      <c r="AU40" s="138"/>
      <c r="AV40" s="90">
        <f t="shared" si="5"/>
        <v>1136.6400000000001</v>
      </c>
      <c r="AW40" s="90">
        <f t="shared" si="0"/>
        <v>4788.3599999999997</v>
      </c>
      <c r="AX40" s="90">
        <f t="shared" si="6"/>
        <v>5925</v>
      </c>
      <c r="AY40" s="90">
        <v>888.75</v>
      </c>
      <c r="AZ40" s="261">
        <f t="shared" si="12"/>
        <v>888.75</v>
      </c>
      <c r="BA40" s="90">
        <v>592.5</v>
      </c>
      <c r="BB40" s="261">
        <f t="shared" si="13"/>
        <v>592.5</v>
      </c>
      <c r="BC40" s="91">
        <f t="shared" si="1"/>
        <v>1</v>
      </c>
      <c r="BD40" s="85">
        <f t="shared" si="2"/>
        <v>111</v>
      </c>
      <c r="BE40" s="54" t="str">
        <f t="shared" si="3"/>
        <v>20-32</v>
      </c>
      <c r="BF40" s="54">
        <f t="shared" si="4"/>
        <v>109545</v>
      </c>
      <c r="BG40" s="244">
        <f t="shared" si="14"/>
        <v>7406.25</v>
      </c>
      <c r="BH40" s="235">
        <v>7406.25</v>
      </c>
    </row>
    <row r="41" spans="1:60" x14ac:dyDescent="0.2">
      <c r="A41" s="168">
        <v>110399</v>
      </c>
      <c r="B41" s="169" t="s">
        <v>201</v>
      </c>
      <c r="C41" s="172" t="s">
        <v>177</v>
      </c>
      <c r="D41" s="93" t="s">
        <v>211</v>
      </c>
      <c r="E41" s="94">
        <v>245.07</v>
      </c>
      <c r="F41" s="49">
        <v>1359.68</v>
      </c>
      <c r="G41" s="96">
        <v>0</v>
      </c>
      <c r="H41" s="139">
        <v>54.56</v>
      </c>
      <c r="I41" s="95">
        <v>4848.68</v>
      </c>
      <c r="J41" s="96">
        <v>2850.6</v>
      </c>
      <c r="K41" s="138">
        <v>156.51</v>
      </c>
      <c r="L41" s="95">
        <v>2305.36</v>
      </c>
      <c r="M41" s="96">
        <v>0</v>
      </c>
      <c r="N41" s="87">
        <v>0</v>
      </c>
      <c r="O41" s="95"/>
      <c r="P41" s="96"/>
      <c r="Q41" s="87"/>
      <c r="R41" s="95"/>
      <c r="S41" s="96"/>
      <c r="T41" s="87"/>
      <c r="U41" s="95"/>
      <c r="V41" s="96"/>
      <c r="W41" s="141"/>
      <c r="X41" s="95"/>
      <c r="Y41" s="96"/>
      <c r="Z41" s="138"/>
      <c r="AA41" s="95">
        <v>91.52</v>
      </c>
      <c r="AB41" s="96">
        <v>5725.76</v>
      </c>
      <c r="AC41" s="138">
        <v>13</v>
      </c>
      <c r="AD41" s="95"/>
      <c r="AE41" s="96"/>
      <c r="AF41" s="138"/>
      <c r="AG41" s="95"/>
      <c r="AH41" s="96"/>
      <c r="AI41" s="138"/>
      <c r="AJ41" s="95"/>
      <c r="AK41" s="96"/>
      <c r="AL41" s="138"/>
      <c r="AM41" s="95"/>
      <c r="AN41" s="96"/>
      <c r="AO41" s="87"/>
      <c r="AP41" s="95"/>
      <c r="AQ41" s="96"/>
      <c r="AR41" s="138"/>
      <c r="AS41" s="97"/>
      <c r="AT41" s="98"/>
      <c r="AU41" s="138"/>
      <c r="AV41" s="90">
        <f t="shared" si="5"/>
        <v>8605.2400000000016</v>
      </c>
      <c r="AW41" s="90">
        <f t="shared" si="0"/>
        <v>8576.36</v>
      </c>
      <c r="AX41" s="90">
        <f t="shared" si="6"/>
        <v>17181.600000000002</v>
      </c>
      <c r="AY41" s="90">
        <v>2577.2400000000002</v>
      </c>
      <c r="AZ41" s="261">
        <f t="shared" si="12"/>
        <v>2577.2400000000002</v>
      </c>
      <c r="BA41" s="90">
        <v>1718.1600000000003</v>
      </c>
      <c r="BB41" s="261">
        <f t="shared" si="13"/>
        <v>1718.1600000000003</v>
      </c>
      <c r="BC41" s="91">
        <f t="shared" si="1"/>
        <v>4</v>
      </c>
      <c r="BD41" s="85">
        <f t="shared" si="2"/>
        <v>224.07</v>
      </c>
      <c r="BE41" s="54" t="str">
        <f t="shared" si="3"/>
        <v>20-33</v>
      </c>
      <c r="BF41" s="54">
        <f t="shared" si="4"/>
        <v>110399</v>
      </c>
      <c r="BG41" s="244">
        <f t="shared" si="14"/>
        <v>21477.000000000004</v>
      </c>
      <c r="BH41" s="235">
        <v>21477.000000000004</v>
      </c>
    </row>
    <row r="42" spans="1:60" x14ac:dyDescent="0.2">
      <c r="A42" s="168">
        <v>110497</v>
      </c>
      <c r="B42" s="169" t="s">
        <v>202</v>
      </c>
      <c r="C42" s="172" t="s">
        <v>177</v>
      </c>
      <c r="D42" s="93" t="s">
        <v>211</v>
      </c>
      <c r="E42" s="94">
        <v>250.23</v>
      </c>
      <c r="F42" s="49">
        <v>2093.75</v>
      </c>
      <c r="G42" s="90">
        <v>2038.49</v>
      </c>
      <c r="H42" s="85">
        <v>67.58</v>
      </c>
      <c r="I42" s="95">
        <v>3670.32</v>
      </c>
      <c r="J42" s="96">
        <v>2478.5300000000002</v>
      </c>
      <c r="K42" s="87">
        <v>118.47</v>
      </c>
      <c r="L42" s="95">
        <v>1585.18</v>
      </c>
      <c r="M42" s="96">
        <v>3154.24</v>
      </c>
      <c r="N42" s="87">
        <v>51.17</v>
      </c>
      <c r="O42" s="95"/>
      <c r="P42" s="96"/>
      <c r="Q42" s="87"/>
      <c r="R42" s="95"/>
      <c r="S42" s="96"/>
      <c r="T42" s="87"/>
      <c r="U42" s="95"/>
      <c r="V42" s="96"/>
      <c r="W42" s="87"/>
      <c r="X42" s="95"/>
      <c r="Y42" s="96"/>
      <c r="Z42" s="87"/>
      <c r="AA42" s="95">
        <v>91.52</v>
      </c>
      <c r="AB42" s="96">
        <v>3833.71</v>
      </c>
      <c r="AC42" s="87">
        <v>13</v>
      </c>
      <c r="AD42" s="95"/>
      <c r="AE42" s="96"/>
      <c r="AF42" s="87"/>
      <c r="AG42" s="95"/>
      <c r="AH42" s="96"/>
      <c r="AI42" s="87"/>
      <c r="AJ42" s="95"/>
      <c r="AK42" s="96"/>
      <c r="AL42" s="87"/>
      <c r="AM42" s="95"/>
      <c r="AN42" s="96"/>
      <c r="AO42" s="87"/>
      <c r="AP42" s="95"/>
      <c r="AQ42" s="96"/>
      <c r="AR42" s="87"/>
      <c r="AS42" s="97"/>
      <c r="AT42" s="98"/>
      <c r="AU42" s="87"/>
      <c r="AV42" s="90">
        <f t="shared" si="5"/>
        <v>7440.77</v>
      </c>
      <c r="AW42" s="90">
        <f t="shared" si="0"/>
        <v>11504.970000000001</v>
      </c>
      <c r="AX42" s="90">
        <f t="shared" si="6"/>
        <v>18945.740000000002</v>
      </c>
      <c r="AY42" s="90">
        <v>2841.86</v>
      </c>
      <c r="AZ42" s="261">
        <f t="shared" si="12"/>
        <v>2841.8610000000003</v>
      </c>
      <c r="BA42" s="90">
        <v>1894.57</v>
      </c>
      <c r="BB42" s="261">
        <f t="shared" si="13"/>
        <v>1894.5740000000003</v>
      </c>
      <c r="BC42" s="91">
        <f t="shared" si="1"/>
        <v>4</v>
      </c>
      <c r="BD42" s="85">
        <f t="shared" si="2"/>
        <v>250.22000000000003</v>
      </c>
      <c r="BE42" s="54" t="str">
        <f t="shared" si="3"/>
        <v>20-34</v>
      </c>
      <c r="BF42" s="54">
        <f t="shared" si="4"/>
        <v>110497</v>
      </c>
      <c r="BG42" s="244">
        <f t="shared" si="14"/>
        <v>23682.174000000003</v>
      </c>
      <c r="BH42" s="235">
        <v>23682.18</v>
      </c>
    </row>
    <row r="43" spans="1:60" x14ac:dyDescent="0.2">
      <c r="A43" s="168">
        <v>110400</v>
      </c>
      <c r="B43" s="169" t="s">
        <v>203</v>
      </c>
      <c r="C43" s="172" t="s">
        <v>66</v>
      </c>
      <c r="D43" s="93" t="s">
        <v>211</v>
      </c>
      <c r="E43" s="94">
        <v>224.51</v>
      </c>
      <c r="F43" s="49">
        <v>5439.17</v>
      </c>
      <c r="G43" s="90">
        <v>0</v>
      </c>
      <c r="H43" s="85">
        <v>189.02</v>
      </c>
      <c r="I43" s="95">
        <v>380.56</v>
      </c>
      <c r="J43" s="96">
        <v>456.45</v>
      </c>
      <c r="K43" s="87">
        <v>12.28</v>
      </c>
      <c r="L43" s="95"/>
      <c r="M43" s="96"/>
      <c r="N43" s="87"/>
      <c r="O43" s="95">
        <v>316</v>
      </c>
      <c r="P43" s="96">
        <v>1911.65</v>
      </c>
      <c r="Q43" s="87">
        <v>10.199999999999999</v>
      </c>
      <c r="R43" s="95"/>
      <c r="S43" s="96"/>
      <c r="T43" s="87"/>
      <c r="U43" s="95"/>
      <c r="V43" s="96"/>
      <c r="W43" s="87"/>
      <c r="X43" s="95"/>
      <c r="Y43" s="96"/>
      <c r="Z43" s="87"/>
      <c r="AA43" s="95">
        <v>91.52</v>
      </c>
      <c r="AB43" s="96">
        <v>1837.89</v>
      </c>
      <c r="AC43" s="87">
        <v>13</v>
      </c>
      <c r="AD43" s="95"/>
      <c r="AE43" s="96"/>
      <c r="AF43" s="87"/>
      <c r="AG43" s="95"/>
      <c r="AH43" s="96"/>
      <c r="AI43" s="87"/>
      <c r="AJ43" s="95"/>
      <c r="AK43" s="96"/>
      <c r="AL43" s="87"/>
      <c r="AM43" s="95"/>
      <c r="AN43" s="96"/>
      <c r="AO43" s="87"/>
      <c r="AP43" s="95"/>
      <c r="AQ43" s="96"/>
      <c r="AR43" s="87"/>
      <c r="AS43" s="97"/>
      <c r="AT43" s="98"/>
      <c r="AU43" s="87"/>
      <c r="AV43" s="90">
        <f t="shared" si="5"/>
        <v>6227.2500000000009</v>
      </c>
      <c r="AW43" s="90">
        <f t="shared" si="0"/>
        <v>4205.99</v>
      </c>
      <c r="AX43" s="90">
        <f t="shared" si="6"/>
        <v>10433.240000000002</v>
      </c>
      <c r="AY43" s="90">
        <v>1564.99</v>
      </c>
      <c r="AZ43" s="261">
        <f t="shared" si="12"/>
        <v>1564.9860000000001</v>
      </c>
      <c r="BA43" s="90">
        <v>1043.32</v>
      </c>
      <c r="BB43" s="261">
        <f t="shared" si="13"/>
        <v>1043.3240000000003</v>
      </c>
      <c r="BC43" s="91">
        <f t="shared" si="1"/>
        <v>4</v>
      </c>
      <c r="BD43" s="85">
        <f t="shared" si="2"/>
        <v>224.5</v>
      </c>
      <c r="BE43" s="54" t="str">
        <f t="shared" si="3"/>
        <v>20-35</v>
      </c>
      <c r="BF43" s="54">
        <f t="shared" si="4"/>
        <v>110400</v>
      </c>
      <c r="BG43" s="244">
        <f t="shared" si="14"/>
        <v>13041.554000000002</v>
      </c>
      <c r="BH43" s="235">
        <v>13041.550000000003</v>
      </c>
    </row>
    <row r="44" spans="1:60" x14ac:dyDescent="0.2">
      <c r="A44" s="168">
        <v>110521</v>
      </c>
      <c r="B44" s="169" t="s">
        <v>204</v>
      </c>
      <c r="C44" s="172" t="s">
        <v>66</v>
      </c>
      <c r="D44" s="93" t="s">
        <v>211</v>
      </c>
      <c r="E44" s="94">
        <v>111</v>
      </c>
      <c r="F44" s="49"/>
      <c r="G44" s="90"/>
      <c r="H44" s="85"/>
      <c r="I44" s="95"/>
      <c r="J44" s="96"/>
      <c r="K44" s="87"/>
      <c r="L44" s="95"/>
      <c r="M44" s="96"/>
      <c r="N44" s="87"/>
      <c r="O44" s="95"/>
      <c r="P44" s="96"/>
      <c r="Q44" s="87"/>
      <c r="R44" s="95"/>
      <c r="S44" s="96"/>
      <c r="T44" s="87"/>
      <c r="U44" s="95"/>
      <c r="V44" s="96"/>
      <c r="W44" s="87"/>
      <c r="X44" s="95"/>
      <c r="Y44" s="96"/>
      <c r="Z44" s="87"/>
      <c r="AA44" s="95"/>
      <c r="AB44" s="96"/>
      <c r="AC44" s="87"/>
      <c r="AD44" s="95">
        <v>1136.6400000000001</v>
      </c>
      <c r="AE44" s="96">
        <v>7124.35</v>
      </c>
      <c r="AF44" s="87">
        <v>111</v>
      </c>
      <c r="AG44" s="95"/>
      <c r="AH44" s="96"/>
      <c r="AI44" s="87"/>
      <c r="AJ44" s="95"/>
      <c r="AK44" s="96"/>
      <c r="AL44" s="87"/>
      <c r="AM44" s="95"/>
      <c r="AN44" s="96"/>
      <c r="AO44" s="87"/>
      <c r="AP44" s="95"/>
      <c r="AQ44" s="96"/>
      <c r="AR44" s="87"/>
      <c r="AS44" s="97"/>
      <c r="AT44" s="98"/>
      <c r="AU44" s="87"/>
      <c r="AV44" s="90">
        <v>1136.6400000000001</v>
      </c>
      <c r="AW44" s="90">
        <v>7124.35</v>
      </c>
      <c r="AX44" s="90">
        <v>8260.99</v>
      </c>
      <c r="AY44" s="90">
        <v>1239.1500000000001</v>
      </c>
      <c r="AZ44" s="261">
        <v>1239.1500000000001</v>
      </c>
      <c r="BA44" s="90">
        <v>826.09</v>
      </c>
      <c r="BB44" s="261">
        <f t="shared" si="13"/>
        <v>826.09900000000005</v>
      </c>
      <c r="BC44" s="91">
        <f t="shared" si="1"/>
        <v>1</v>
      </c>
      <c r="BD44" s="85">
        <f t="shared" si="2"/>
        <v>111</v>
      </c>
      <c r="BE44" s="54" t="str">
        <f t="shared" si="3"/>
        <v>20-36</v>
      </c>
      <c r="BF44" s="54">
        <f t="shared" si="4"/>
        <v>110521</v>
      </c>
      <c r="BG44" s="244">
        <v>10326.23</v>
      </c>
      <c r="BH44" s="235">
        <v>10326.23</v>
      </c>
    </row>
    <row r="45" spans="1:60" ht="13.5" thickBot="1" x14ac:dyDescent="0.25">
      <c r="A45" s="176">
        <v>111577</v>
      </c>
      <c r="B45" s="177" t="s">
        <v>213</v>
      </c>
      <c r="C45" s="178" t="s">
        <v>73</v>
      </c>
      <c r="D45" s="179" t="s">
        <v>229</v>
      </c>
      <c r="E45" s="94">
        <v>0</v>
      </c>
      <c r="F45" s="49">
        <v>6.9</v>
      </c>
      <c r="G45" s="90"/>
      <c r="H45" s="85"/>
      <c r="I45" s="95"/>
      <c r="J45" s="96"/>
      <c r="K45" s="87"/>
      <c r="L45" s="95"/>
      <c r="M45" s="96"/>
      <c r="N45" s="87"/>
      <c r="O45" s="95"/>
      <c r="P45" s="96"/>
      <c r="Q45" s="87"/>
      <c r="R45" s="95"/>
      <c r="S45" s="96"/>
      <c r="T45" s="87"/>
      <c r="U45" s="95"/>
      <c r="V45" s="96"/>
      <c r="W45" s="87"/>
      <c r="X45" s="95"/>
      <c r="Y45" s="96"/>
      <c r="Z45" s="87"/>
      <c r="AA45" s="95"/>
      <c r="AB45" s="96"/>
      <c r="AC45" s="87"/>
      <c r="AD45" s="95"/>
      <c r="AE45" s="96"/>
      <c r="AF45" s="87"/>
      <c r="AG45" s="95"/>
      <c r="AH45" s="96"/>
      <c r="AI45" s="87"/>
      <c r="AJ45" s="95"/>
      <c r="AK45" s="96"/>
      <c r="AL45" s="87"/>
      <c r="AM45" s="95"/>
      <c r="AN45" s="96"/>
      <c r="AO45" s="87"/>
      <c r="AP45" s="95"/>
      <c r="AQ45" s="96"/>
      <c r="AR45" s="87"/>
      <c r="AS45" s="97"/>
      <c r="AT45" s="98"/>
      <c r="AU45" s="87"/>
      <c r="AV45" s="90">
        <v>6.9</v>
      </c>
      <c r="AW45" s="90">
        <f t="shared" si="0"/>
        <v>0</v>
      </c>
      <c r="AX45" s="90">
        <f t="shared" si="6"/>
        <v>6.9</v>
      </c>
      <c r="AY45" s="90">
        <v>0</v>
      </c>
      <c r="AZ45" s="261">
        <v>0</v>
      </c>
      <c r="BA45" s="90">
        <v>0</v>
      </c>
      <c r="BB45" s="261">
        <v>0</v>
      </c>
      <c r="BC45" s="91">
        <f t="shared" si="1"/>
        <v>1</v>
      </c>
      <c r="BD45" s="85">
        <v>0</v>
      </c>
      <c r="BE45" s="54" t="str">
        <f t="shared" si="3"/>
        <v>20-04C</v>
      </c>
      <c r="BF45" s="54">
        <f t="shared" si="4"/>
        <v>111577</v>
      </c>
      <c r="BG45" s="244">
        <v>6.9</v>
      </c>
      <c r="BH45" s="235">
        <v>6.9</v>
      </c>
    </row>
    <row r="46" spans="1:60" s="142" customFormat="1" ht="13.5" thickBot="1" x14ac:dyDescent="0.25">
      <c r="B46" s="33"/>
      <c r="C46" s="143"/>
      <c r="D46" s="143"/>
      <c r="E46" s="144">
        <f>SUM(E7:E45)</f>
        <v>8245.5299999999988</v>
      </c>
      <c r="F46" s="251">
        <f t="shared" ref="F46" si="15">SUM(F7:F45)</f>
        <v>73800.659999999989</v>
      </c>
      <c r="G46" s="185">
        <f t="shared" ref="G46" si="16">SUM(G7:G45)</f>
        <v>21039.260000000002</v>
      </c>
      <c r="H46" s="186">
        <f t="shared" ref="H46" si="17">SUM(H7:H45)</f>
        <v>2967.8999999999996</v>
      </c>
      <c r="I46" s="185">
        <f t="shared" ref="I46" si="18">SUM(I7:I45)</f>
        <v>19428.150000000001</v>
      </c>
      <c r="J46" s="185">
        <f t="shared" ref="J46" si="19">SUM(J7:J45)</f>
        <v>13854.39</v>
      </c>
      <c r="K46" s="186">
        <f t="shared" ref="K46" si="20">SUM(K7:K45)</f>
        <v>700.77</v>
      </c>
      <c r="L46" s="185">
        <f t="shared" ref="L46" si="21">SUM(L7:L45)</f>
        <v>49118.299999999988</v>
      </c>
      <c r="M46" s="185">
        <f t="shared" ref="M46" si="22">SUM(M7:M45)</f>
        <v>59353.759999999995</v>
      </c>
      <c r="N46" s="186">
        <f t="shared" ref="N46" si="23">SUM(N7:N45)</f>
        <v>1511.0800000000002</v>
      </c>
      <c r="O46" s="185">
        <f t="shared" ref="O46" si="24">SUM(O7:O45)</f>
        <v>2536.4</v>
      </c>
      <c r="P46" s="185">
        <f t="shared" ref="P46" si="25">SUM(P7:P45)</f>
        <v>10195.449999999999</v>
      </c>
      <c r="Q46" s="186">
        <f t="shared" ref="Q46" si="26">SUM(Q7:Q45)</f>
        <v>81.87</v>
      </c>
      <c r="R46" s="185">
        <f t="shared" ref="R46" si="27">SUM(R7:R45)</f>
        <v>196.62</v>
      </c>
      <c r="S46" s="185">
        <f t="shared" ref="S46" si="28">SUM(S7:S45)</f>
        <v>401.16999999999996</v>
      </c>
      <c r="T46" s="186">
        <f t="shared" ref="T46" si="29">SUM(T7:T45)</f>
        <v>19.200000000000003</v>
      </c>
      <c r="U46" s="185">
        <f t="shared" ref="U46" si="30">SUM(U7:U45)</f>
        <v>779.09999999999991</v>
      </c>
      <c r="V46" s="185">
        <f t="shared" ref="V46" si="31">SUM(V7:V45)</f>
        <v>3915.27</v>
      </c>
      <c r="W46" s="186">
        <f t="shared" ref="W46" si="32">SUM(W7:W45)</f>
        <v>147</v>
      </c>
      <c r="X46" s="185">
        <f t="shared" ref="X46:Y46" si="33">SUM(X7:X45)</f>
        <v>5444.3600000000006</v>
      </c>
      <c r="Y46" s="185">
        <f t="shared" si="33"/>
        <v>9265.2000000000007</v>
      </c>
      <c r="Z46" s="146">
        <f>SUM(Z7:Z45)</f>
        <v>847</v>
      </c>
      <c r="AA46" s="145">
        <f t="shared" ref="AA46" si="34">SUM(AA7:AA45)</f>
        <v>2850.7699999999995</v>
      </c>
      <c r="AB46" s="145">
        <f t="shared" ref="AB46" si="35">SUM(AB7:AB45)</f>
        <v>84388.140000000014</v>
      </c>
      <c r="AC46" s="146">
        <f t="shared" ref="AC46" si="36">SUM(AC7:AC45)</f>
        <v>403</v>
      </c>
      <c r="AD46" s="145">
        <f t="shared" ref="AD46:AF46" si="37">SUM(AD7:AD45)</f>
        <v>10912.41</v>
      </c>
      <c r="AE46" s="145">
        <f t="shared" si="37"/>
        <v>50521.770000000004</v>
      </c>
      <c r="AF46" s="146">
        <f t="shared" si="37"/>
        <v>1110</v>
      </c>
      <c r="AG46" s="145">
        <f t="shared" ref="AG46:AO46" si="38">SUM(AG7:AG45)</f>
        <v>498.37</v>
      </c>
      <c r="AH46" s="145">
        <f t="shared" si="38"/>
        <v>5323.6</v>
      </c>
      <c r="AI46" s="188">
        <f t="shared" si="38"/>
        <v>43</v>
      </c>
      <c r="AJ46" s="185">
        <f t="shared" si="38"/>
        <v>42.44</v>
      </c>
      <c r="AK46" s="185">
        <f t="shared" si="38"/>
        <v>0</v>
      </c>
      <c r="AL46" s="188">
        <f t="shared" si="38"/>
        <v>40</v>
      </c>
      <c r="AM46" s="145">
        <f t="shared" si="38"/>
        <v>22.66</v>
      </c>
      <c r="AN46" s="145">
        <f t="shared" si="38"/>
        <v>0</v>
      </c>
      <c r="AO46" s="188">
        <f t="shared" si="38"/>
        <v>5</v>
      </c>
      <c r="AP46" s="145">
        <f t="shared" ref="AP46:AS46" si="39">SUM(AP7:AP45)</f>
        <v>2211.84</v>
      </c>
      <c r="AQ46" s="145">
        <f t="shared" si="39"/>
        <v>15402.91</v>
      </c>
      <c r="AR46" s="188">
        <f t="shared" si="39"/>
        <v>216</v>
      </c>
      <c r="AS46" s="148">
        <f t="shared" si="39"/>
        <v>212.85</v>
      </c>
      <c r="AT46" s="148">
        <f>SUBTOTAL(9,AT7:AT45)</f>
        <v>2226.6</v>
      </c>
      <c r="AU46" s="188">
        <f>SUM(AU7:AU45)</f>
        <v>33</v>
      </c>
      <c r="AV46" s="276">
        <f>SUM(AV7:AV45)</f>
        <v>168054.92999999993</v>
      </c>
      <c r="AW46" s="276">
        <f>SUBTOTAL(9,AW7:AW45)</f>
        <v>275887.51</v>
      </c>
      <c r="AX46" s="212">
        <f>SUBTOTAL(9,AX7:AX45)</f>
        <v>443942.4499999999</v>
      </c>
      <c r="AY46" s="209">
        <v>65244.9</v>
      </c>
      <c r="AZ46" s="262">
        <f>SUM(AZ7:AZ45)</f>
        <v>65244.896000000008</v>
      </c>
      <c r="BA46" s="209">
        <v>43496.63</v>
      </c>
      <c r="BB46" s="262">
        <f>SUBTOTAL(9,BB7:BB45)</f>
        <v>43496.593000000008</v>
      </c>
      <c r="BC46" s="149">
        <f t="shared" ref="BC46:BD46" si="40">SUBTOTAL(9,BC7:BC45)</f>
        <v>151</v>
      </c>
      <c r="BD46" s="273">
        <f t="shared" si="40"/>
        <v>8124.82</v>
      </c>
      <c r="BE46" s="54"/>
      <c r="BF46" s="143"/>
      <c r="BG46" s="214">
        <f>SUBTOTAL(9,BG7:BG45)</f>
        <v>552683.94400000002</v>
      </c>
      <c r="BH46" s="252">
        <f>SUM(BH7:BH45)</f>
        <v>552683.98</v>
      </c>
    </row>
    <row r="47" spans="1:60" s="32" customFormat="1" ht="48" customHeight="1" thickBot="1" x14ac:dyDescent="0.25">
      <c r="B47" s="57"/>
      <c r="C47" s="35"/>
      <c r="D47" s="48"/>
      <c r="E47" s="37" t="s">
        <v>209</v>
      </c>
      <c r="F47" s="55">
        <f>COUNT(F7:F45)</f>
        <v>29</v>
      </c>
      <c r="G47" s="48"/>
      <c r="H47" s="55"/>
      <c r="I47" s="55">
        <f>COUNT(I7:I45)</f>
        <v>11</v>
      </c>
      <c r="J47" s="55"/>
      <c r="K47" s="55"/>
      <c r="L47" s="55">
        <f>COUNT(L7:L45)</f>
        <v>25</v>
      </c>
      <c r="M47" s="55"/>
      <c r="N47" s="55"/>
      <c r="O47" s="55">
        <f>COUNT(O7:O45)</f>
        <v>11</v>
      </c>
      <c r="P47" s="55"/>
      <c r="Q47" s="55"/>
      <c r="R47" s="55">
        <f>COUNT(R7:R45)</f>
        <v>3</v>
      </c>
      <c r="S47" s="55"/>
      <c r="T47" s="55"/>
      <c r="U47" s="55">
        <f>COUNT(U7:U45)</f>
        <v>7</v>
      </c>
      <c r="V47" s="55"/>
      <c r="W47" s="55"/>
      <c r="X47" s="55">
        <f>COUNT(X7:X45)</f>
        <v>11</v>
      </c>
      <c r="Y47" s="55"/>
      <c r="Z47" s="55"/>
      <c r="AA47" s="55">
        <f>COUNT(AA7:AA45)</f>
        <v>31</v>
      </c>
      <c r="AB47" s="55"/>
      <c r="AC47" s="55"/>
      <c r="AD47" s="55">
        <f>COUNT(AD7:AD45)</f>
        <v>11</v>
      </c>
      <c r="AE47" s="73"/>
      <c r="AF47" s="55"/>
      <c r="AG47" s="55">
        <f>COUNT(AG7:AG45)</f>
        <v>1</v>
      </c>
      <c r="AH47" s="55"/>
      <c r="AI47" s="55"/>
      <c r="AJ47" s="55">
        <f>COUNT(AJ7:AJ45)</f>
        <v>5</v>
      </c>
      <c r="AK47" s="55"/>
      <c r="AL47" s="55"/>
      <c r="AM47" s="55">
        <f>COUNT(AM7:AM45)</f>
        <v>1</v>
      </c>
      <c r="AN47" s="55"/>
      <c r="AO47" s="55"/>
      <c r="AP47" s="55">
        <f>COUNT(AP7:AP45)</f>
        <v>4</v>
      </c>
      <c r="AQ47" s="55"/>
      <c r="AR47" s="55"/>
      <c r="AS47" s="55">
        <f>COUNT(AS7:AS45)</f>
        <v>1</v>
      </c>
      <c r="AT47" s="55"/>
      <c r="AU47" s="55"/>
      <c r="AV47" s="195" t="str">
        <f t="shared" ref="AV47:BA47" si="41">AV6</f>
        <v>Total WIP</v>
      </c>
      <c r="AW47" s="196" t="str">
        <f t="shared" si="41"/>
        <v>Total EWIP</v>
      </c>
      <c r="AX47" s="189" t="str">
        <f t="shared" si="41"/>
        <v>Measure Installed Cost</v>
      </c>
      <c r="AY47" s="189" t="str">
        <f t="shared" si="41"/>
        <v>15% Project Coordination</v>
      </c>
      <c r="AZ47" s="263" t="str">
        <f t="shared" si="41"/>
        <v>15% Project Coordination Fee CALCULATED &amp; HIDDEN</v>
      </c>
      <c r="BA47" s="189" t="str">
        <f t="shared" si="41"/>
        <v>10% Indirect Rate</v>
      </c>
      <c r="BB47" s="268"/>
      <c r="BC47" s="79" t="str">
        <f t="shared" ref="BC47:BD47" si="42">BC6</f>
        <v># Measures</v>
      </c>
      <c r="BD47" s="197" t="str">
        <f t="shared" si="42"/>
        <v>Therms</v>
      </c>
      <c r="BE47" s="76"/>
      <c r="BF47" s="270"/>
      <c r="BG47" s="215"/>
      <c r="BH47" s="210" t="str">
        <f>BH6</f>
        <v>Total Project Cost with all Admin</v>
      </c>
    </row>
    <row r="48" spans="1:60" s="32" customFormat="1" ht="39" thickBot="1" x14ac:dyDescent="0.25">
      <c r="C48" s="35"/>
      <c r="D48" s="35"/>
      <c r="E48" s="56" t="s">
        <v>215</v>
      </c>
      <c r="F48" s="250">
        <f>F46+G46</f>
        <v>94839.919999999984</v>
      </c>
      <c r="G48" s="48"/>
      <c r="H48" s="73"/>
      <c r="I48" s="48">
        <f>I46+J46</f>
        <v>33282.54</v>
      </c>
      <c r="J48" s="48"/>
      <c r="K48" s="35"/>
      <c r="L48" s="48">
        <f>L46+M46</f>
        <v>108472.05999999998</v>
      </c>
      <c r="M48" s="48"/>
      <c r="N48" s="73"/>
      <c r="O48" s="48">
        <f>O46+P46</f>
        <v>12731.849999999999</v>
      </c>
      <c r="P48" s="48"/>
      <c r="Q48" s="73"/>
      <c r="R48" s="48">
        <f>R46+S46</f>
        <v>597.79</v>
      </c>
      <c r="S48" s="48"/>
      <c r="T48" s="35"/>
      <c r="U48" s="48">
        <f>U46+V46</f>
        <v>4694.37</v>
      </c>
      <c r="V48" s="48"/>
      <c r="W48" s="35"/>
      <c r="X48" s="48">
        <f>X46+Y46</f>
        <v>14709.560000000001</v>
      </c>
      <c r="Y48" s="48"/>
      <c r="Z48" s="73"/>
      <c r="AA48" s="48">
        <f>AA46+AB46</f>
        <v>87238.910000000018</v>
      </c>
      <c r="AB48" s="48"/>
      <c r="AC48" s="73"/>
      <c r="AD48" s="48">
        <f>AD46+AE46</f>
        <v>61434.180000000008</v>
      </c>
      <c r="AE48" s="48"/>
      <c r="AF48" s="73"/>
      <c r="AG48" s="48">
        <f>AG46+AH46</f>
        <v>5821.97</v>
      </c>
      <c r="AH48" s="48"/>
      <c r="AI48" s="35"/>
      <c r="AJ48" s="48">
        <f>AJ46+AK46</f>
        <v>42.44</v>
      </c>
      <c r="AK48" s="48"/>
      <c r="AL48" s="35"/>
      <c r="AM48" s="48">
        <f>AM46+AN46</f>
        <v>22.66</v>
      </c>
      <c r="AN48" s="48"/>
      <c r="AO48" s="35"/>
      <c r="AP48" s="48">
        <f>AP46+AQ46</f>
        <v>17614.75</v>
      </c>
      <c r="AQ48" s="48"/>
      <c r="AR48" s="35"/>
      <c r="AS48" s="36">
        <f>AS46+AT46</f>
        <v>2439.4499999999998</v>
      </c>
      <c r="AT48" s="36"/>
      <c r="AU48" s="35"/>
      <c r="AV48" s="49" t="s">
        <v>236</v>
      </c>
      <c r="AW48" s="48"/>
      <c r="AX48" s="48"/>
      <c r="AY48" s="48"/>
      <c r="AZ48" s="264"/>
      <c r="BA48" s="48"/>
      <c r="BB48" s="264"/>
      <c r="BC48" s="44"/>
      <c r="BD48" s="78"/>
      <c r="BE48" s="77"/>
      <c r="BF48" s="77"/>
      <c r="BG48" s="245"/>
      <c r="BH48" s="270">
        <f>AX46+AY46+BA46</f>
        <v>552683.97999999986</v>
      </c>
    </row>
    <row r="49" spans="1:60" s="230" customFormat="1" ht="15" customHeight="1" thickBot="1" x14ac:dyDescent="0.25">
      <c r="A49" s="369" t="s">
        <v>223</v>
      </c>
      <c r="B49" s="370"/>
      <c r="C49" s="371"/>
      <c r="D49" s="225"/>
      <c r="E49" s="226"/>
      <c r="F49" s="375" t="s">
        <v>132</v>
      </c>
      <c r="G49" s="376"/>
      <c r="H49" s="377"/>
      <c r="I49" s="354" t="s">
        <v>133</v>
      </c>
      <c r="J49" s="355"/>
      <c r="K49" s="356"/>
      <c r="L49" s="354" t="s">
        <v>134</v>
      </c>
      <c r="M49" s="355"/>
      <c r="N49" s="356"/>
      <c r="O49" s="354" t="s">
        <v>135</v>
      </c>
      <c r="P49" s="355"/>
      <c r="Q49" s="356"/>
      <c r="R49" s="354" t="s">
        <v>136</v>
      </c>
      <c r="S49" s="355"/>
      <c r="T49" s="356"/>
      <c r="U49" s="354" t="s">
        <v>137</v>
      </c>
      <c r="V49" s="355"/>
      <c r="W49" s="356"/>
      <c r="X49" s="354" t="s">
        <v>138</v>
      </c>
      <c r="Y49" s="355"/>
      <c r="Z49" s="356"/>
      <c r="AA49" s="354" t="s">
        <v>139</v>
      </c>
      <c r="AB49" s="355"/>
      <c r="AC49" s="356"/>
      <c r="AD49" s="354" t="s">
        <v>140</v>
      </c>
      <c r="AE49" s="355"/>
      <c r="AF49" s="356"/>
      <c r="AG49" s="357" t="s">
        <v>141</v>
      </c>
      <c r="AH49" s="358"/>
      <c r="AI49" s="359"/>
      <c r="AJ49" s="354" t="s">
        <v>142</v>
      </c>
      <c r="AK49" s="355"/>
      <c r="AL49" s="356"/>
      <c r="AM49" s="354" t="s">
        <v>143</v>
      </c>
      <c r="AN49" s="355"/>
      <c r="AO49" s="356"/>
      <c r="AP49" s="354" t="s">
        <v>144</v>
      </c>
      <c r="AQ49" s="355"/>
      <c r="AR49" s="356"/>
      <c r="AS49" s="354" t="s">
        <v>145</v>
      </c>
      <c r="AT49" s="355"/>
      <c r="AU49" s="356"/>
      <c r="AV49" s="227"/>
      <c r="AW49" s="227"/>
      <c r="AX49" s="227"/>
      <c r="AY49" s="227"/>
      <c r="AZ49" s="259"/>
      <c r="BA49" s="227"/>
      <c r="BB49" s="259"/>
      <c r="BC49" s="228"/>
      <c r="BD49" s="229"/>
      <c r="BE49" s="224"/>
      <c r="BF49" s="225"/>
      <c r="BG49" s="242"/>
      <c r="BH49" s="225" t="str">
        <f>A49</f>
        <v>2018 AVOIDED COST</v>
      </c>
    </row>
    <row r="50" spans="1:60" ht="54" customHeight="1" x14ac:dyDescent="0.2">
      <c r="A50" s="182" t="s">
        <v>163</v>
      </c>
      <c r="B50" s="183"/>
      <c r="C50" s="184" t="s">
        <v>58</v>
      </c>
      <c r="D50" s="113" t="s">
        <v>146</v>
      </c>
      <c r="E50" s="114" t="s">
        <v>59</v>
      </c>
      <c r="F50" s="115" t="s">
        <v>90</v>
      </c>
      <c r="G50" s="116" t="s">
        <v>91</v>
      </c>
      <c r="H50" s="117" t="s">
        <v>60</v>
      </c>
      <c r="I50" s="115" t="s">
        <v>92</v>
      </c>
      <c r="J50" s="116" t="s">
        <v>93</v>
      </c>
      <c r="K50" s="118" t="s">
        <v>62</v>
      </c>
      <c r="L50" s="115" t="s">
        <v>94</v>
      </c>
      <c r="M50" s="116" t="s">
        <v>95</v>
      </c>
      <c r="N50" s="118" t="s">
        <v>61</v>
      </c>
      <c r="O50" s="115" t="s">
        <v>96</v>
      </c>
      <c r="P50" s="116" t="s">
        <v>97</v>
      </c>
      <c r="Q50" s="119" t="s">
        <v>98</v>
      </c>
      <c r="R50" s="115" t="s">
        <v>99</v>
      </c>
      <c r="S50" s="116" t="s">
        <v>100</v>
      </c>
      <c r="T50" s="118" t="s">
        <v>74</v>
      </c>
      <c r="U50" s="115" t="s">
        <v>101</v>
      </c>
      <c r="V50" s="116" t="s">
        <v>102</v>
      </c>
      <c r="W50" s="118" t="s">
        <v>75</v>
      </c>
      <c r="X50" s="115" t="s">
        <v>103</v>
      </c>
      <c r="Y50" s="116" t="s">
        <v>104</v>
      </c>
      <c r="Z50" s="118" t="s">
        <v>105</v>
      </c>
      <c r="AA50" s="115" t="s">
        <v>106</v>
      </c>
      <c r="AB50" s="116" t="s">
        <v>107</v>
      </c>
      <c r="AC50" s="118" t="s">
        <v>63</v>
      </c>
      <c r="AD50" s="115" t="s">
        <v>108</v>
      </c>
      <c r="AE50" s="116" t="s">
        <v>109</v>
      </c>
      <c r="AF50" s="119" t="s">
        <v>110</v>
      </c>
      <c r="AG50" s="115" t="s">
        <v>111</v>
      </c>
      <c r="AH50" s="116" t="s">
        <v>112</v>
      </c>
      <c r="AI50" s="118" t="s">
        <v>113</v>
      </c>
      <c r="AJ50" s="115" t="s">
        <v>114</v>
      </c>
      <c r="AK50" s="116" t="s">
        <v>115</v>
      </c>
      <c r="AL50" s="118" t="s">
        <v>76</v>
      </c>
      <c r="AM50" s="115" t="s">
        <v>116</v>
      </c>
      <c r="AN50" s="116" t="s">
        <v>117</v>
      </c>
      <c r="AO50" s="118" t="s">
        <v>77</v>
      </c>
      <c r="AP50" s="115" t="s">
        <v>118</v>
      </c>
      <c r="AQ50" s="116" t="s">
        <v>119</v>
      </c>
      <c r="AR50" s="118" t="s">
        <v>78</v>
      </c>
      <c r="AS50" s="120" t="s">
        <v>120</v>
      </c>
      <c r="AT50" s="121" t="s">
        <v>121</v>
      </c>
      <c r="AU50" s="118" t="s">
        <v>122</v>
      </c>
      <c r="AV50" s="75" t="s">
        <v>147</v>
      </c>
      <c r="AW50" s="122" t="s">
        <v>148</v>
      </c>
      <c r="AX50" s="122" t="s">
        <v>214</v>
      </c>
      <c r="AY50" s="122" t="s">
        <v>149</v>
      </c>
      <c r="AZ50" s="265" t="s">
        <v>149</v>
      </c>
      <c r="BA50" s="122" t="s">
        <v>150</v>
      </c>
      <c r="BB50" s="265" t="s">
        <v>150</v>
      </c>
      <c r="BC50" s="123" t="s">
        <v>64</v>
      </c>
      <c r="BD50" s="124" t="s">
        <v>65</v>
      </c>
      <c r="BE50" s="125"/>
      <c r="BF50" s="126" t="s">
        <v>164</v>
      </c>
      <c r="BG50" s="246" t="s">
        <v>123</v>
      </c>
      <c r="BH50" s="238" t="str">
        <f>BH6</f>
        <v>Total Project Cost with all Admin</v>
      </c>
    </row>
    <row r="51" spans="1:60" x14ac:dyDescent="0.2">
      <c r="A51" s="165">
        <v>112064</v>
      </c>
      <c r="B51" s="166" t="s">
        <v>205</v>
      </c>
      <c r="C51" s="239" t="s">
        <v>177</v>
      </c>
      <c r="D51" s="240" t="s">
        <v>211</v>
      </c>
      <c r="E51" s="94">
        <v>318.66000000000003</v>
      </c>
      <c r="F51" s="199">
        <v>3245.21</v>
      </c>
      <c r="G51" s="199">
        <v>1688.43</v>
      </c>
      <c r="H51" s="85">
        <v>130.59</v>
      </c>
      <c r="I51" s="95">
        <v>4058.45</v>
      </c>
      <c r="J51" s="96">
        <v>9217.4599999999991</v>
      </c>
      <c r="K51" s="87">
        <v>163.37</v>
      </c>
      <c r="L51" s="95">
        <v>229.81</v>
      </c>
      <c r="M51" s="96">
        <v>0</v>
      </c>
      <c r="N51" s="87">
        <v>11.75</v>
      </c>
      <c r="O51" s="95"/>
      <c r="P51" s="96"/>
      <c r="Q51" s="87"/>
      <c r="R51" s="95"/>
      <c r="S51" s="96"/>
      <c r="T51" s="87"/>
      <c r="U51" s="95"/>
      <c r="V51" s="96"/>
      <c r="W51" s="87"/>
      <c r="X51" s="95"/>
      <c r="Y51" s="96"/>
      <c r="Z51" s="87"/>
      <c r="AA51" s="95">
        <v>92.56</v>
      </c>
      <c r="AB51" s="96">
        <v>8876.5</v>
      </c>
      <c r="AC51" s="87">
        <v>13</v>
      </c>
      <c r="AD51" s="95"/>
      <c r="AE51" s="96"/>
      <c r="AF51" s="87"/>
      <c r="AG51" s="95"/>
      <c r="AH51" s="96"/>
      <c r="AI51" s="87"/>
      <c r="AJ51" s="95"/>
      <c r="AK51" s="96"/>
      <c r="AL51" s="87"/>
      <c r="AM51" s="95"/>
      <c r="AN51" s="96"/>
      <c r="AO51" s="87"/>
      <c r="AP51" s="95"/>
      <c r="AQ51" s="96"/>
      <c r="AR51" s="87"/>
      <c r="AS51" s="97"/>
      <c r="AT51" s="98"/>
      <c r="AU51" s="87"/>
      <c r="AV51" s="90">
        <f t="shared" ref="AV51:AW55" si="43">F51+I51+L51+R51+O51+U51+X51+AA51+AD51+AG51+AJ51+AM51+AP51+AS51</f>
        <v>7626.0300000000007</v>
      </c>
      <c r="AW51" s="90">
        <f t="shared" si="43"/>
        <v>19782.39</v>
      </c>
      <c r="AX51" s="90">
        <f>AV51+AW51</f>
        <v>27408.42</v>
      </c>
      <c r="AY51" s="90">
        <v>4111.26</v>
      </c>
      <c r="AZ51" s="261">
        <v>4111.26</v>
      </c>
      <c r="BA51" s="90">
        <v>2740.84</v>
      </c>
      <c r="BB51" s="261">
        <v>2740.84</v>
      </c>
      <c r="BC51" s="91">
        <f>COUNT(F51,I51,L51,O51,R51,U51,X51,AA51,AD51,AG51,AJ51,AM51,AP51,AS51)</f>
        <v>4</v>
      </c>
      <c r="BD51" s="85">
        <f>H51+K51+N51+T51+Q51+W51+Z51+AC51+AF51+AI51+AL51+AO51+AR51+AU51</f>
        <v>318.71000000000004</v>
      </c>
      <c r="BE51" s="54" t="str">
        <f>B51</f>
        <v>20-37</v>
      </c>
      <c r="BF51" s="54">
        <f>A51</f>
        <v>112064</v>
      </c>
      <c r="BG51" s="244">
        <f>AX51+AY51+BB51</f>
        <v>34260.520000000004</v>
      </c>
      <c r="BH51" s="235">
        <v>34260.519999999997</v>
      </c>
    </row>
    <row r="52" spans="1:60" x14ac:dyDescent="0.2">
      <c r="A52" s="168">
        <v>112083</v>
      </c>
      <c r="B52" s="169" t="s">
        <v>206</v>
      </c>
      <c r="C52" s="172" t="s">
        <v>66</v>
      </c>
      <c r="D52" s="93" t="s">
        <v>211</v>
      </c>
      <c r="E52" s="94">
        <v>212.2</v>
      </c>
      <c r="F52" s="199">
        <v>1695.11</v>
      </c>
      <c r="G52" s="199">
        <v>2045.03</v>
      </c>
      <c r="H52" s="85">
        <v>68.2</v>
      </c>
      <c r="I52" s="95"/>
      <c r="J52" s="96"/>
      <c r="K52" s="87"/>
      <c r="L52" s="95"/>
      <c r="M52" s="96"/>
      <c r="N52" s="87"/>
      <c r="O52" s="95"/>
      <c r="P52" s="96"/>
      <c r="Q52" s="87"/>
      <c r="R52" s="95"/>
      <c r="S52" s="96"/>
      <c r="T52" s="87"/>
      <c r="U52" s="95"/>
      <c r="V52" s="96"/>
      <c r="W52" s="87"/>
      <c r="X52" s="95">
        <v>227.1</v>
      </c>
      <c r="Y52" s="96">
        <v>0</v>
      </c>
      <c r="Z52" s="87">
        <v>77</v>
      </c>
      <c r="AA52" s="95">
        <v>92.52</v>
      </c>
      <c r="AB52" s="96">
        <v>1124.8800000000001</v>
      </c>
      <c r="AC52" s="87">
        <v>13</v>
      </c>
      <c r="AD52" s="95"/>
      <c r="AE52" s="96"/>
      <c r="AF52" s="87"/>
      <c r="AG52" s="95"/>
      <c r="AH52" s="96"/>
      <c r="AI52" s="87"/>
      <c r="AJ52" s="95"/>
      <c r="AK52" s="96"/>
      <c r="AL52" s="87"/>
      <c r="AM52" s="95"/>
      <c r="AN52" s="96"/>
      <c r="AO52" s="87"/>
      <c r="AP52" s="95">
        <v>536.29</v>
      </c>
      <c r="AQ52" s="96">
        <v>4383.21</v>
      </c>
      <c r="AR52" s="87">
        <v>54</v>
      </c>
      <c r="AS52" s="97"/>
      <c r="AT52" s="98"/>
      <c r="AU52" s="87"/>
      <c r="AV52" s="90">
        <f t="shared" si="43"/>
        <v>2551.0199999999995</v>
      </c>
      <c r="AW52" s="90">
        <f t="shared" si="43"/>
        <v>7553.12</v>
      </c>
      <c r="AX52" s="90">
        <f>AV52+AW52</f>
        <v>10104.14</v>
      </c>
      <c r="AY52" s="90">
        <v>1515.61</v>
      </c>
      <c r="AZ52" s="261">
        <f>AX52*0.15</f>
        <v>1515.6209999999999</v>
      </c>
      <c r="BA52" s="90">
        <v>1010.41</v>
      </c>
      <c r="BB52" s="261">
        <f>AX52*0.1</f>
        <v>1010.414</v>
      </c>
      <c r="BC52" s="91">
        <f>COUNT(F52,I52,L52,O52,R52,U52,X52,AA52,AD52,AG52,AJ52,AM52,AP52,AS52)</f>
        <v>4</v>
      </c>
      <c r="BD52" s="85">
        <f>H52+K52+N52+T52+Q52+W52+Z52+AC52+AF52+AI52+AL52+AO52+AR52+AU52</f>
        <v>212.2</v>
      </c>
      <c r="BE52" s="54" t="str">
        <f>B52</f>
        <v>20-38</v>
      </c>
      <c r="BF52" s="54">
        <f>A52</f>
        <v>112083</v>
      </c>
      <c r="BG52" s="244">
        <f>AX52+AY52+BB52</f>
        <v>12630.164000000001</v>
      </c>
      <c r="BH52" s="235">
        <v>12630.18</v>
      </c>
    </row>
    <row r="53" spans="1:60" x14ac:dyDescent="0.2">
      <c r="A53" s="168">
        <v>112250</v>
      </c>
      <c r="B53" s="169" t="s">
        <v>207</v>
      </c>
      <c r="C53" s="172" t="s">
        <v>66</v>
      </c>
      <c r="D53" s="93" t="s">
        <v>211</v>
      </c>
      <c r="E53" s="94">
        <v>54</v>
      </c>
      <c r="F53" s="199"/>
      <c r="G53" s="199"/>
      <c r="H53" s="85"/>
      <c r="I53" s="95"/>
      <c r="J53" s="96"/>
      <c r="K53" s="87"/>
      <c r="L53" s="95"/>
      <c r="M53" s="96"/>
      <c r="N53" s="87"/>
      <c r="O53" s="95"/>
      <c r="P53" s="96"/>
      <c r="Q53" s="87"/>
      <c r="R53" s="95"/>
      <c r="S53" s="96"/>
      <c r="T53" s="87"/>
      <c r="U53" s="95"/>
      <c r="V53" s="96"/>
      <c r="W53" s="87"/>
      <c r="X53" s="95"/>
      <c r="Y53" s="96"/>
      <c r="Z53" s="87"/>
      <c r="AA53" s="95"/>
      <c r="AB53" s="96"/>
      <c r="AC53" s="87"/>
      <c r="AD53" s="95"/>
      <c r="AE53" s="96"/>
      <c r="AF53" s="87"/>
      <c r="AG53" s="95"/>
      <c r="AH53" s="96"/>
      <c r="AI53" s="87"/>
      <c r="AJ53" s="95"/>
      <c r="AK53" s="96"/>
      <c r="AL53" s="87"/>
      <c r="AM53" s="95"/>
      <c r="AN53" s="96"/>
      <c r="AO53" s="87"/>
      <c r="AP53" s="95">
        <v>536.29</v>
      </c>
      <c r="AQ53" s="96">
        <v>4383.21</v>
      </c>
      <c r="AR53" s="87">
        <v>54</v>
      </c>
      <c r="AS53" s="97"/>
      <c r="AT53" s="98"/>
      <c r="AU53" s="87"/>
      <c r="AV53" s="90">
        <f t="shared" si="43"/>
        <v>536.29</v>
      </c>
      <c r="AW53" s="90">
        <f t="shared" si="43"/>
        <v>4383.21</v>
      </c>
      <c r="AX53" s="90">
        <f>AV53+AW53</f>
        <v>4919.5</v>
      </c>
      <c r="AY53" s="90">
        <v>737.93</v>
      </c>
      <c r="AZ53" s="261">
        <f>AX53*0.15</f>
        <v>737.92499999999995</v>
      </c>
      <c r="BA53" s="90">
        <v>491.95</v>
      </c>
      <c r="BB53" s="261">
        <f>AX53*0.1</f>
        <v>491.95000000000005</v>
      </c>
      <c r="BC53" s="91">
        <f>COUNT(F53,I53,L53,O53,R53,U53,X53,AA53,AD53,AG53,AJ53,AM53,AP53,AS53)</f>
        <v>1</v>
      </c>
      <c r="BD53" s="85">
        <f>H53+K53+N53+T53+Q53+W53+Z53+AC53+AF53+AI53+AL53+AO53+AR53+AU53</f>
        <v>54</v>
      </c>
      <c r="BE53" s="54" t="str">
        <f>B53</f>
        <v>20-39</v>
      </c>
      <c r="BF53" s="54">
        <v>112250</v>
      </c>
      <c r="BG53" s="244">
        <f>AX53+AY53+BB53</f>
        <v>6149.38</v>
      </c>
      <c r="BH53" s="235">
        <v>6149.38</v>
      </c>
    </row>
    <row r="54" spans="1:60" x14ac:dyDescent="0.2">
      <c r="A54" s="168">
        <v>113354</v>
      </c>
      <c r="B54" s="169" t="s">
        <v>231</v>
      </c>
      <c r="C54" s="172" t="s">
        <v>66</v>
      </c>
      <c r="D54" s="93" t="s">
        <v>151</v>
      </c>
      <c r="E54" s="94">
        <v>306.64</v>
      </c>
      <c r="F54" s="199">
        <v>2689.76</v>
      </c>
      <c r="G54" s="199">
        <v>1547.26</v>
      </c>
      <c r="H54" s="85">
        <v>108.24</v>
      </c>
      <c r="I54" s="95"/>
      <c r="J54" s="96"/>
      <c r="K54" s="87"/>
      <c r="L54" s="95"/>
      <c r="M54" s="96"/>
      <c r="N54" s="87"/>
      <c r="O54" s="95">
        <v>506.94</v>
      </c>
      <c r="P54" s="96">
        <v>2703.23</v>
      </c>
      <c r="Q54" s="87">
        <v>20.399999999999999</v>
      </c>
      <c r="R54" s="95"/>
      <c r="S54" s="96"/>
      <c r="T54" s="87"/>
      <c r="U54" s="95"/>
      <c r="V54" s="96"/>
      <c r="W54" s="87"/>
      <c r="X54" s="95"/>
      <c r="Y54" s="96"/>
      <c r="Z54" s="87"/>
      <c r="AA54" s="95">
        <v>92.56</v>
      </c>
      <c r="AB54" s="96">
        <v>1707.33</v>
      </c>
      <c r="AC54" s="87">
        <v>13</v>
      </c>
      <c r="AD54" s="95">
        <v>1102.23</v>
      </c>
      <c r="AE54" s="96">
        <v>3722.67</v>
      </c>
      <c r="AF54" s="87">
        <v>111</v>
      </c>
      <c r="AG54" s="95"/>
      <c r="AH54" s="96"/>
      <c r="AI54" s="87"/>
      <c r="AJ54" s="95"/>
      <c r="AK54" s="96"/>
      <c r="AL54" s="87"/>
      <c r="AM54" s="95"/>
      <c r="AN54" s="96"/>
      <c r="AO54" s="87"/>
      <c r="AP54" s="95">
        <v>536.22</v>
      </c>
      <c r="AQ54" s="96">
        <v>4340.5</v>
      </c>
      <c r="AR54" s="87">
        <v>54</v>
      </c>
      <c r="AS54" s="97"/>
      <c r="AT54" s="98"/>
      <c r="AU54" s="87"/>
      <c r="AV54" s="90">
        <f t="shared" si="43"/>
        <v>4927.71</v>
      </c>
      <c r="AW54" s="90">
        <f t="shared" si="43"/>
        <v>14020.99</v>
      </c>
      <c r="AX54" s="90">
        <f>AV54+AW54</f>
        <v>18948.7</v>
      </c>
      <c r="AY54" s="90">
        <v>2842.32</v>
      </c>
      <c r="AZ54" s="261">
        <f>AX54*0.15</f>
        <v>2842.3049999999998</v>
      </c>
      <c r="BA54" s="90">
        <v>1894.87</v>
      </c>
      <c r="BB54" s="261">
        <f>AX54*0.1</f>
        <v>1894.8700000000001</v>
      </c>
      <c r="BC54" s="91">
        <f>COUNT(F54,I54,L54,O54,R54,U54,X54,AA54,AD54,AG54,AJ54,AM54,AP54,AS54)</f>
        <v>5</v>
      </c>
      <c r="BD54" s="85">
        <f>H54+K54+N54+T54+Q54+W54+Z54+AC54+AF54+AI54+AL54+AO54+AR54+AU54</f>
        <v>306.64</v>
      </c>
      <c r="BE54" s="54" t="str">
        <f>B54</f>
        <v>20-40</v>
      </c>
      <c r="BF54" s="54">
        <v>113354</v>
      </c>
      <c r="BG54" s="244">
        <f>AX54+AY54+BB54</f>
        <v>23685.89</v>
      </c>
      <c r="BH54" s="235">
        <v>23685.88</v>
      </c>
    </row>
    <row r="55" spans="1:60" ht="13.5" thickBot="1" x14ac:dyDescent="0.25">
      <c r="A55" s="176">
        <v>114073</v>
      </c>
      <c r="B55" s="177" t="s">
        <v>208</v>
      </c>
      <c r="C55" s="178" t="s">
        <v>70</v>
      </c>
      <c r="D55" s="241" t="s">
        <v>151</v>
      </c>
      <c r="E55" s="94">
        <v>196.4</v>
      </c>
      <c r="F55" s="199">
        <v>735.54</v>
      </c>
      <c r="G55" s="199">
        <v>0</v>
      </c>
      <c r="H55" s="85">
        <v>87.21</v>
      </c>
      <c r="I55" s="95">
        <v>1570.42</v>
      </c>
      <c r="J55" s="96">
        <v>2643.66</v>
      </c>
      <c r="K55" s="87">
        <v>63.2</v>
      </c>
      <c r="L55" s="95"/>
      <c r="M55" s="96"/>
      <c r="N55" s="87"/>
      <c r="O55" s="95"/>
      <c r="P55" s="96"/>
      <c r="Q55" s="87"/>
      <c r="R55" s="95"/>
      <c r="S55" s="96"/>
      <c r="T55" s="87"/>
      <c r="U55" s="95"/>
      <c r="V55" s="96"/>
      <c r="W55" s="87"/>
      <c r="X55" s="95"/>
      <c r="Y55" s="96"/>
      <c r="Z55" s="87"/>
      <c r="AA55" s="95">
        <v>92.56</v>
      </c>
      <c r="AB55" s="96">
        <v>305.69</v>
      </c>
      <c r="AC55" s="87">
        <v>13</v>
      </c>
      <c r="AD55" s="95"/>
      <c r="AE55" s="96"/>
      <c r="AF55" s="87"/>
      <c r="AG55" s="95"/>
      <c r="AH55" s="96"/>
      <c r="AI55" s="87"/>
      <c r="AJ55" s="95"/>
      <c r="AK55" s="96"/>
      <c r="AL55" s="87"/>
      <c r="AM55" s="95"/>
      <c r="AN55" s="96"/>
      <c r="AO55" s="87"/>
      <c r="AP55" s="95"/>
      <c r="AQ55" s="96"/>
      <c r="AR55" s="87"/>
      <c r="AS55" s="97">
        <v>216.15</v>
      </c>
      <c r="AT55" s="98">
        <v>2483.2600000000002</v>
      </c>
      <c r="AU55" s="87">
        <v>33</v>
      </c>
      <c r="AV55" s="90">
        <f t="shared" si="43"/>
        <v>2614.67</v>
      </c>
      <c r="AW55" s="90">
        <f t="shared" si="43"/>
        <v>5432.6100000000006</v>
      </c>
      <c r="AX55" s="90">
        <f>AV55+AW55</f>
        <v>8047.2800000000007</v>
      </c>
      <c r="AY55" s="90">
        <v>1207.0899999999999</v>
      </c>
      <c r="AZ55" s="261">
        <f>AX55*0.15</f>
        <v>1207.0920000000001</v>
      </c>
      <c r="BA55" s="90">
        <v>804.73</v>
      </c>
      <c r="BB55" s="261">
        <f>AX55*0.1</f>
        <v>804.72800000000007</v>
      </c>
      <c r="BC55" s="91">
        <f>COUNT(F55,I55,L55,O55,R55,U55,X55,AA55,AD55,AG55,AJ55,AM55,AP55,AS55)</f>
        <v>4</v>
      </c>
      <c r="BD55" s="85">
        <f>H55+K55+N55+T55+Q55+W55+Z55+AC55+AF55+AI55+AL55+AO55+AR55+AU55</f>
        <v>196.41</v>
      </c>
      <c r="BE55" s="54" t="str">
        <f>B55</f>
        <v>20-42</v>
      </c>
      <c r="BF55" s="54">
        <f>A55</f>
        <v>114073</v>
      </c>
      <c r="BG55" s="244">
        <f>AX55+AY55+BB55</f>
        <v>10059.098000000002</v>
      </c>
      <c r="BH55" s="235">
        <v>10059.1</v>
      </c>
    </row>
    <row r="56" spans="1:60" ht="13.5" thickBot="1" x14ac:dyDescent="0.25">
      <c r="E56" s="144">
        <f t="shared" ref="E56:O56" si="44">SUBTOTAL(9,E51:E55)</f>
        <v>1087.9000000000001</v>
      </c>
      <c r="F56" s="145">
        <f t="shared" si="44"/>
        <v>8365.619999999999</v>
      </c>
      <c r="G56" s="145">
        <f t="shared" si="44"/>
        <v>5280.72</v>
      </c>
      <c r="H56" s="146">
        <f t="shared" si="44"/>
        <v>394.24</v>
      </c>
      <c r="I56" s="145">
        <f t="shared" si="44"/>
        <v>5628.87</v>
      </c>
      <c r="J56" s="145">
        <f t="shared" si="44"/>
        <v>11861.119999999999</v>
      </c>
      <c r="K56" s="147">
        <f t="shared" si="44"/>
        <v>226.57</v>
      </c>
      <c r="L56" s="145">
        <f t="shared" si="44"/>
        <v>229.81</v>
      </c>
      <c r="M56" s="145">
        <f t="shared" si="44"/>
        <v>0</v>
      </c>
      <c r="N56" s="146">
        <f t="shared" si="44"/>
        <v>11.75</v>
      </c>
      <c r="O56" s="145">
        <f t="shared" si="44"/>
        <v>506.94</v>
      </c>
      <c r="P56" s="145">
        <f t="shared" ref="P56:Q56" si="45">SUBTOTAL(9,P51:P55)</f>
        <v>2703.23</v>
      </c>
      <c r="Q56" s="146">
        <f t="shared" si="45"/>
        <v>20.399999999999999</v>
      </c>
      <c r="R56" s="145">
        <f>SUBTOTAL(9,R51:R55)</f>
        <v>0</v>
      </c>
      <c r="S56" s="145">
        <f t="shared" ref="S56:T56" si="46">SUBTOTAL(9,S51:S55)</f>
        <v>0</v>
      </c>
      <c r="T56" s="146">
        <f t="shared" si="46"/>
        <v>0</v>
      </c>
      <c r="U56" s="145">
        <f t="shared" ref="U56:AD56" si="47">SUBTOTAL(9,U51:U55)</f>
        <v>0</v>
      </c>
      <c r="V56" s="145">
        <f t="shared" si="47"/>
        <v>0</v>
      </c>
      <c r="W56" s="147">
        <f t="shared" si="47"/>
        <v>0</v>
      </c>
      <c r="X56" s="145">
        <f t="shared" si="47"/>
        <v>227.1</v>
      </c>
      <c r="Y56" s="145">
        <f t="shared" si="47"/>
        <v>0</v>
      </c>
      <c r="Z56" s="146">
        <f t="shared" si="47"/>
        <v>77</v>
      </c>
      <c r="AA56" s="145">
        <f t="shared" si="47"/>
        <v>370.2</v>
      </c>
      <c r="AB56" s="145">
        <f t="shared" si="47"/>
        <v>12014.400000000001</v>
      </c>
      <c r="AC56" s="146">
        <f t="shared" si="47"/>
        <v>52</v>
      </c>
      <c r="AD56" s="145">
        <f t="shared" si="47"/>
        <v>1102.23</v>
      </c>
      <c r="AE56" s="145">
        <f t="shared" ref="AE56:AF56" si="48">SUBTOTAL(9,AE51:AE55)</f>
        <v>3722.67</v>
      </c>
      <c r="AF56" s="186">
        <f t="shared" si="48"/>
        <v>111</v>
      </c>
      <c r="AG56" s="145">
        <f>SUBTOTAL(9,AG50)</f>
        <v>0</v>
      </c>
      <c r="AH56" s="145">
        <f t="shared" ref="AH56:AI56" si="49">SUBTOTAL(9,AH50)</f>
        <v>0</v>
      </c>
      <c r="AI56" s="187">
        <f t="shared" si="49"/>
        <v>0</v>
      </c>
      <c r="AJ56" s="145">
        <f>SUBTOTAL(9,AJ51:AJ55)</f>
        <v>0</v>
      </c>
      <c r="AK56" s="145">
        <f t="shared" ref="AK56:AP56" si="50">SUBTOTAL(9,AK51:AK55)</f>
        <v>0</v>
      </c>
      <c r="AL56" s="146">
        <f t="shared" si="50"/>
        <v>0</v>
      </c>
      <c r="AM56" s="145">
        <f t="shared" si="50"/>
        <v>0</v>
      </c>
      <c r="AN56" s="145">
        <f t="shared" si="50"/>
        <v>0</v>
      </c>
      <c r="AO56" s="146">
        <f t="shared" si="50"/>
        <v>0</v>
      </c>
      <c r="AP56" s="145">
        <f t="shared" si="50"/>
        <v>1608.8</v>
      </c>
      <c r="AQ56" s="145">
        <f t="shared" ref="AQ56" si="51">SUBTOTAL(9,AQ51:AQ55)</f>
        <v>13106.92</v>
      </c>
      <c r="AR56" s="146">
        <f t="shared" ref="AR56" si="52">SUBTOTAL(9,AR51:AR55)</f>
        <v>162</v>
      </c>
      <c r="AS56" s="145">
        <f t="shared" ref="AS56" si="53">SUBTOTAL(9,AS51:AS55)</f>
        <v>216.15</v>
      </c>
      <c r="AT56" s="145">
        <f t="shared" ref="AT56" si="54">SUBTOTAL(9,AT51:AT55)</f>
        <v>2483.2600000000002</v>
      </c>
      <c r="AU56" s="146">
        <f t="shared" ref="AU56" si="55">SUBTOTAL(9,AU51:AU55)</f>
        <v>33</v>
      </c>
      <c r="AV56" s="145">
        <f t="shared" ref="AV56" si="56">SUBTOTAL(9,AV51:AV55)</f>
        <v>18255.72</v>
      </c>
      <c r="AW56" s="145">
        <f>SUBTOTAL(9,AW51:AW55)</f>
        <v>51172.32</v>
      </c>
      <c r="AX56" s="209">
        <f>SUBTOTAL(9,AX51:AX55)</f>
        <v>69428.039999999994</v>
      </c>
      <c r="AY56" s="209">
        <v>10414.209999999999</v>
      </c>
      <c r="AZ56" s="258">
        <f>SUBTOTAL(9,AZ51:AZ55)</f>
        <v>10414.203000000001</v>
      </c>
      <c r="BA56" s="209">
        <v>6942.8</v>
      </c>
      <c r="BB56" s="258">
        <f>SUBTOTAL(9,BB51:BB55)</f>
        <v>6942.8019999999997</v>
      </c>
      <c r="BC56" s="190">
        <f t="shared" ref="BC56" si="57">SUBTOTAL(9,BC51:BC55)</f>
        <v>18</v>
      </c>
      <c r="BD56" s="272">
        <f t="shared" ref="BD56" si="58">SUBTOTAL(9,BD51:BD55)</f>
        <v>1087.96</v>
      </c>
      <c r="BG56" s="214">
        <f>SUBTOTAL(9,BG51:BG55)</f>
        <v>86785.051999999996</v>
      </c>
      <c r="BH56" s="237">
        <v>86785.05</v>
      </c>
    </row>
    <row r="57" spans="1:60" ht="48" customHeight="1" thickBot="1" x14ac:dyDescent="0.25">
      <c r="E57" s="150" t="s">
        <v>209</v>
      </c>
      <c r="F57" s="191">
        <f>COUNT(F51:F55)</f>
        <v>4</v>
      </c>
      <c r="I57" s="191">
        <f>COUNT(I51:I55)</f>
        <v>2</v>
      </c>
      <c r="L57" s="191">
        <f>COUNT(L51:L55)</f>
        <v>1</v>
      </c>
      <c r="O57" s="191">
        <f>COUNT(O51:O55)</f>
        <v>1</v>
      </c>
      <c r="R57" s="191">
        <f>COUNT(R51:R55)</f>
        <v>0</v>
      </c>
      <c r="U57" s="191">
        <f>COUNT(U51:U55)</f>
        <v>0</v>
      </c>
      <c r="X57" s="191">
        <f>COUNT(X51:X55)</f>
        <v>1</v>
      </c>
      <c r="AA57" s="191">
        <f>COUNT(AA51:AA55)</f>
        <v>4</v>
      </c>
      <c r="AD57" s="191">
        <f>COUNT(AD51:AD55)</f>
        <v>1</v>
      </c>
      <c r="AG57" s="191">
        <f>COUNT(AG51:AG55)</f>
        <v>0</v>
      </c>
      <c r="AJ57" s="191">
        <f>COUNT(AJ51:AJ55)</f>
        <v>0</v>
      </c>
      <c r="AM57" s="191">
        <f>COUNT(AM51:AM55)</f>
        <v>0</v>
      </c>
      <c r="AP57" s="191">
        <f>COUNT(AP51:AP55)</f>
        <v>3</v>
      </c>
      <c r="AS57" s="191">
        <f>COUNT(AS51:AS55)</f>
        <v>1</v>
      </c>
      <c r="AV57" s="195" t="str">
        <f>AV50</f>
        <v>Total WIP</v>
      </c>
      <c r="AW57" s="196" t="str">
        <f>AW50</f>
        <v>Total EWIP</v>
      </c>
      <c r="AX57" s="189" t="str">
        <f t="shared" ref="AX57:BG57" si="59">AX50</f>
        <v>Measure Installed Cost</v>
      </c>
      <c r="AY57" s="189" t="str">
        <f t="shared" si="59"/>
        <v>15% Project Coordination</v>
      </c>
      <c r="AZ57" s="263"/>
      <c r="BA57" s="198" t="str">
        <f>BA47</f>
        <v>10% Indirect Rate</v>
      </c>
      <c r="BB57" s="263"/>
      <c r="BC57" s="189" t="str">
        <f t="shared" si="59"/>
        <v># Measures</v>
      </c>
      <c r="BD57" s="196" t="str">
        <f t="shared" si="59"/>
        <v>Therms</v>
      </c>
      <c r="BF57" s="271"/>
      <c r="BG57" s="216" t="str">
        <f t="shared" si="59"/>
        <v>Total Project Cost with all Admin</v>
      </c>
      <c r="BH57" s="231" t="str">
        <f>BH47</f>
        <v>Total Project Cost with all Admin</v>
      </c>
    </row>
    <row r="58" spans="1:60" ht="39" thickBot="1" x14ac:dyDescent="0.25">
      <c r="E58" s="193" t="s">
        <v>215</v>
      </c>
      <c r="F58" s="49">
        <f>F56+G56</f>
        <v>13646.34</v>
      </c>
      <c r="I58" s="34">
        <f>I56+J56</f>
        <v>17489.989999999998</v>
      </c>
      <c r="L58" s="49">
        <f>L56+M56</f>
        <v>229.81</v>
      </c>
      <c r="O58" s="49">
        <f>O56+P56</f>
        <v>3210.17</v>
      </c>
      <c r="R58" s="49">
        <f>R56+S56</f>
        <v>0</v>
      </c>
      <c r="U58" s="49">
        <f>U56+V56</f>
        <v>0</v>
      </c>
      <c r="X58" s="49">
        <f>X56+Y56</f>
        <v>227.1</v>
      </c>
      <c r="AA58" s="49">
        <f>AA56+AB56</f>
        <v>12384.600000000002</v>
      </c>
      <c r="AD58" s="49">
        <f>AD56+AE56</f>
        <v>4824.8999999999996</v>
      </c>
      <c r="AG58" s="49">
        <f>AG56+AH56</f>
        <v>0</v>
      </c>
      <c r="AJ58" s="49">
        <f>AJ56+AK56</f>
        <v>0</v>
      </c>
      <c r="AM58" s="49">
        <f>AM56+AN56</f>
        <v>0</v>
      </c>
      <c r="AP58" s="49">
        <f>AP56+AQ56</f>
        <v>14715.72</v>
      </c>
      <c r="AS58" s="49">
        <f>AS56+AT56</f>
        <v>2699.4100000000003</v>
      </c>
      <c r="BH58" s="271">
        <f>AX56+AY56+BA56</f>
        <v>86785.05</v>
      </c>
    </row>
    <row r="59" spans="1:60" ht="13.5" thickBot="1" x14ac:dyDescent="0.25">
      <c r="D59" s="92" t="s">
        <v>230</v>
      </c>
      <c r="F59" s="49"/>
      <c r="H59" s="107">
        <f>H46+H56</f>
        <v>3362.1399999999994</v>
      </c>
      <c r="K59" s="105">
        <f>K46+K56</f>
        <v>927.33999999999992</v>
      </c>
      <c r="AU59" s="200"/>
      <c r="AV59" s="277">
        <f>AV46+AV56</f>
        <v>186310.64999999994</v>
      </c>
      <c r="AW59" s="277">
        <f t="shared" ref="AW59:BG59" si="60">AW46+AW56</f>
        <v>327059.83</v>
      </c>
      <c r="AX59" s="269">
        <f>AX46+AX56</f>
        <v>513370.48999999987</v>
      </c>
      <c r="AY59" s="269">
        <v>75659.11</v>
      </c>
      <c r="AZ59" s="258">
        <f t="shared" ref="AZ59" si="61">AZ46+AZ56</f>
        <v>75659.099000000017</v>
      </c>
      <c r="BA59" s="269">
        <v>50439.43</v>
      </c>
      <c r="BB59" s="258">
        <f t="shared" si="60"/>
        <v>50439.395000000004</v>
      </c>
      <c r="BC59" s="274">
        <f t="shared" si="60"/>
        <v>169</v>
      </c>
      <c r="BD59" s="275">
        <f>BD46+BD56</f>
        <v>9212.7799999999988</v>
      </c>
      <c r="BE59" s="205"/>
      <c r="BF59" s="206"/>
      <c r="BG59" s="214">
        <f t="shared" si="60"/>
        <v>639468.99600000004</v>
      </c>
      <c r="BH59" s="280">
        <f>BH46+BH56</f>
        <v>639469.03</v>
      </c>
    </row>
    <row r="60" spans="1:60" ht="48" customHeight="1" thickBot="1" x14ac:dyDescent="0.25">
      <c r="F60" s="49"/>
      <c r="AU60" s="201">
        <v>2020</v>
      </c>
      <c r="AV60" s="202" t="s">
        <v>147</v>
      </c>
      <c r="AW60" s="203" t="s">
        <v>148</v>
      </c>
      <c r="AX60" s="204" t="s">
        <v>214</v>
      </c>
      <c r="AY60" s="204" t="s">
        <v>149</v>
      </c>
      <c r="AZ60" s="263" t="s">
        <v>149</v>
      </c>
      <c r="BA60" s="204" t="str">
        <f>BA47</f>
        <v>10% Indirect Rate</v>
      </c>
      <c r="BB60" s="263" t="s">
        <v>150</v>
      </c>
      <c r="BC60" s="204" t="s">
        <v>64</v>
      </c>
      <c r="BD60" s="203" t="s">
        <v>65</v>
      </c>
      <c r="BE60" s="207"/>
      <c r="BF60" s="208"/>
      <c r="BG60" s="216" t="s">
        <v>123</v>
      </c>
      <c r="BH60" s="281"/>
    </row>
    <row r="61" spans="1:60" ht="13.5" thickBot="1" x14ac:dyDescent="0.25">
      <c r="F61" s="49"/>
      <c r="U61" s="213"/>
    </row>
    <row r="62" spans="1:60" ht="13.5" thickBot="1" x14ac:dyDescent="0.25">
      <c r="F62" s="49"/>
      <c r="AV62" s="34" t="s">
        <v>237</v>
      </c>
      <c r="BC62" s="232" t="s">
        <v>235</v>
      </c>
      <c r="BD62" s="233">
        <f>BH59/43</f>
        <v>14871.372790697675</v>
      </c>
      <c r="BH62" s="271">
        <f>AX59+AY59+BA59</f>
        <v>639469.02999999991</v>
      </c>
    </row>
    <row r="63" spans="1:60" x14ac:dyDescent="0.2">
      <c r="F63" s="49"/>
    </row>
    <row r="64" spans="1:60" x14ac:dyDescent="0.2">
      <c r="F64" s="49"/>
      <c r="AX64" s="34">
        <f>SUM(AX59+AY59+BA59)</f>
        <v>639469.02999999991</v>
      </c>
    </row>
    <row r="65" spans="6:50" x14ac:dyDescent="0.2">
      <c r="F65" s="49"/>
      <c r="AV65" s="34">
        <f>186310.65+327059.83</f>
        <v>513370.48</v>
      </c>
      <c r="AW65" s="34">
        <f>AV65+75659.11+50439.43</f>
        <v>639469.02</v>
      </c>
    </row>
    <row r="66" spans="6:50" x14ac:dyDescent="0.2">
      <c r="F66" s="49"/>
      <c r="AV66" s="34">
        <f>AV59+AW59</f>
        <v>513370.48</v>
      </c>
      <c r="AW66" s="34">
        <f>AV66+AY59+BA59</f>
        <v>639469.02</v>
      </c>
    </row>
    <row r="67" spans="6:50" x14ac:dyDescent="0.2">
      <c r="F67" s="49"/>
      <c r="AX67" s="34">
        <f>186310.65+327059.84+75659.11+50439.4</f>
        <v>639469</v>
      </c>
    </row>
    <row r="68" spans="6:50" x14ac:dyDescent="0.2">
      <c r="F68" s="49"/>
    </row>
    <row r="69" spans="6:50" x14ac:dyDescent="0.2">
      <c r="F69" s="49"/>
      <c r="AV69" s="34">
        <f>186310.65+327059.83</f>
        <v>513370.48</v>
      </c>
      <c r="AW69" s="34">
        <f>AV69+75659.11+50439.43</f>
        <v>639469.02</v>
      </c>
    </row>
    <row r="70" spans="6:50" x14ac:dyDescent="0.2">
      <c r="F70" s="49"/>
    </row>
    <row r="71" spans="6:50" x14ac:dyDescent="0.2">
      <c r="F71" s="49"/>
    </row>
    <row r="72" spans="6:50" x14ac:dyDescent="0.2">
      <c r="F72" s="49"/>
    </row>
    <row r="73" spans="6:50" x14ac:dyDescent="0.2">
      <c r="F73" s="49"/>
    </row>
  </sheetData>
  <mergeCells count="30">
    <mergeCell ref="A5:C5"/>
    <mergeCell ref="A49:C49"/>
    <mergeCell ref="F5:H5"/>
    <mergeCell ref="I5:K5"/>
    <mergeCell ref="L5:N5"/>
    <mergeCell ref="F49:H49"/>
    <mergeCell ref="I49:K49"/>
    <mergeCell ref="L49:N49"/>
    <mergeCell ref="O5:Q5"/>
    <mergeCell ref="R5:T5"/>
    <mergeCell ref="AJ5:AL5"/>
    <mergeCell ref="AM5:AO5"/>
    <mergeCell ref="AP5:AR5"/>
    <mergeCell ref="AS5:AU5"/>
    <mergeCell ref="U5:W5"/>
    <mergeCell ref="X5:Z5"/>
    <mergeCell ref="AA5:AC5"/>
    <mergeCell ref="AD5:AF5"/>
    <mergeCell ref="AG5:AI5"/>
    <mergeCell ref="O49:Q49"/>
    <mergeCell ref="R49:T49"/>
    <mergeCell ref="AJ49:AL49"/>
    <mergeCell ref="AM49:AO49"/>
    <mergeCell ref="AP49:AR49"/>
    <mergeCell ref="AS49:AU49"/>
    <mergeCell ref="U49:W49"/>
    <mergeCell ref="X49:Z49"/>
    <mergeCell ref="AA49:AC49"/>
    <mergeCell ref="AD49:AF49"/>
    <mergeCell ref="AG49:AI49"/>
  </mergeCells>
  <pageMargins left="0.7" right="0.7" top="0.75" bottom="0.75" header="0.3" footer="0.3"/>
  <pageSetup orientation="portrait" r:id="rId1"/>
  <ignoredErrors>
    <ignoredError sqref="A3" numberStoredAsText="1"/>
    <ignoredError sqref="BG16 BG24 BG34 BA57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9"/>
  <sheetViews>
    <sheetView zoomScale="80" zoomScaleNormal="80" workbookViewId="0">
      <selection activeCell="A2" sqref="A2:H2"/>
    </sheetView>
  </sheetViews>
  <sheetFormatPr defaultColWidth="10.6640625" defaultRowHeight="12.75" x14ac:dyDescent="0.2"/>
  <cols>
    <col min="1" max="1" width="7.33203125" style="62" bestFit="1" customWidth="1"/>
    <col min="2" max="2" width="7.6640625" style="62" bestFit="1" customWidth="1"/>
    <col min="3" max="3" width="18" style="62" customWidth="1"/>
    <col min="4" max="4" width="12.33203125" style="62" bestFit="1" customWidth="1"/>
    <col min="5" max="5" width="13.33203125" style="62" bestFit="1" customWidth="1"/>
    <col min="6" max="6" width="11.83203125" style="62" bestFit="1" customWidth="1"/>
    <col min="7" max="7" width="21.83203125" style="62" bestFit="1" customWidth="1"/>
    <col min="8" max="8" width="19.33203125" style="62" bestFit="1" customWidth="1"/>
    <col min="9" max="16384" width="10.6640625" style="62"/>
  </cols>
  <sheetData>
    <row r="1" spans="1:8" s="59" customFormat="1" x14ac:dyDescent="0.2">
      <c r="A1" s="378" t="s">
        <v>0</v>
      </c>
      <c r="B1" s="378"/>
      <c r="C1" s="378"/>
      <c r="D1" s="378"/>
      <c r="E1" s="378"/>
      <c r="F1" s="378"/>
      <c r="G1" s="378"/>
      <c r="H1" s="378"/>
    </row>
    <row r="2" spans="1:8" s="59" customFormat="1" x14ac:dyDescent="0.2">
      <c r="A2" s="378" t="s">
        <v>127</v>
      </c>
      <c r="B2" s="378"/>
      <c r="C2" s="378"/>
      <c r="D2" s="378"/>
      <c r="E2" s="378"/>
      <c r="F2" s="378"/>
      <c r="G2" s="378"/>
      <c r="H2" s="378"/>
    </row>
    <row r="3" spans="1:8" s="59" customFormat="1" x14ac:dyDescent="0.2">
      <c r="A3" s="378" t="s">
        <v>28</v>
      </c>
      <c r="B3" s="378"/>
      <c r="C3" s="378"/>
      <c r="D3" s="378"/>
      <c r="E3" s="378"/>
      <c r="F3" s="378"/>
      <c r="G3" s="378"/>
      <c r="H3" s="378"/>
    </row>
    <row r="4" spans="1:8" s="59" customFormat="1" x14ac:dyDescent="0.2">
      <c r="A4" s="378" t="s">
        <v>29</v>
      </c>
      <c r="B4" s="378"/>
      <c r="C4" s="378"/>
      <c r="D4" s="378"/>
      <c r="E4" s="378"/>
      <c r="F4" s="378"/>
      <c r="G4" s="378"/>
      <c r="H4" s="378"/>
    </row>
    <row r="6" spans="1:8" s="60" customFormat="1" x14ac:dyDescent="0.2">
      <c r="C6" s="60" t="s">
        <v>30</v>
      </c>
      <c r="E6" s="60" t="s">
        <v>31</v>
      </c>
      <c r="F6" s="60" t="s">
        <v>48</v>
      </c>
      <c r="G6" s="60" t="s">
        <v>32</v>
      </c>
    </row>
    <row r="7" spans="1:8" s="60" customFormat="1" x14ac:dyDescent="0.2">
      <c r="C7" s="60" t="s">
        <v>33</v>
      </c>
      <c r="D7" s="60" t="s">
        <v>34</v>
      </c>
      <c r="E7" s="60" t="s">
        <v>9</v>
      </c>
      <c r="F7" s="60" t="s">
        <v>49</v>
      </c>
      <c r="G7" s="60" t="s">
        <v>50</v>
      </c>
      <c r="H7" s="60" t="s">
        <v>35</v>
      </c>
    </row>
    <row r="8" spans="1:8" s="60" customFormat="1" x14ac:dyDescent="0.2">
      <c r="C8" s="60" t="s">
        <v>36</v>
      </c>
      <c r="D8" s="60" t="s">
        <v>36</v>
      </c>
      <c r="E8" s="60" t="s">
        <v>33</v>
      </c>
      <c r="F8" s="60" t="s">
        <v>24</v>
      </c>
      <c r="G8" s="60" t="s">
        <v>37</v>
      </c>
      <c r="H8" s="60" t="s">
        <v>38</v>
      </c>
    </row>
    <row r="9" spans="1:8" s="60" customFormat="1" x14ac:dyDescent="0.2">
      <c r="B9" s="61" t="s">
        <v>39</v>
      </c>
      <c r="C9" s="61" t="s">
        <v>40</v>
      </c>
      <c r="D9" s="61" t="s">
        <v>8</v>
      </c>
      <c r="E9" s="61" t="s">
        <v>41</v>
      </c>
      <c r="F9" s="61"/>
      <c r="G9" s="61" t="s">
        <v>42</v>
      </c>
      <c r="H9" s="61" t="s">
        <v>43</v>
      </c>
    </row>
    <row r="10" spans="1:8" x14ac:dyDescent="0.2">
      <c r="A10" s="62">
        <v>2017</v>
      </c>
      <c r="B10" s="62">
        <v>1</v>
      </c>
      <c r="C10" s="63">
        <v>0.506692917477916</v>
      </c>
      <c r="D10" s="63">
        <v>0.52449999999999997</v>
      </c>
      <c r="E10" s="63">
        <v>0.52449999999999997</v>
      </c>
      <c r="F10" s="64" t="s">
        <v>79</v>
      </c>
      <c r="G10" s="63">
        <v>0.55072500000000002</v>
      </c>
      <c r="H10" s="63">
        <v>0.57011051999999995</v>
      </c>
    </row>
    <row r="11" spans="1:8" x14ac:dyDescent="0.2">
      <c r="A11" s="62">
        <v>2018</v>
      </c>
      <c r="B11" s="62">
        <v>2</v>
      </c>
      <c r="C11" s="63">
        <v>0.48302252581501598</v>
      </c>
      <c r="D11" s="63">
        <v>0.51759999999999995</v>
      </c>
      <c r="E11" s="63">
        <v>1.0421</v>
      </c>
      <c r="F11" s="64" t="s">
        <v>79</v>
      </c>
      <c r="G11" s="63">
        <v>1.0942050000000001</v>
      </c>
      <c r="H11" s="63">
        <v>0.57615605137735904</v>
      </c>
    </row>
    <row r="12" spans="1:8" x14ac:dyDescent="0.2">
      <c r="A12" s="62">
        <v>2019</v>
      </c>
      <c r="B12" s="62">
        <v>3</v>
      </c>
      <c r="C12" s="63">
        <v>0.46217550395656798</v>
      </c>
      <c r="D12" s="63">
        <v>0.51270000000000004</v>
      </c>
      <c r="E12" s="63">
        <v>1.5548</v>
      </c>
      <c r="F12" s="64" t="s">
        <v>79</v>
      </c>
      <c r="G12" s="63">
        <v>1.6325400000000001</v>
      </c>
      <c r="H12" s="63">
        <v>0.58293196065410902</v>
      </c>
    </row>
    <row r="13" spans="1:8" x14ac:dyDescent="0.2">
      <c r="A13" s="62">
        <v>2020</v>
      </c>
      <c r="B13" s="62">
        <v>4</v>
      </c>
      <c r="C13" s="63">
        <v>0.441776064560502</v>
      </c>
      <c r="D13" s="63">
        <v>0.50729999999999997</v>
      </c>
      <c r="E13" s="63">
        <v>2.0621</v>
      </c>
      <c r="F13" s="64" t="s">
        <v>79</v>
      </c>
      <c r="G13" s="63">
        <v>2.1652049999999998</v>
      </c>
      <c r="H13" s="63">
        <v>0.58975943021046795</v>
      </c>
    </row>
    <row r="14" spans="1:8" x14ac:dyDescent="0.2">
      <c r="A14" s="62">
        <v>2021</v>
      </c>
      <c r="B14" s="62">
        <v>5</v>
      </c>
      <c r="C14" s="63">
        <v>0.43535705596309598</v>
      </c>
      <c r="D14" s="63">
        <v>0.51759999999999995</v>
      </c>
      <c r="E14" s="63">
        <v>2.5796999999999999</v>
      </c>
      <c r="F14" s="65" t="s">
        <v>80</v>
      </c>
      <c r="G14" s="63">
        <v>2.7731775000000001</v>
      </c>
      <c r="H14" s="63">
        <v>0.61455510299969196</v>
      </c>
    </row>
    <row r="15" spans="1:8" x14ac:dyDescent="0.2">
      <c r="A15" s="62">
        <v>2022</v>
      </c>
      <c r="B15" s="62">
        <v>6</v>
      </c>
      <c r="C15" s="63">
        <v>0.43655277897123201</v>
      </c>
      <c r="D15" s="63">
        <v>0.5373</v>
      </c>
      <c r="E15" s="63">
        <v>3.117</v>
      </c>
      <c r="F15" s="65" t="s">
        <v>80</v>
      </c>
      <c r="G15" s="63">
        <v>3.3507750000000001</v>
      </c>
      <c r="H15" s="63">
        <v>0.629247118316003</v>
      </c>
    </row>
    <row r="16" spans="1:8" x14ac:dyDescent="0.2">
      <c r="A16" s="62">
        <v>2023</v>
      </c>
      <c r="B16" s="62">
        <v>7</v>
      </c>
      <c r="C16" s="63">
        <v>0.41640962145316102</v>
      </c>
      <c r="D16" s="63">
        <v>0.53049999999999997</v>
      </c>
      <c r="E16" s="63">
        <v>3.6475</v>
      </c>
      <c r="F16" s="65" t="s">
        <v>80</v>
      </c>
      <c r="G16" s="63">
        <v>3.9210625000000001</v>
      </c>
      <c r="H16" s="63">
        <v>0.64174689766763904</v>
      </c>
    </row>
    <row r="17" spans="1:19" x14ac:dyDescent="0.2">
      <c r="A17" s="62">
        <v>2024</v>
      </c>
      <c r="B17" s="62">
        <v>8</v>
      </c>
      <c r="C17" s="63">
        <v>0.41561719599766</v>
      </c>
      <c r="D17" s="63">
        <v>0.54810000000000003</v>
      </c>
      <c r="E17" s="63">
        <v>4.1955999999999998</v>
      </c>
      <c r="F17" s="65" t="s">
        <v>80</v>
      </c>
      <c r="G17" s="63">
        <v>4.5102700000000002</v>
      </c>
      <c r="H17" s="63">
        <v>0.65668675188056402</v>
      </c>
    </row>
    <row r="18" spans="1:19" x14ac:dyDescent="0.2">
      <c r="A18" s="62">
        <v>2025</v>
      </c>
      <c r="B18" s="62">
        <v>9</v>
      </c>
      <c r="C18" s="63">
        <v>0.40376293781064299</v>
      </c>
      <c r="D18" s="63">
        <v>0.55120000000000002</v>
      </c>
      <c r="E18" s="63">
        <v>4.7468000000000004</v>
      </c>
      <c r="F18" s="65" t="s">
        <v>80</v>
      </c>
      <c r="G18" s="63">
        <v>5.1028099999999998</v>
      </c>
      <c r="H18" s="63">
        <v>0.671362515855918</v>
      </c>
    </row>
    <row r="19" spans="1:19" x14ac:dyDescent="0.2">
      <c r="A19" s="62">
        <v>2026</v>
      </c>
      <c r="B19" s="62">
        <v>10</v>
      </c>
      <c r="C19" s="63">
        <v>0.39127820142947001</v>
      </c>
      <c r="D19" s="63">
        <v>0.55300000000000005</v>
      </c>
      <c r="E19" s="63">
        <v>5.2998000000000003</v>
      </c>
      <c r="F19" s="64" t="s">
        <v>81</v>
      </c>
      <c r="G19" s="63">
        <v>5.8297800000000004</v>
      </c>
      <c r="H19" s="63">
        <v>0.70168753835864495</v>
      </c>
    </row>
    <row r="20" spans="1:19" x14ac:dyDescent="0.2">
      <c r="A20" s="62">
        <v>2027</v>
      </c>
      <c r="B20" s="62">
        <v>11</v>
      </c>
      <c r="C20" s="63">
        <v>0.38650562335903699</v>
      </c>
      <c r="D20" s="63">
        <v>0.5655</v>
      </c>
      <c r="E20" s="63">
        <v>5.8653000000000004</v>
      </c>
      <c r="F20" s="64" t="s">
        <v>81</v>
      </c>
      <c r="G20" s="63">
        <v>6.4518300000000002</v>
      </c>
      <c r="H20" s="63">
        <v>0.71753017552309395</v>
      </c>
      <c r="R20" s="66"/>
      <c r="S20" s="67"/>
    </row>
    <row r="21" spans="1:19" x14ac:dyDescent="0.2">
      <c r="A21" s="62">
        <v>2028</v>
      </c>
      <c r="B21" s="62">
        <v>12</v>
      </c>
      <c r="C21" s="63">
        <v>0.38791872432986002</v>
      </c>
      <c r="D21" s="63">
        <v>0.58750000000000002</v>
      </c>
      <c r="E21" s="63">
        <v>6.4527999999999999</v>
      </c>
      <c r="F21" s="64" t="s">
        <v>81</v>
      </c>
      <c r="G21" s="63">
        <v>7.0980800000000004</v>
      </c>
      <c r="H21" s="63">
        <v>0.73540219867662504</v>
      </c>
    </row>
    <row r="22" spans="1:19" x14ac:dyDescent="0.2">
      <c r="A22" s="62">
        <v>2029</v>
      </c>
      <c r="B22" s="62">
        <v>13</v>
      </c>
      <c r="C22" s="63">
        <v>0.37595687441032299</v>
      </c>
      <c r="D22" s="63">
        <v>0.58950000000000002</v>
      </c>
      <c r="E22" s="63">
        <v>7.0423</v>
      </c>
      <c r="F22" s="64" t="s">
        <v>81</v>
      </c>
      <c r="G22" s="63">
        <v>7.7465299999999999</v>
      </c>
      <c r="H22" s="63">
        <v>0.75283800222888697</v>
      </c>
    </row>
    <row r="23" spans="1:19" x14ac:dyDescent="0.2">
      <c r="A23" s="62">
        <v>2030</v>
      </c>
      <c r="B23" s="62">
        <v>14</v>
      </c>
      <c r="C23" s="63">
        <v>0.37754185252386102</v>
      </c>
      <c r="D23" s="63">
        <v>0.61280000000000001</v>
      </c>
      <c r="E23" s="63">
        <v>7.6551</v>
      </c>
      <c r="F23" s="64" t="s">
        <v>81</v>
      </c>
      <c r="G23" s="63">
        <v>8.4206099999999999</v>
      </c>
      <c r="H23" s="63">
        <v>0.77211629283704597</v>
      </c>
    </row>
    <row r="24" spans="1:19" x14ac:dyDescent="0.2">
      <c r="A24" s="62">
        <v>2031</v>
      </c>
      <c r="B24" s="62">
        <v>15</v>
      </c>
      <c r="C24" s="63">
        <v>0.37627710978288198</v>
      </c>
      <c r="D24" s="63">
        <v>0.63219999999999998</v>
      </c>
      <c r="E24" s="63">
        <v>8.2873000000000001</v>
      </c>
      <c r="F24" s="65" t="s">
        <v>82</v>
      </c>
      <c r="G24" s="63">
        <v>9.3232125000000003</v>
      </c>
      <c r="H24" s="63">
        <v>0.81064038086745605</v>
      </c>
    </row>
    <row r="25" spans="1:19" x14ac:dyDescent="0.2">
      <c r="A25" s="62">
        <v>2032</v>
      </c>
      <c r="B25" s="62">
        <v>16</v>
      </c>
      <c r="C25" s="63">
        <v>0.36391884754528803</v>
      </c>
      <c r="D25" s="63">
        <v>0.63300000000000001</v>
      </c>
      <c r="E25" s="63">
        <v>8.9202999999999992</v>
      </c>
      <c r="F25" s="65" t="s">
        <v>82</v>
      </c>
      <c r="G25" s="63">
        <v>10.035337500000001</v>
      </c>
      <c r="H25" s="63">
        <v>0.83101695530386399</v>
      </c>
    </row>
    <row r="26" spans="1:19" x14ac:dyDescent="0.2">
      <c r="A26" s="62">
        <v>2033</v>
      </c>
      <c r="B26" s="62">
        <v>17</v>
      </c>
      <c r="C26" s="63">
        <v>0.366788831087001</v>
      </c>
      <c r="D26" s="63">
        <v>0.66039999999999999</v>
      </c>
      <c r="E26" s="63">
        <v>9.5807000000000002</v>
      </c>
      <c r="F26" s="65" t="s">
        <v>82</v>
      </c>
      <c r="G26" s="63">
        <v>10.778287499999999</v>
      </c>
      <c r="H26" s="63">
        <v>0.85329665766642104</v>
      </c>
    </row>
    <row r="27" spans="1:19" x14ac:dyDescent="0.2">
      <c r="A27" s="62">
        <v>2034</v>
      </c>
      <c r="B27" s="62">
        <v>18</v>
      </c>
      <c r="C27" s="63">
        <v>0.35509665531992102</v>
      </c>
      <c r="D27" s="63">
        <v>0.66190000000000004</v>
      </c>
      <c r="E27" s="63">
        <v>10.242599999999999</v>
      </c>
      <c r="F27" s="65" t="s">
        <v>82</v>
      </c>
      <c r="G27" s="63">
        <v>11.522925000000001</v>
      </c>
      <c r="H27" s="63">
        <v>0.87508084147130905</v>
      </c>
    </row>
    <row r="28" spans="1:19" x14ac:dyDescent="0.2">
      <c r="A28" s="62">
        <v>2035</v>
      </c>
      <c r="B28" s="62">
        <v>19</v>
      </c>
      <c r="C28" s="63">
        <v>0.34753485959569602</v>
      </c>
      <c r="D28" s="63">
        <v>0.67059999999999997</v>
      </c>
      <c r="E28" s="63">
        <v>10.9132</v>
      </c>
      <c r="F28" s="65" t="s">
        <v>82</v>
      </c>
      <c r="G28" s="63">
        <v>12.27735</v>
      </c>
      <c r="H28" s="63">
        <v>0.897067740402681</v>
      </c>
    </row>
    <row r="29" spans="1:19" x14ac:dyDescent="0.2">
      <c r="A29" s="62">
        <v>2036</v>
      </c>
      <c r="B29" s="62">
        <v>20</v>
      </c>
      <c r="C29" s="63">
        <v>0.34022516736710201</v>
      </c>
      <c r="D29" s="63">
        <v>0.67959999999999998</v>
      </c>
      <c r="E29" s="63">
        <v>11.5928</v>
      </c>
      <c r="F29" s="65" t="s">
        <v>82</v>
      </c>
      <c r="G29" s="63">
        <v>13.0419</v>
      </c>
      <c r="H29" s="63">
        <v>0.91930355234543903</v>
      </c>
    </row>
    <row r="30" spans="1:19" x14ac:dyDescent="0.2">
      <c r="A30" s="62">
        <v>2037</v>
      </c>
      <c r="B30" s="62">
        <v>21</v>
      </c>
      <c r="C30" s="63">
        <v>0.33189999999999997</v>
      </c>
      <c r="D30" s="63">
        <v>0.68639600000000001</v>
      </c>
      <c r="E30" s="63">
        <v>12.279196000000001</v>
      </c>
      <c r="F30" s="64" t="s">
        <v>83</v>
      </c>
      <c r="G30" s="63">
        <v>14.1210754</v>
      </c>
      <c r="H30" s="63">
        <v>0.96256067436903203</v>
      </c>
    </row>
    <row r="31" spans="1:19" x14ac:dyDescent="0.2">
      <c r="A31" s="62">
        <v>2038</v>
      </c>
      <c r="B31" s="62">
        <v>22</v>
      </c>
      <c r="C31" s="63">
        <v>0.32390000000000002</v>
      </c>
      <c r="D31" s="63">
        <v>0.69325996000000001</v>
      </c>
      <c r="E31" s="63">
        <v>12.97245596</v>
      </c>
      <c r="F31" s="64" t="s">
        <v>83</v>
      </c>
      <c r="G31" s="63">
        <v>14.918324353999999</v>
      </c>
      <c r="H31" s="63">
        <v>0.98552212265613304</v>
      </c>
    </row>
    <row r="32" spans="1:19" x14ac:dyDescent="0.2">
      <c r="A32" s="62">
        <v>2039</v>
      </c>
      <c r="B32" s="62">
        <v>23</v>
      </c>
      <c r="C32" s="63">
        <v>0.316</v>
      </c>
      <c r="D32" s="63">
        <v>0.70019255960000004</v>
      </c>
      <c r="E32" s="63">
        <v>13.672648519599999</v>
      </c>
      <c r="F32" s="64" t="s">
        <v>83</v>
      </c>
      <c r="G32" s="63">
        <v>15.72354579754</v>
      </c>
      <c r="H32" s="63">
        <v>1.0086464310452701</v>
      </c>
    </row>
    <row r="33" spans="1:8" x14ac:dyDescent="0.2">
      <c r="A33" s="62">
        <v>2040</v>
      </c>
      <c r="B33" s="62">
        <v>24</v>
      </c>
      <c r="C33" s="63">
        <v>0.30830000000000002</v>
      </c>
      <c r="D33" s="63">
        <v>0.70719448519600003</v>
      </c>
      <c r="E33" s="63">
        <v>14.379843004795999</v>
      </c>
      <c r="F33" s="64" t="s">
        <v>83</v>
      </c>
      <c r="G33" s="63">
        <v>16.536819455515399</v>
      </c>
      <c r="H33" s="63">
        <v>1.03195880055061</v>
      </c>
    </row>
    <row r="34" spans="1:8" x14ac:dyDescent="0.2">
      <c r="A34" s="62">
        <v>2041</v>
      </c>
      <c r="B34" s="62">
        <v>25</v>
      </c>
      <c r="C34" s="63">
        <v>0.30080000000000001</v>
      </c>
      <c r="D34" s="63">
        <v>0.71426643004795998</v>
      </c>
      <c r="E34" s="63">
        <v>15.094109434844</v>
      </c>
      <c r="F34" s="64" t="s">
        <v>83</v>
      </c>
      <c r="G34" s="63">
        <v>17.3582258500706</v>
      </c>
      <c r="H34" s="63">
        <v>1.0554809412422199</v>
      </c>
    </row>
    <row r="35" spans="1:8" x14ac:dyDescent="0.2">
      <c r="A35" s="62">
        <v>2042</v>
      </c>
      <c r="B35" s="62">
        <v>26</v>
      </c>
      <c r="C35" s="63">
        <v>0.29349999999999998</v>
      </c>
      <c r="D35" s="63">
        <v>0.72140909434844003</v>
      </c>
      <c r="E35" s="63">
        <v>15.815518529192399</v>
      </c>
      <c r="F35" s="65" t="s">
        <v>84</v>
      </c>
      <c r="G35" s="63">
        <v>18.5832342718011</v>
      </c>
      <c r="H35" s="63">
        <v>1.1026933043184499</v>
      </c>
    </row>
    <row r="36" spans="1:8" x14ac:dyDescent="0.2">
      <c r="A36" s="62">
        <v>2043</v>
      </c>
      <c r="B36" s="62">
        <v>27</v>
      </c>
      <c r="C36" s="63">
        <v>0.2863</v>
      </c>
      <c r="D36" s="63">
        <v>0.72862318529192405</v>
      </c>
      <c r="E36" s="63">
        <v>16.544141714484301</v>
      </c>
      <c r="F36" s="65" t="s">
        <v>84</v>
      </c>
      <c r="G36" s="63">
        <v>19.439366514519101</v>
      </c>
      <c r="H36" s="63">
        <v>1.1272110200121499</v>
      </c>
    </row>
    <row r="37" spans="1:8" x14ac:dyDescent="0.2">
      <c r="A37" s="62">
        <v>2044</v>
      </c>
      <c r="B37" s="62">
        <v>28</v>
      </c>
      <c r="C37" s="63">
        <v>0.27929999999999999</v>
      </c>
      <c r="D37" s="63">
        <v>0.73590941714484304</v>
      </c>
      <c r="E37" s="63">
        <v>17.2800511316292</v>
      </c>
      <c r="F37" s="65" t="s">
        <v>84</v>
      </c>
      <c r="G37" s="63">
        <v>20.3040600796643</v>
      </c>
      <c r="H37" s="63">
        <v>1.1519943575740099</v>
      </c>
    </row>
    <row r="38" spans="1:8" x14ac:dyDescent="0.2">
      <c r="A38" s="62">
        <v>2045</v>
      </c>
      <c r="B38" s="62">
        <v>29</v>
      </c>
      <c r="C38" s="63">
        <v>0.27250000000000002</v>
      </c>
      <c r="D38" s="63">
        <v>0.74326851131629201</v>
      </c>
      <c r="E38" s="63">
        <v>18.023319642945498</v>
      </c>
      <c r="F38" s="65" t="s">
        <v>84</v>
      </c>
      <c r="G38" s="63">
        <v>21.177400580460901</v>
      </c>
      <c r="H38" s="63">
        <v>1.1770567561259799</v>
      </c>
    </row>
    <row r="39" spans="1:8" x14ac:dyDescent="0.2">
      <c r="A39" s="62">
        <v>2046</v>
      </c>
      <c r="B39" s="62">
        <v>30</v>
      </c>
      <c r="C39" s="63">
        <v>0.26590000000000003</v>
      </c>
      <c r="D39" s="63">
        <v>0.75070119642945499</v>
      </c>
      <c r="E39" s="63">
        <v>18.774020839374899</v>
      </c>
      <c r="F39" s="65" t="s">
        <v>84</v>
      </c>
      <c r="G39" s="63">
        <v>22.059474486265501</v>
      </c>
      <c r="H39" s="63">
        <v>1.2024103291102399</v>
      </c>
    </row>
    <row r="40" spans="1:8" x14ac:dyDescent="0.2">
      <c r="A40" s="62">
        <v>2047</v>
      </c>
      <c r="B40" s="62">
        <v>31</v>
      </c>
      <c r="C40" s="63">
        <v>0.25940000000000002</v>
      </c>
      <c r="D40" s="63">
        <v>0.75820820839374903</v>
      </c>
      <c r="E40" s="63">
        <v>19.532229047768698</v>
      </c>
      <c r="F40" s="64" t="s">
        <v>85</v>
      </c>
      <c r="G40" s="63">
        <v>23.4386748573224</v>
      </c>
      <c r="H40" s="63">
        <v>1.2541951448828901</v>
      </c>
    </row>
    <row r="41" spans="1:8" x14ac:dyDescent="0.2">
      <c r="A41" s="62">
        <v>2048</v>
      </c>
      <c r="B41" s="62">
        <v>32</v>
      </c>
      <c r="C41" s="63">
        <v>0.25309999999999999</v>
      </c>
      <c r="D41" s="63">
        <v>0.76579029047768699</v>
      </c>
      <c r="E41" s="63">
        <v>20.298019338246299</v>
      </c>
      <c r="F41" s="64" t="s">
        <v>85</v>
      </c>
      <c r="G41" s="63">
        <v>24.357623205895599</v>
      </c>
      <c r="H41" s="63">
        <v>1.2807156499932999</v>
      </c>
    </row>
    <row r="42" spans="1:8" x14ac:dyDescent="0.2">
      <c r="A42" s="62">
        <v>2049</v>
      </c>
      <c r="B42" s="62">
        <v>33</v>
      </c>
      <c r="C42" s="63">
        <v>0.247</v>
      </c>
      <c r="D42" s="63">
        <v>0.77344819338246396</v>
      </c>
      <c r="E42" s="63">
        <v>21.071467531628802</v>
      </c>
      <c r="F42" s="64" t="s">
        <v>85</v>
      </c>
      <c r="G42" s="63">
        <v>25.2857610379546</v>
      </c>
      <c r="H42" s="63">
        <v>1.30756451467569</v>
      </c>
    </row>
    <row r="43" spans="1:8" x14ac:dyDescent="0.2">
      <c r="A43" s="62">
        <v>2050</v>
      </c>
      <c r="B43" s="62">
        <v>34</v>
      </c>
      <c r="C43" s="63">
        <v>0.24099999999999999</v>
      </c>
      <c r="D43" s="63">
        <v>0.78118267531628804</v>
      </c>
      <c r="E43" s="63">
        <v>21.8526502069451</v>
      </c>
      <c r="F43" s="64" t="s">
        <v>85</v>
      </c>
      <c r="G43" s="63">
        <v>26.223180248334099</v>
      </c>
      <c r="H43" s="63">
        <v>1.33475052162326</v>
      </c>
    </row>
    <row r="44" spans="1:8" x14ac:dyDescent="0.2">
      <c r="A44" s="62">
        <v>2051</v>
      </c>
      <c r="B44" s="62">
        <v>35</v>
      </c>
      <c r="C44" s="63">
        <v>0.2351</v>
      </c>
      <c r="D44" s="63">
        <v>0.78899450206945099</v>
      </c>
      <c r="E44" s="63">
        <v>22.6416447090145</v>
      </c>
      <c r="F44" s="64" t="s">
        <v>85</v>
      </c>
      <c r="G44" s="63">
        <v>27.1699736508175</v>
      </c>
      <c r="H44" s="63">
        <v>1.3622818643825101</v>
      </c>
    </row>
    <row r="45" spans="1:8" x14ac:dyDescent="0.2">
      <c r="A45" s="62">
        <v>2052</v>
      </c>
      <c r="B45" s="62">
        <v>36</v>
      </c>
      <c r="C45" s="63">
        <v>0.22939999999999999</v>
      </c>
      <c r="D45" s="63">
        <v>0.79688444709014605</v>
      </c>
      <c r="E45" s="63">
        <v>23.4385291561047</v>
      </c>
      <c r="F45" s="64" t="s">
        <v>85</v>
      </c>
      <c r="G45" s="63">
        <v>28.126234987325599</v>
      </c>
      <c r="H45" s="63">
        <v>1.3901662306967699</v>
      </c>
    </row>
    <row r="46" spans="1:8" x14ac:dyDescent="0.2">
      <c r="A46" s="62">
        <v>2053</v>
      </c>
      <c r="B46" s="62">
        <v>37</v>
      </c>
      <c r="C46" s="63">
        <v>0.2238</v>
      </c>
      <c r="D46" s="63">
        <v>0.80485329156104701</v>
      </c>
      <c r="E46" s="63">
        <v>24.243382447665699</v>
      </c>
      <c r="F46" s="64" t="s">
        <v>85</v>
      </c>
      <c r="G46" s="63">
        <v>29.0920589371989</v>
      </c>
      <c r="H46" s="63">
        <v>1.41841087242749</v>
      </c>
    </row>
    <row r="47" spans="1:8" x14ac:dyDescent="0.2">
      <c r="A47" s="62">
        <v>2054</v>
      </c>
      <c r="B47" s="62">
        <v>38</v>
      </c>
      <c r="C47" s="63">
        <v>0.21829999999999999</v>
      </c>
      <c r="D47" s="63">
        <v>0.81290182447665804</v>
      </c>
      <c r="E47" s="63">
        <v>25.056284272142399</v>
      </c>
      <c r="F47" s="64" t="s">
        <v>85</v>
      </c>
      <c r="G47" s="63">
        <v>30.067541126570902</v>
      </c>
      <c r="H47" s="63">
        <v>1.4470226645295901</v>
      </c>
    </row>
    <row r="48" spans="1:8" x14ac:dyDescent="0.2">
      <c r="A48" s="62">
        <v>2055</v>
      </c>
      <c r="B48" s="62">
        <v>39</v>
      </c>
      <c r="C48" s="63">
        <v>0.21299999999999999</v>
      </c>
      <c r="D48" s="63">
        <v>0.82103084272142401</v>
      </c>
      <c r="E48" s="63">
        <v>25.877315114863801</v>
      </c>
      <c r="F48" s="64" t="s">
        <v>85</v>
      </c>
      <c r="G48" s="63">
        <v>31.052778137836601</v>
      </c>
      <c r="H48" s="63">
        <v>1.4760081550492099</v>
      </c>
    </row>
    <row r="49" spans="1:8" x14ac:dyDescent="0.2">
      <c r="A49" s="62">
        <v>2056</v>
      </c>
      <c r="B49" s="62">
        <v>40</v>
      </c>
      <c r="C49" s="63">
        <v>0.20780000000000001</v>
      </c>
      <c r="D49" s="63">
        <v>0.82924115114863906</v>
      </c>
      <c r="E49" s="63">
        <v>26.706556266012502</v>
      </c>
      <c r="F49" s="64" t="s">
        <v>85</v>
      </c>
      <c r="G49" s="63">
        <v>32.047867519215004</v>
      </c>
      <c r="H49" s="63">
        <v>1.5053736077183399</v>
      </c>
    </row>
    <row r="50" spans="1:8" x14ac:dyDescent="0.2">
      <c r="A50" s="62">
        <v>2057</v>
      </c>
      <c r="B50" s="62">
        <v>41</v>
      </c>
      <c r="C50" s="63">
        <v>0.20280000000000001</v>
      </c>
      <c r="D50" s="63">
        <v>0.83753356266012502</v>
      </c>
      <c r="E50" s="63">
        <v>27.5440898286726</v>
      </c>
      <c r="F50" s="64" t="s">
        <v>85</v>
      </c>
      <c r="G50" s="63">
        <v>33.052907794407098</v>
      </c>
      <c r="H50" s="63">
        <v>1.53512503841349</v>
      </c>
    </row>
    <row r="51" spans="1:8" x14ac:dyDescent="0.2">
      <c r="A51" s="62">
        <v>2058</v>
      </c>
      <c r="B51" s="62">
        <v>42</v>
      </c>
      <c r="C51" s="63">
        <v>0.1978</v>
      </c>
      <c r="D51" s="63">
        <v>0.845908898286726</v>
      </c>
      <c r="E51" s="63">
        <v>28.389998726959298</v>
      </c>
      <c r="F51" s="64" t="s">
        <v>85</v>
      </c>
      <c r="G51" s="63">
        <v>34.067998472351199</v>
      </c>
      <c r="H51" s="63">
        <v>1.5652682465040999</v>
      </c>
    </row>
    <row r="52" spans="1:8" x14ac:dyDescent="0.2">
      <c r="A52" s="62">
        <v>2059</v>
      </c>
      <c r="B52" s="62">
        <v>43</v>
      </c>
      <c r="C52" s="63">
        <v>0.193</v>
      </c>
      <c r="D52" s="63">
        <v>0.85436798726959395</v>
      </c>
      <c r="E52" s="63">
        <v>29.244366714228899</v>
      </c>
      <c r="F52" s="64" t="s">
        <v>85</v>
      </c>
      <c r="G52" s="63">
        <v>35.093240057074702</v>
      </c>
      <c r="H52" s="63">
        <v>1.5958088419255401</v>
      </c>
    </row>
    <row r="53" spans="1:8" x14ac:dyDescent="0.2">
      <c r="A53" s="62">
        <v>2060</v>
      </c>
      <c r="B53" s="62">
        <v>44</v>
      </c>
      <c r="C53" s="63">
        <v>0.1883</v>
      </c>
      <c r="D53" s="63">
        <v>0.86291166714228995</v>
      </c>
      <c r="E53" s="63">
        <v>30.107278381371199</v>
      </c>
      <c r="F53" s="64" t="s">
        <v>85</v>
      </c>
      <c r="G53" s="63">
        <v>36.128734057645403</v>
      </c>
      <c r="H53" s="63">
        <v>1.62675226865943</v>
      </c>
    </row>
    <row r="54" spans="1:8" x14ac:dyDescent="0.2">
      <c r="A54" s="62">
        <v>2061</v>
      </c>
      <c r="B54" s="62">
        <v>45</v>
      </c>
      <c r="C54" s="63">
        <v>0.1837</v>
      </c>
      <c r="D54" s="63">
        <v>0.87154078381371203</v>
      </c>
      <c r="E54" s="63">
        <v>30.978819165184898</v>
      </c>
      <c r="F54" s="64" t="s">
        <v>85</v>
      </c>
      <c r="G54" s="63">
        <v>37.174582998221901</v>
      </c>
      <c r="H54" s="63">
        <v>1.65810382518273</v>
      </c>
    </row>
    <row r="56" spans="1:8" x14ac:dyDescent="0.2">
      <c r="A56" s="68" t="s">
        <v>44</v>
      </c>
      <c r="E56" s="69"/>
      <c r="F56" s="70"/>
      <c r="G56" s="70"/>
    </row>
    <row r="57" spans="1:8" x14ac:dyDescent="0.2">
      <c r="C57" s="62" t="s">
        <v>45</v>
      </c>
      <c r="E57" s="71">
        <v>3.5200000000000002E-2</v>
      </c>
    </row>
    <row r="58" spans="1:8" x14ac:dyDescent="0.2">
      <c r="C58" s="62" t="s">
        <v>67</v>
      </c>
      <c r="E58" s="69">
        <v>3.5200000000000002E-2</v>
      </c>
    </row>
    <row r="59" spans="1:8" x14ac:dyDescent="0.2">
      <c r="C59" s="62" t="s">
        <v>46</v>
      </c>
      <c r="E59" s="69">
        <v>0.01</v>
      </c>
      <c r="F59" s="72"/>
      <c r="G59" s="72"/>
    </row>
  </sheetData>
  <mergeCells count="4">
    <mergeCell ref="A1:H1"/>
    <mergeCell ref="A2:H2"/>
    <mergeCell ref="A3:H3"/>
    <mergeCell ref="A4:H4"/>
  </mergeCells>
  <phoneticPr fontId="21" type="noConversion"/>
  <pageMargins left="0.75" right="0.75" top="1" bottom="1" header="0.5" footer="0.5"/>
  <pageSetup scale="83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"/>
  <sheetViews>
    <sheetView topLeftCell="A26" zoomScale="80" zoomScaleNormal="80" workbookViewId="0">
      <selection activeCell="L39" sqref="L39"/>
    </sheetView>
  </sheetViews>
  <sheetFormatPr defaultColWidth="8.83203125" defaultRowHeight="12.75" x14ac:dyDescent="0.2"/>
  <cols>
    <col min="1" max="1" width="8.83203125" style="80"/>
    <col min="2" max="2" width="7.1640625" style="80" bestFit="1" customWidth="1"/>
    <col min="3" max="3" width="17.83203125" style="80" customWidth="1"/>
    <col min="4" max="4" width="12.1640625" style="80" bestFit="1" customWidth="1"/>
    <col min="5" max="5" width="15.33203125" style="80" bestFit="1" customWidth="1"/>
    <col min="6" max="6" width="18.83203125" style="80" bestFit="1" customWidth="1"/>
    <col min="7" max="7" width="16.1640625" style="80" customWidth="1"/>
    <col min="8" max="8" width="19.33203125" style="80" bestFit="1" customWidth="1"/>
    <col min="9" max="16384" width="8.83203125" style="80"/>
  </cols>
  <sheetData>
    <row r="1" spans="1:8" x14ac:dyDescent="0.2">
      <c r="A1" s="378" t="s">
        <v>0</v>
      </c>
      <c r="B1" s="378"/>
      <c r="C1" s="378"/>
      <c r="D1" s="378"/>
      <c r="E1" s="378"/>
      <c r="F1" s="378"/>
      <c r="G1" s="378"/>
      <c r="H1" s="378"/>
    </row>
    <row r="2" spans="1:8" x14ac:dyDescent="0.2">
      <c r="A2" s="378" t="s">
        <v>221</v>
      </c>
      <c r="B2" s="378"/>
      <c r="C2" s="378"/>
      <c r="D2" s="378"/>
      <c r="E2" s="378"/>
      <c r="F2" s="378"/>
      <c r="G2" s="378"/>
      <c r="H2" s="378"/>
    </row>
    <row r="3" spans="1:8" x14ac:dyDescent="0.2">
      <c r="A3" s="378" t="s">
        <v>28</v>
      </c>
      <c r="B3" s="378"/>
      <c r="C3" s="378"/>
      <c r="D3" s="378"/>
      <c r="E3" s="378"/>
      <c r="F3" s="378"/>
      <c r="G3" s="378"/>
      <c r="H3" s="378"/>
    </row>
    <row r="4" spans="1:8" x14ac:dyDescent="0.2">
      <c r="A4" s="378" t="s">
        <v>29</v>
      </c>
      <c r="B4" s="378"/>
      <c r="C4" s="378"/>
      <c r="D4" s="378"/>
      <c r="E4" s="378"/>
      <c r="F4" s="378"/>
      <c r="G4" s="378"/>
      <c r="H4" s="378"/>
    </row>
    <row r="5" spans="1:8" x14ac:dyDescent="0.2">
      <c r="A5" s="155"/>
      <c r="B5" s="155"/>
      <c r="C5" s="155"/>
      <c r="D5" s="155"/>
      <c r="E5" s="155"/>
      <c r="F5" s="155"/>
      <c r="G5" s="155"/>
      <c r="H5" s="155"/>
    </row>
    <row r="6" spans="1:8" x14ac:dyDescent="0.2">
      <c r="A6" s="156"/>
      <c r="B6" s="156"/>
      <c r="C6" s="156" t="s">
        <v>30</v>
      </c>
      <c r="D6" s="156"/>
      <c r="E6" s="156" t="s">
        <v>31</v>
      </c>
      <c r="F6" s="156" t="s">
        <v>48</v>
      </c>
      <c r="G6" s="156" t="s">
        <v>32</v>
      </c>
      <c r="H6" s="156"/>
    </row>
    <row r="7" spans="1:8" x14ac:dyDescent="0.2">
      <c r="A7" s="156"/>
      <c r="B7" s="156"/>
      <c r="C7" s="156" t="s">
        <v>33</v>
      </c>
      <c r="D7" s="156" t="s">
        <v>34</v>
      </c>
      <c r="E7" s="156" t="s">
        <v>9</v>
      </c>
      <c r="F7" s="156" t="s">
        <v>49</v>
      </c>
      <c r="G7" s="156" t="s">
        <v>50</v>
      </c>
      <c r="H7" s="156" t="s">
        <v>35</v>
      </c>
    </row>
    <row r="8" spans="1:8" x14ac:dyDescent="0.2">
      <c r="A8" s="156"/>
      <c r="B8" s="156"/>
      <c r="C8" s="156" t="s">
        <v>36</v>
      </c>
      <c r="D8" s="156" t="s">
        <v>36</v>
      </c>
      <c r="E8" s="156" t="s">
        <v>33</v>
      </c>
      <c r="F8" s="156" t="s">
        <v>24</v>
      </c>
      <c r="G8" s="156" t="s">
        <v>37</v>
      </c>
      <c r="H8" s="156" t="s">
        <v>38</v>
      </c>
    </row>
    <row r="9" spans="1:8" x14ac:dyDescent="0.2">
      <c r="A9" s="156"/>
      <c r="B9" s="157" t="s">
        <v>39</v>
      </c>
      <c r="C9" s="157" t="s">
        <v>40</v>
      </c>
      <c r="D9" s="157" t="s">
        <v>8</v>
      </c>
      <c r="E9" s="157" t="s">
        <v>41</v>
      </c>
      <c r="F9" s="157"/>
      <c r="G9" s="157" t="s">
        <v>42</v>
      </c>
      <c r="H9" s="157" t="s">
        <v>43</v>
      </c>
    </row>
    <row r="10" spans="1:8" x14ac:dyDescent="0.2">
      <c r="A10" s="80">
        <v>2019</v>
      </c>
      <c r="B10" s="80">
        <v>1</v>
      </c>
      <c r="C10" s="158">
        <v>0.31653403000000002</v>
      </c>
      <c r="D10" s="158">
        <v>0.3165</v>
      </c>
      <c r="E10" s="159">
        <v>0.31029411764705883</v>
      </c>
      <c r="F10" s="160" t="s">
        <v>79</v>
      </c>
      <c r="G10" s="158">
        <v>0.32580882352941176</v>
      </c>
      <c r="H10" s="158">
        <v>0.33939505147058824</v>
      </c>
    </row>
    <row r="11" spans="1:8" x14ac:dyDescent="0.2">
      <c r="A11" s="80">
        <v>2020</v>
      </c>
      <c r="B11" s="80">
        <v>2</v>
      </c>
      <c r="C11" s="158">
        <v>0.505266891</v>
      </c>
      <c r="D11" s="158">
        <v>0.52769999999999995</v>
      </c>
      <c r="E11" s="161">
        <v>0.8175028835063437</v>
      </c>
      <c r="F11" s="160" t="s">
        <v>79</v>
      </c>
      <c r="G11" s="158">
        <v>0.85837802768166094</v>
      </c>
      <c r="H11" s="158">
        <v>0.45621755407692954</v>
      </c>
    </row>
    <row r="12" spans="1:8" x14ac:dyDescent="0.2">
      <c r="A12" s="80">
        <v>2021</v>
      </c>
      <c r="B12" s="80">
        <v>3</v>
      </c>
      <c r="C12" s="158">
        <v>0.49317119599999998</v>
      </c>
      <c r="D12" s="158">
        <v>0.53779999999999994</v>
      </c>
      <c r="E12" s="161">
        <v>1.3242838350257442</v>
      </c>
      <c r="F12" s="160" t="s">
        <v>79</v>
      </c>
      <c r="G12" s="158">
        <v>1.3904980267770315</v>
      </c>
      <c r="H12" s="158">
        <v>0.50268145624286709</v>
      </c>
    </row>
    <row r="13" spans="1:8" x14ac:dyDescent="0.2">
      <c r="A13" s="80">
        <v>2022</v>
      </c>
      <c r="B13" s="80">
        <v>4</v>
      </c>
      <c r="C13" s="158">
        <v>0.56317576199999997</v>
      </c>
      <c r="D13" s="158">
        <v>0.64139999999999997</v>
      </c>
      <c r="E13" s="161">
        <v>1.9168382912791504</v>
      </c>
      <c r="F13" s="160" t="s">
        <v>79</v>
      </c>
      <c r="G13" s="158">
        <v>2.0126802058431079</v>
      </c>
      <c r="H13" s="158">
        <v>0.5566965308248627</v>
      </c>
    </row>
    <row r="14" spans="1:8" x14ac:dyDescent="0.2">
      <c r="A14" s="80">
        <v>2023</v>
      </c>
      <c r="B14" s="80">
        <v>5</v>
      </c>
      <c r="C14" s="158">
        <v>0.55160361999999996</v>
      </c>
      <c r="D14" s="158">
        <v>0.65600000000000003</v>
      </c>
      <c r="E14" s="161">
        <v>2.5109977025275754</v>
      </c>
      <c r="F14" s="160" t="s">
        <v>80</v>
      </c>
      <c r="G14" s="158">
        <v>2.6993225302171435</v>
      </c>
      <c r="H14" s="158">
        <v>0.60923966550545783</v>
      </c>
    </row>
    <row r="15" spans="1:8" x14ac:dyDescent="0.2">
      <c r="A15" s="80">
        <v>2024</v>
      </c>
      <c r="B15" s="80">
        <v>6</v>
      </c>
      <c r="C15" s="158">
        <v>0.54311984700000004</v>
      </c>
      <c r="D15" s="158">
        <v>0.67459999999999998</v>
      </c>
      <c r="E15" s="161">
        <v>3.1100231969503804</v>
      </c>
      <c r="F15" s="160" t="s">
        <v>80</v>
      </c>
      <c r="G15" s="158">
        <v>3.343274936721659</v>
      </c>
      <c r="H15" s="158">
        <v>0.64130352143504454</v>
      </c>
    </row>
    <row r="16" spans="1:8" x14ac:dyDescent="0.2">
      <c r="A16" s="80">
        <v>2025</v>
      </c>
      <c r="B16" s="80">
        <v>7</v>
      </c>
      <c r="C16" s="158">
        <v>0.51761505500000005</v>
      </c>
      <c r="D16" s="158">
        <v>0.6714</v>
      </c>
      <c r="E16" s="161">
        <v>3.6945173008717624</v>
      </c>
      <c r="F16" s="160" t="s">
        <v>80</v>
      </c>
      <c r="G16" s="158">
        <v>3.9716060984371446</v>
      </c>
      <c r="H16" s="158">
        <v>0.6658709602710694</v>
      </c>
    </row>
    <row r="17" spans="1:8" x14ac:dyDescent="0.2">
      <c r="A17" s="80">
        <v>2026</v>
      </c>
      <c r="B17" s="80">
        <v>8</v>
      </c>
      <c r="C17" s="158">
        <v>0.507857742</v>
      </c>
      <c r="D17" s="158">
        <v>0.68789999999999996</v>
      </c>
      <c r="E17" s="161">
        <v>4.2816333272134397</v>
      </c>
      <c r="F17" s="160" t="s">
        <v>80</v>
      </c>
      <c r="G17" s="158">
        <v>4.6027558267544473</v>
      </c>
      <c r="H17" s="158">
        <v>0.68844444726710285</v>
      </c>
    </row>
    <row r="18" spans="1:8" x14ac:dyDescent="0.2">
      <c r="A18" s="80">
        <v>2027</v>
      </c>
      <c r="B18" s="80">
        <v>9</v>
      </c>
      <c r="C18" s="158">
        <v>0.47789440799999999</v>
      </c>
      <c r="D18" s="158">
        <v>0.67600000000000005</v>
      </c>
      <c r="E18" s="161">
        <v>4.8472798869433564</v>
      </c>
      <c r="F18" s="160" t="s">
        <v>80</v>
      </c>
      <c r="G18" s="158">
        <v>5.2108258784641084</v>
      </c>
      <c r="H18" s="158">
        <v>0.70625888888782384</v>
      </c>
    </row>
    <row r="19" spans="1:8" x14ac:dyDescent="0.2">
      <c r="A19" s="80">
        <v>2028</v>
      </c>
      <c r="B19" s="80">
        <v>10</v>
      </c>
      <c r="C19" s="158">
        <v>0.469589164</v>
      </c>
      <c r="D19" s="158">
        <v>0.69369999999999998</v>
      </c>
      <c r="E19" s="161">
        <v>5.416355502566752</v>
      </c>
      <c r="F19" s="160" t="s">
        <v>216</v>
      </c>
      <c r="G19" s="158">
        <v>5.9579910528234281</v>
      </c>
      <c r="H19" s="158">
        <v>0.74079603081482048</v>
      </c>
    </row>
    <row r="20" spans="1:8" x14ac:dyDescent="0.2">
      <c r="A20" s="80">
        <v>2029</v>
      </c>
      <c r="B20" s="80">
        <v>11</v>
      </c>
      <c r="C20" s="158">
        <v>0.45766623299999998</v>
      </c>
      <c r="D20" s="158">
        <v>0.70599999999999996</v>
      </c>
      <c r="E20" s="161">
        <v>5.9841652081666146</v>
      </c>
      <c r="F20" s="160" t="s">
        <v>81</v>
      </c>
      <c r="G20" s="158">
        <v>6.5825817289832766</v>
      </c>
      <c r="H20" s="158">
        <v>0.75830059476817568</v>
      </c>
    </row>
    <row r="21" spans="1:8" x14ac:dyDescent="0.2">
      <c r="A21" s="80">
        <v>2030</v>
      </c>
      <c r="B21" s="80">
        <v>12</v>
      </c>
      <c r="C21" s="158">
        <v>0.44717748200000002</v>
      </c>
      <c r="D21" s="158">
        <v>0.72040000000000004</v>
      </c>
      <c r="E21" s="161">
        <v>6.5521956918556397</v>
      </c>
      <c r="F21" s="160" t="s">
        <v>81</v>
      </c>
      <c r="G21" s="158">
        <v>7.2074152610412039</v>
      </c>
      <c r="H21" s="158">
        <v>0.77555989561503624</v>
      </c>
    </row>
    <row r="22" spans="1:8" x14ac:dyDescent="0.2">
      <c r="A22" s="80">
        <v>2031</v>
      </c>
      <c r="B22" s="80">
        <v>13</v>
      </c>
      <c r="C22" s="158">
        <v>0.43436293199999998</v>
      </c>
      <c r="D22" s="158">
        <v>0.73070000000000002</v>
      </c>
      <c r="E22" s="161">
        <v>7.1170505579316359</v>
      </c>
      <c r="F22" s="160" t="s">
        <v>81</v>
      </c>
      <c r="G22" s="158">
        <v>7.8287556137248</v>
      </c>
      <c r="H22" s="158">
        <v>0.79229326849057813</v>
      </c>
    </row>
    <row r="23" spans="1:8" x14ac:dyDescent="0.2">
      <c r="A23" s="80">
        <v>2032</v>
      </c>
      <c r="B23" s="80">
        <v>14</v>
      </c>
      <c r="C23" s="158">
        <v>0.42442899699999997</v>
      </c>
      <c r="D23" s="158">
        <v>0.74560000000000004</v>
      </c>
      <c r="E23" s="161">
        <v>7.6821221762646648</v>
      </c>
      <c r="F23" s="160" t="s">
        <v>81</v>
      </c>
      <c r="G23" s="158">
        <v>8.4503343938911311</v>
      </c>
      <c r="H23" s="158">
        <v>0.80898862975123587</v>
      </c>
    </row>
    <row r="24" spans="1:8" x14ac:dyDescent="0.2">
      <c r="A24" s="80">
        <v>2033</v>
      </c>
      <c r="B24" s="80">
        <v>15</v>
      </c>
      <c r="C24" s="158">
        <v>0.41475224900000002</v>
      </c>
      <c r="D24" s="158">
        <v>0.76090000000000002</v>
      </c>
      <c r="E24" s="161">
        <v>8.2474820843129297</v>
      </c>
      <c r="F24" s="160" t="s">
        <v>82</v>
      </c>
      <c r="G24" s="158">
        <v>9.2784173448520466</v>
      </c>
      <c r="H24" s="158">
        <v>0.84446129673818415</v>
      </c>
    </row>
    <row r="25" spans="1:8" x14ac:dyDescent="0.2">
      <c r="A25" s="80">
        <v>2034</v>
      </c>
      <c r="B25" s="80">
        <v>16</v>
      </c>
      <c r="C25" s="158">
        <v>0.40369945899999998</v>
      </c>
      <c r="D25" s="158">
        <v>0.77349999999999997</v>
      </c>
      <c r="E25" s="161">
        <v>8.8109349212208894</v>
      </c>
      <c r="F25" s="160" t="s">
        <v>82</v>
      </c>
      <c r="G25" s="158">
        <v>9.9123017863735008</v>
      </c>
      <c r="H25" s="158">
        <v>0.86137626277943335</v>
      </c>
    </row>
    <row r="26" spans="1:8" x14ac:dyDescent="0.2">
      <c r="A26" s="80">
        <v>2035</v>
      </c>
      <c r="B26" s="80">
        <v>17</v>
      </c>
      <c r="C26" s="158">
        <v>0.39196314900000001</v>
      </c>
      <c r="D26" s="158">
        <v>0.78420000000000001</v>
      </c>
      <c r="E26" s="161">
        <v>9.3709812027058916</v>
      </c>
      <c r="F26" s="160" t="s">
        <v>82</v>
      </c>
      <c r="G26" s="158">
        <v>10.542353853044128</v>
      </c>
      <c r="H26" s="158">
        <v>0.87802960520130069</v>
      </c>
    </row>
    <row r="27" spans="1:8" x14ac:dyDescent="0.2">
      <c r="A27" s="80">
        <v>2036</v>
      </c>
      <c r="B27" s="80">
        <v>18</v>
      </c>
      <c r="C27" s="158">
        <v>0.38301839599999998</v>
      </c>
      <c r="D27" s="158">
        <v>0.80030000000000001</v>
      </c>
      <c r="E27" s="161">
        <v>9.9313187504908793</v>
      </c>
      <c r="F27" s="160" t="s">
        <v>82</v>
      </c>
      <c r="G27" s="158">
        <v>11.172733594302239</v>
      </c>
      <c r="H27" s="158">
        <v>0.89480948895748302</v>
      </c>
    </row>
    <row r="28" spans="1:8" x14ac:dyDescent="0.2">
      <c r="A28" s="80">
        <v>2037</v>
      </c>
      <c r="B28" s="80">
        <v>19</v>
      </c>
      <c r="C28" s="158">
        <v>0.37016343000000002</v>
      </c>
      <c r="D28" s="158">
        <v>0.80769999999999997</v>
      </c>
      <c r="E28" s="161">
        <v>10.485748875157284</v>
      </c>
      <c r="F28" s="160" t="s">
        <v>82</v>
      </c>
      <c r="G28" s="158">
        <v>11.796467484551945</v>
      </c>
      <c r="H28" s="158">
        <v>0.91118458098015798</v>
      </c>
    </row>
    <row r="29" spans="1:8" x14ac:dyDescent="0.2">
      <c r="A29" s="80">
        <v>2038</v>
      </c>
      <c r="B29" s="80">
        <v>20</v>
      </c>
      <c r="C29" s="158">
        <v>0.36039991300000002</v>
      </c>
      <c r="D29" s="158">
        <v>0.82120000000000004</v>
      </c>
      <c r="E29" s="161">
        <v>11.038392933905621</v>
      </c>
      <c r="F29" s="160" t="s">
        <v>82</v>
      </c>
      <c r="G29" s="158">
        <v>12.418192050643825</v>
      </c>
      <c r="H29" s="158">
        <v>0.92756015154682159</v>
      </c>
    </row>
    <row r="30" spans="1:8" x14ac:dyDescent="0.2">
      <c r="A30" s="80">
        <v>2039</v>
      </c>
      <c r="B30" s="80">
        <v>21</v>
      </c>
      <c r="C30" s="158">
        <v>0.35201370500000001</v>
      </c>
      <c r="D30" s="158">
        <v>0.8377</v>
      </c>
      <c r="E30" s="161">
        <v>11.591087135616032</v>
      </c>
      <c r="F30" s="160" t="s">
        <v>83</v>
      </c>
      <c r="G30" s="158">
        <v>13.329750205958437</v>
      </c>
      <c r="H30" s="158">
        <v>0.96508085700532065</v>
      </c>
    </row>
    <row r="31" spans="1:8" x14ac:dyDescent="0.2">
      <c r="A31" s="80">
        <v>2040</v>
      </c>
      <c r="B31" s="80">
        <v>22</v>
      </c>
      <c r="C31" s="158">
        <v>0.34382263600000001</v>
      </c>
      <c r="D31" s="158">
        <v>0.85440000000000005</v>
      </c>
      <c r="E31" s="161">
        <v>12.143746408018497</v>
      </c>
      <c r="F31" s="160" t="s">
        <v>83</v>
      </c>
      <c r="G31" s="158">
        <v>13.965308369221271</v>
      </c>
      <c r="H31" s="158">
        <v>0.98215010630430488</v>
      </c>
    </row>
    <row r="32" spans="1:8" x14ac:dyDescent="0.2">
      <c r="A32" s="80">
        <v>2041</v>
      </c>
      <c r="B32" s="80">
        <v>23</v>
      </c>
      <c r="C32" s="158">
        <v>0.335822167</v>
      </c>
      <c r="D32" s="158">
        <v>0.87150000000000005</v>
      </c>
      <c r="E32" s="161">
        <v>12.696413290291975</v>
      </c>
      <c r="F32" s="160" t="s">
        <v>83</v>
      </c>
      <c r="G32" s="158">
        <v>14.600875283835769</v>
      </c>
      <c r="H32" s="158">
        <v>0.99938325382615378</v>
      </c>
    </row>
    <row r="33" spans="1:8" x14ac:dyDescent="0.2">
      <c r="A33" s="80">
        <v>2042</v>
      </c>
      <c r="B33" s="80">
        <v>24</v>
      </c>
      <c r="C33" s="158">
        <v>0.32800786199999998</v>
      </c>
      <c r="D33" s="158">
        <v>0.88890000000000002</v>
      </c>
      <c r="E33" s="161">
        <v>13.249061520920815</v>
      </c>
      <c r="F33" s="160" t="s">
        <v>83</v>
      </c>
      <c r="G33" s="158">
        <v>15.236420749058937</v>
      </c>
      <c r="H33" s="158">
        <v>1.0167774204975941</v>
      </c>
    </row>
    <row r="34" spans="1:8" x14ac:dyDescent="0.2">
      <c r="A34" s="80">
        <v>2043</v>
      </c>
      <c r="B34" s="80">
        <v>25</v>
      </c>
      <c r="C34" s="158">
        <v>0.32037538900000001</v>
      </c>
      <c r="D34" s="158">
        <v>0.90669999999999995</v>
      </c>
      <c r="E34" s="161">
        <v>13.801723161228805</v>
      </c>
      <c r="F34" s="160" t="s">
        <v>83</v>
      </c>
      <c r="G34" s="158">
        <v>15.871981635413125</v>
      </c>
      <c r="H34" s="158">
        <v>1.0343341867371143</v>
      </c>
    </row>
    <row r="35" spans="1:8" x14ac:dyDescent="0.2">
      <c r="A35" s="80">
        <v>2044</v>
      </c>
      <c r="B35" s="80">
        <v>26</v>
      </c>
      <c r="C35" s="158">
        <v>0.31292051799999998</v>
      </c>
      <c r="D35" s="158">
        <v>0.92479999999999996</v>
      </c>
      <c r="E35" s="161">
        <v>14.354364483841112</v>
      </c>
      <c r="F35" s="160" t="s">
        <v>84</v>
      </c>
      <c r="G35" s="158">
        <v>16.866378268513305</v>
      </c>
      <c r="H35" s="158">
        <v>1.074920639631036</v>
      </c>
    </row>
    <row r="36" spans="1:8" x14ac:dyDescent="0.2">
      <c r="A36" s="80">
        <v>2045</v>
      </c>
      <c r="B36" s="80">
        <v>27</v>
      </c>
      <c r="C36" s="158">
        <v>0.30563911599999999</v>
      </c>
      <c r="D36" s="158">
        <v>0.94330000000000003</v>
      </c>
      <c r="E36" s="161">
        <v>14.907008149901595</v>
      </c>
      <c r="F36" s="160" t="s">
        <v>84</v>
      </c>
      <c r="G36" s="158">
        <v>17.515734576134374</v>
      </c>
      <c r="H36" s="158">
        <v>1.0931846875197031</v>
      </c>
    </row>
    <row r="37" spans="1:8" x14ac:dyDescent="0.2">
      <c r="A37" s="80">
        <v>2046</v>
      </c>
      <c r="B37" s="80">
        <v>28</v>
      </c>
      <c r="C37" s="158">
        <v>0.29852714499999999</v>
      </c>
      <c r="D37" s="158">
        <v>0.96220000000000006</v>
      </c>
      <c r="E37" s="161">
        <v>15.459671344696876</v>
      </c>
      <c r="F37" s="160" t="s">
        <v>84</v>
      </c>
      <c r="G37" s="158">
        <v>18.165113830018829</v>
      </c>
      <c r="H37" s="158">
        <v>1.1116118709354035</v>
      </c>
    </row>
    <row r="38" spans="1:8" x14ac:dyDescent="0.2">
      <c r="A38" s="80">
        <v>2047</v>
      </c>
      <c r="B38" s="80">
        <v>29</v>
      </c>
      <c r="C38" s="158">
        <v>0.29158066500000002</v>
      </c>
      <c r="D38" s="158">
        <v>0.98140000000000005</v>
      </c>
      <c r="E38" s="161">
        <v>16.012309762550657</v>
      </c>
      <c r="F38" s="160" t="s">
        <v>84</v>
      </c>
      <c r="G38" s="158">
        <v>18.814463970997025</v>
      </c>
      <c r="H38" s="158">
        <v>1.1301977079400161</v>
      </c>
    </row>
    <row r="39" spans="1:8" x14ac:dyDescent="0.2">
      <c r="A39" s="80">
        <v>2048</v>
      </c>
      <c r="B39" s="80">
        <v>30</v>
      </c>
      <c r="C39" s="158">
        <v>0.284795823</v>
      </c>
      <c r="D39" s="158">
        <v>1.0011000000000001</v>
      </c>
      <c r="E39" s="161">
        <v>16.564987929508447</v>
      </c>
      <c r="F39" s="160" t="s">
        <v>84</v>
      </c>
      <c r="G39" s="158">
        <v>19.463860817172428</v>
      </c>
      <c r="H39" s="158">
        <v>1.1489454324142647</v>
      </c>
    </row>
    <row r="40" spans="1:8" x14ac:dyDescent="0.2">
      <c r="A40" s="80">
        <v>2049</v>
      </c>
      <c r="B40" s="80">
        <v>31</v>
      </c>
      <c r="C40" s="158">
        <v>0.27816885899999999</v>
      </c>
      <c r="D40" s="158">
        <v>1.0210999999999999</v>
      </c>
      <c r="E40" s="161">
        <v>17.117654189054907</v>
      </c>
      <c r="F40" s="160" t="s">
        <v>85</v>
      </c>
      <c r="G40" s="158">
        <v>20.541185026865886</v>
      </c>
      <c r="H40" s="158">
        <v>1.1926978614674861</v>
      </c>
    </row>
    <row r="41" spans="1:8" x14ac:dyDescent="0.2">
      <c r="A41" s="80">
        <v>2050</v>
      </c>
      <c r="B41" s="80">
        <v>32</v>
      </c>
      <c r="C41" s="158">
        <v>0.27169609900000002</v>
      </c>
      <c r="D41" s="158">
        <v>1.0415000000000001</v>
      </c>
      <c r="E41" s="161">
        <v>17.670308774668687</v>
      </c>
      <c r="F41" s="160" t="s">
        <v>85</v>
      </c>
      <c r="G41" s="158">
        <v>21.204370529602425</v>
      </c>
      <c r="H41" s="158">
        <v>1.2121633997804053</v>
      </c>
    </row>
    <row r="42" spans="1:8" x14ac:dyDescent="0.2">
      <c r="A42" s="80">
        <v>2051</v>
      </c>
      <c r="B42" s="80">
        <v>33</v>
      </c>
      <c r="C42" s="158">
        <v>0.26537395499999999</v>
      </c>
      <c r="D42" s="158">
        <v>1.0623</v>
      </c>
      <c r="E42" s="161">
        <v>18.222947753420602</v>
      </c>
      <c r="F42" s="160" t="s">
        <v>85</v>
      </c>
      <c r="G42" s="158">
        <v>21.867537304104722</v>
      </c>
      <c r="H42" s="158">
        <v>1.2317859457267624</v>
      </c>
    </row>
    <row r="43" spans="1:8" x14ac:dyDescent="0.2">
      <c r="A43" s="80">
        <v>2052</v>
      </c>
      <c r="B43" s="80">
        <v>34</v>
      </c>
      <c r="C43" s="158">
        <v>0.259198922</v>
      </c>
      <c r="D43" s="158">
        <v>1.0835999999999999</v>
      </c>
      <c r="E43" s="161">
        <v>18.77561427369346</v>
      </c>
      <c r="F43" s="160" t="s">
        <v>85</v>
      </c>
      <c r="G43" s="158">
        <v>22.53073712843215</v>
      </c>
      <c r="H43" s="158">
        <v>1.251566854133932</v>
      </c>
    </row>
    <row r="44" spans="1:8" x14ac:dyDescent="0.2">
      <c r="A44" s="80">
        <v>2053</v>
      </c>
      <c r="B44" s="80">
        <v>35</v>
      </c>
      <c r="C44" s="158">
        <v>0.25316757699999998</v>
      </c>
      <c r="D44" s="158">
        <v>1.1052999999999999</v>
      </c>
      <c r="E44" s="161">
        <v>19.328294794739492</v>
      </c>
      <c r="F44" s="160" t="s">
        <v>85</v>
      </c>
      <c r="G44" s="158">
        <v>23.193953753687389</v>
      </c>
      <c r="H44" s="158">
        <v>1.2715035531596712</v>
      </c>
    </row>
    <row r="45" spans="1:8" x14ac:dyDescent="0.2">
      <c r="A45" s="80">
        <v>2054</v>
      </c>
      <c r="B45" s="80">
        <v>36</v>
      </c>
      <c r="C45" s="158">
        <v>0.247276576</v>
      </c>
      <c r="D45" s="158">
        <v>1.1274</v>
      </c>
      <c r="E45" s="161">
        <v>19.880972374446621</v>
      </c>
      <c r="F45" s="160" t="s">
        <v>85</v>
      </c>
      <c r="G45" s="158">
        <v>23.857166849335943</v>
      </c>
      <c r="H45" s="158">
        <v>1.2915932664054326</v>
      </c>
    </row>
    <row r="46" spans="1:8" x14ac:dyDescent="0.2">
      <c r="A46" s="80">
        <v>2055</v>
      </c>
      <c r="B46" s="80">
        <v>37</v>
      </c>
      <c r="C46" s="158">
        <v>0.241522654</v>
      </c>
      <c r="D46" s="158">
        <v>1.1498999999999999</v>
      </c>
      <c r="E46" s="161">
        <v>20.433626884829028</v>
      </c>
      <c r="F46" s="160" t="s">
        <v>85</v>
      </c>
      <c r="G46" s="158">
        <v>24.520352261794834</v>
      </c>
      <c r="H46" s="158">
        <v>1.3118330343690936</v>
      </c>
    </row>
    <row r="47" spans="1:8" x14ac:dyDescent="0.2">
      <c r="A47" s="80">
        <v>2056</v>
      </c>
      <c r="B47" s="80">
        <v>38</v>
      </c>
      <c r="C47" s="158">
        <v>0.23590262100000001</v>
      </c>
      <c r="D47" s="158">
        <v>1.1729000000000001</v>
      </c>
      <c r="E47" s="161">
        <v>20.986282337585809</v>
      </c>
      <c r="F47" s="160" t="s">
        <v>85</v>
      </c>
      <c r="G47" s="158">
        <v>25.18353880510297</v>
      </c>
      <c r="H47" s="158">
        <v>1.3322227242559379</v>
      </c>
    </row>
    <row r="48" spans="1:8" x14ac:dyDescent="0.2">
      <c r="A48" s="80">
        <v>2057</v>
      </c>
      <c r="B48" s="80">
        <v>39</v>
      </c>
      <c r="C48" s="158">
        <v>0.23041336100000001</v>
      </c>
      <c r="D48" s="158">
        <v>1.1963999999999999</v>
      </c>
      <c r="E48" s="161">
        <v>21.538957192167977</v>
      </c>
      <c r="F48" s="160" t="s">
        <v>85</v>
      </c>
      <c r="G48" s="158">
        <v>25.846748630601571</v>
      </c>
      <c r="H48" s="158">
        <v>1.3527617539115777</v>
      </c>
    </row>
    <row r="49" spans="1:8" x14ac:dyDescent="0.2">
      <c r="A49" s="80">
        <v>2058</v>
      </c>
      <c r="B49" s="80">
        <v>40</v>
      </c>
      <c r="C49" s="158">
        <v>0.22505183200000001</v>
      </c>
      <c r="D49" s="158">
        <v>1.2202999999999999</v>
      </c>
      <c r="E49" s="161">
        <v>22.09161936581852</v>
      </c>
      <c r="F49" s="160" t="s">
        <v>85</v>
      </c>
      <c r="G49" s="158">
        <v>26.509943238982224</v>
      </c>
      <c r="H49" s="158">
        <v>1.3734463253149329</v>
      </c>
    </row>
    <row r="50" spans="1:8" x14ac:dyDescent="0.2">
      <c r="A50" s="80">
        <v>2059</v>
      </c>
      <c r="B50" s="80">
        <v>41</v>
      </c>
      <c r="C50" s="158">
        <v>0.21981506200000001</v>
      </c>
      <c r="D50" s="158">
        <v>1.2446999999999999</v>
      </c>
      <c r="E50" s="161">
        <v>22.644278875407799</v>
      </c>
      <c r="F50" s="160" t="s">
        <v>85</v>
      </c>
      <c r="G50" s="158">
        <v>27.173134650489359</v>
      </c>
      <c r="H50" s="158">
        <v>1.3942752889479506</v>
      </c>
    </row>
    <row r="51" spans="1:8" x14ac:dyDescent="0.2">
      <c r="A51" s="80">
        <v>2060</v>
      </c>
      <c r="B51" s="80">
        <v>42</v>
      </c>
      <c r="C51" s="158">
        <v>0.21470014600000001</v>
      </c>
      <c r="D51" s="158">
        <v>1.2696000000000001</v>
      </c>
      <c r="E51" s="161">
        <v>23.196940996821848</v>
      </c>
      <c r="F51" s="160" t="s">
        <v>85</v>
      </c>
      <c r="G51" s="158">
        <v>27.836329196186217</v>
      </c>
      <c r="H51" s="158">
        <v>1.4152471580864714</v>
      </c>
    </row>
    <row r="52" spans="1:8" x14ac:dyDescent="0.2">
      <c r="A52" s="80">
        <v>2061</v>
      </c>
      <c r="B52" s="80">
        <v>43</v>
      </c>
      <c r="C52" s="158">
        <v>0.20970425100000001</v>
      </c>
      <c r="D52" s="158">
        <v>1.2949999999999999</v>
      </c>
      <c r="E52" s="161">
        <v>23.749606532385922</v>
      </c>
      <c r="F52" s="160" t="s">
        <v>85</v>
      </c>
      <c r="G52" s="158">
        <v>28.499527838863106</v>
      </c>
      <c r="H52" s="158">
        <v>1.4363601431920008</v>
      </c>
    </row>
    <row r="53" spans="1:8" x14ac:dyDescent="0.2">
      <c r="A53" s="80">
        <v>2062</v>
      </c>
      <c r="B53" s="80">
        <v>44</v>
      </c>
      <c r="C53" s="158">
        <v>0.20482460599999999</v>
      </c>
      <c r="D53" s="158">
        <v>1.3209</v>
      </c>
      <c r="E53" s="161">
        <v>24.302272067949996</v>
      </c>
      <c r="F53" s="160" t="s">
        <v>85</v>
      </c>
      <c r="G53" s="158">
        <v>29.162726481539995</v>
      </c>
      <c r="H53" s="158">
        <v>1.4576121821748103</v>
      </c>
    </row>
    <row r="54" spans="1:8" x14ac:dyDescent="0.2">
      <c r="A54" s="80">
        <v>2063</v>
      </c>
      <c r="B54" s="80">
        <v>45</v>
      </c>
      <c r="C54" s="158">
        <v>0.200058506</v>
      </c>
      <c r="D54" s="158">
        <v>1.3472999999999999</v>
      </c>
      <c r="E54" s="161">
        <v>24.854930219971628</v>
      </c>
      <c r="F54" s="160" t="s">
        <v>85</v>
      </c>
      <c r="G54" s="158">
        <v>29.825916263965951</v>
      </c>
      <c r="H54" s="158">
        <v>1.4790009671675584</v>
      </c>
    </row>
    <row r="55" spans="1:8" x14ac:dyDescent="0.2">
      <c r="G55" s="160"/>
    </row>
    <row r="56" spans="1:8" x14ac:dyDescent="0.2">
      <c r="C56" s="80" t="s">
        <v>217</v>
      </c>
      <c r="E56" s="162">
        <v>0.02</v>
      </c>
    </row>
    <row r="57" spans="1:8" x14ac:dyDescent="0.2">
      <c r="C57" s="80" t="s">
        <v>218</v>
      </c>
      <c r="E57" s="162">
        <v>4.4299999999999999E-2</v>
      </c>
    </row>
    <row r="58" spans="1:8" x14ac:dyDescent="0.2">
      <c r="C58" s="80" t="s">
        <v>219</v>
      </c>
      <c r="E58" s="162">
        <v>0.02</v>
      </c>
    </row>
    <row r="59" spans="1:8" x14ac:dyDescent="0.2">
      <c r="C59" s="80" t="s">
        <v>46</v>
      </c>
      <c r="E59" s="162">
        <v>0.01</v>
      </c>
      <c r="F59" s="80" t="s">
        <v>220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7751DFD7E83E34CB21BE4AB19CE8F4B" ma:contentTypeVersion="56" ma:contentTypeDescription="" ma:contentTypeScope="" ma:versionID="61cbe573505b2a41c58c83782add8c4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2019-11-15T08:00:00+00:00</OpenedDate>
    <SignificantOrder xmlns="dc463f71-b30c-4ab2-9473-d307f9d35888">false</SignificantOrder>
    <Date1 xmlns="dc463f71-b30c-4ab2-9473-d307f9d35888">2021-06-01T07:00:00+00:00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190957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811371-2BE4-4A57-934E-A1CD8F1BDEE9}"/>
</file>

<file path=customXml/itemProps2.xml><?xml version="1.0" encoding="utf-8"?>
<ds:datastoreItem xmlns:ds="http://schemas.openxmlformats.org/officeDocument/2006/customXml" ds:itemID="{026AB5CC-9934-4526-808D-93720211452F}"/>
</file>

<file path=customXml/itemProps3.xml><?xml version="1.0" encoding="utf-8"?>
<ds:datastoreItem xmlns:ds="http://schemas.openxmlformats.org/officeDocument/2006/customXml" ds:itemID="{243A5497-F2F2-49C0-A28A-49E68CE6941B}"/>
</file>

<file path=customXml/itemProps4.xml><?xml version="1.0" encoding="utf-8"?>
<ds:datastoreItem xmlns:ds="http://schemas.openxmlformats.org/officeDocument/2006/customXml" ds:itemID="{BE5B25B8-73F7-425C-A16C-466C50DC38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TOTAL FIRST YEAR by MEASURE</vt:lpstr>
      <vt:lpstr>2020 WA LIW ACTUALS</vt:lpstr>
      <vt:lpstr>2016 APP 2885</vt:lpstr>
      <vt:lpstr>2018 APP 2885</vt:lpstr>
      <vt:lpstr>AC</vt:lpstr>
      <vt:lpstr>OffsetAnchor</vt:lpstr>
      <vt:lpstr>'TOTAL FIRST YEAR by MEASURE'!Print_Area</vt:lpstr>
    </vt:vector>
  </TitlesOfParts>
  <Company>An MDU Resources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Cowlishaw, Monica</cp:lastModifiedBy>
  <cp:lastPrinted>2019-04-25T16:19:46Z</cp:lastPrinted>
  <dcterms:created xsi:type="dcterms:W3CDTF">2009-05-13T20:27:41Z</dcterms:created>
  <dcterms:modified xsi:type="dcterms:W3CDTF">2021-04-30T20:58:40Z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0x0101006E56B4D1795A2E4DB2F0B01679ED314A00B7751DFD7E83E34CB21BE4AB19CE8F4B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