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xl/comments1.xml" ContentType="application/vnd.openxmlformats-officedocument.spreadsheetml.comment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8460" yWindow="2250" windowWidth="12990" windowHeight="11760"/>
  </bookViews>
  <sheets>
    <sheet name="References" sheetId="4" r:id="rId1"/>
    <sheet name="Company Calc" sheetId="13" r:id="rId2"/>
    <sheet name="Proposed Rates" sheetId="12" r:id="rId3"/>
    <sheet name="Co Provided Price Out" sheetId="11" r:id="rId4"/>
  </sheets>
  <definedNames>
    <definedName name="_xlnm.Print_Area" localSheetId="1">'Company Calc'!$A$1:$W$81,'Company Calc'!$A$82:$O$126</definedName>
    <definedName name="_xlnm.Print_Area" localSheetId="2">'Proposed Rates'!$A$1:$F$111</definedName>
    <definedName name="_xlnm.Print_Area" localSheetId="0">References!$A$1:$H$75</definedName>
    <definedName name="_xlnm.Print_Titles" localSheetId="3">'Co Provided Price Out'!$1:$7</definedName>
    <definedName name="_xlnm.Print_Titles" localSheetId="1">'Company Calc'!$A:$C,'Company Calc'!$1:$6</definedName>
    <definedName name="_xlnm.Print_Titles" localSheetId="2">'Proposed Rates'!$1:$6</definedName>
  </definedNames>
  <calcPr calcId="145621" concurrentManualCount="4"/>
</workbook>
</file>

<file path=xl/calcChain.xml><?xml version="1.0" encoding="utf-8"?>
<calcChain xmlns="http://schemas.openxmlformats.org/spreadsheetml/2006/main">
  <c r="D42" i="12" l="1"/>
  <c r="L86" i="13" l="1"/>
  <c r="L85" i="13"/>
  <c r="D110" i="12"/>
  <c r="Z24" i="13"/>
  <c r="Z25" i="13"/>
  <c r="Z26" i="13"/>
  <c r="Z27" i="13"/>
  <c r="Z28" i="13"/>
  <c r="Z29" i="13"/>
  <c r="Z30" i="13"/>
  <c r="Z31" i="13"/>
  <c r="Z32" i="13"/>
  <c r="Z33" i="13"/>
  <c r="Z34" i="13"/>
  <c r="Z35" i="13"/>
  <c r="Z36" i="13"/>
  <c r="Z37" i="13"/>
  <c r="Z38" i="13"/>
  <c r="Z39" i="13"/>
  <c r="Z40" i="13"/>
  <c r="Z41" i="13"/>
  <c r="Z42" i="13"/>
  <c r="Z43" i="13"/>
  <c r="Z44" i="13"/>
  <c r="Z45" i="13"/>
  <c r="Z46" i="13"/>
  <c r="Z47" i="13"/>
  <c r="Z48" i="13"/>
  <c r="Z49" i="13"/>
  <c r="Z50" i="13"/>
  <c r="Z51" i="13"/>
  <c r="Z52" i="13"/>
  <c r="Z53" i="13"/>
  <c r="Z54" i="13"/>
  <c r="Z55" i="13"/>
  <c r="Z56" i="13"/>
  <c r="Z57" i="13"/>
  <c r="Z58" i="13"/>
  <c r="Z59" i="13"/>
  <c r="Z60" i="13"/>
  <c r="Z61" i="13"/>
  <c r="Z62" i="13"/>
  <c r="Z63" i="13"/>
  <c r="Z64" i="13"/>
  <c r="Z65" i="13"/>
  <c r="Z66" i="13"/>
  <c r="Z67" i="13"/>
  <c r="Z68" i="13"/>
  <c r="Z69" i="13"/>
  <c r="Z70" i="13"/>
  <c r="Z71" i="13"/>
  <c r="Z72" i="13"/>
  <c r="Z73" i="13"/>
  <c r="Z74" i="13"/>
  <c r="Z75" i="13"/>
  <c r="Z76" i="13"/>
  <c r="Z77" i="13"/>
  <c r="Z78" i="13"/>
  <c r="Z79" i="13"/>
  <c r="Z80" i="13"/>
  <c r="Z23" i="13"/>
  <c r="Z8" i="13"/>
  <c r="Z9" i="13"/>
  <c r="Z10" i="13"/>
  <c r="Z11" i="13"/>
  <c r="Z12" i="13"/>
  <c r="Z13" i="13"/>
  <c r="Z14" i="13"/>
  <c r="Z15" i="13"/>
  <c r="Z16" i="13"/>
  <c r="Z17" i="13"/>
  <c r="Z18" i="13"/>
  <c r="Z19" i="13"/>
  <c r="Z20" i="13"/>
  <c r="Z21" i="13"/>
  <c r="Z22" i="13"/>
  <c r="Z7" i="13"/>
  <c r="B63" i="4" l="1"/>
  <c r="D119" i="13" l="1"/>
  <c r="D111" i="13"/>
  <c r="M104" i="13"/>
  <c r="G104" i="13"/>
  <c r="F104" i="13"/>
  <c r="H104" i="13" s="1"/>
  <c r="M103" i="13"/>
  <c r="G103" i="13"/>
  <c r="F103" i="13"/>
  <c r="H103" i="13" s="1"/>
  <c r="M102" i="13"/>
  <c r="G102" i="13"/>
  <c r="F102" i="13"/>
  <c r="H102" i="13" s="1"/>
  <c r="M101" i="13"/>
  <c r="G101" i="13"/>
  <c r="F101" i="13"/>
  <c r="M100" i="13"/>
  <c r="H100" i="13"/>
  <c r="G100" i="13"/>
  <c r="F100" i="13"/>
  <c r="M99" i="13"/>
  <c r="G99" i="13"/>
  <c r="F99" i="13"/>
  <c r="M98" i="13"/>
  <c r="H98" i="13"/>
  <c r="G98" i="13"/>
  <c r="F98" i="13"/>
  <c r="M97" i="13"/>
  <c r="G97" i="13"/>
  <c r="F97" i="13"/>
  <c r="M96" i="13"/>
  <c r="G96" i="13"/>
  <c r="F96" i="13"/>
  <c r="H96" i="13" s="1"/>
  <c r="M95" i="13"/>
  <c r="G95" i="13"/>
  <c r="F95" i="13"/>
  <c r="H95" i="13" s="1"/>
  <c r="M94" i="13"/>
  <c r="G94" i="13"/>
  <c r="F94" i="13"/>
  <c r="H94" i="13" s="1"/>
  <c r="M93" i="13"/>
  <c r="G93" i="13"/>
  <c r="F93" i="13"/>
  <c r="M92" i="13"/>
  <c r="H92" i="13"/>
  <c r="G92" i="13"/>
  <c r="F92" i="13"/>
  <c r="M91" i="13"/>
  <c r="G91" i="13"/>
  <c r="F91" i="13"/>
  <c r="M90" i="13"/>
  <c r="H90" i="13"/>
  <c r="G90" i="13"/>
  <c r="F90" i="13"/>
  <c r="M89" i="13"/>
  <c r="G89" i="13"/>
  <c r="H89" i="13" s="1"/>
  <c r="E89" i="13"/>
  <c r="M88" i="13"/>
  <c r="H88" i="13"/>
  <c r="G88" i="13"/>
  <c r="E88" i="13"/>
  <c r="M87" i="13"/>
  <c r="G87" i="13"/>
  <c r="F87" i="13"/>
  <c r="H87" i="13" s="1"/>
  <c r="E87" i="13"/>
  <c r="M86" i="13"/>
  <c r="G86" i="13"/>
  <c r="E86" i="13"/>
  <c r="F86" i="13" s="1"/>
  <c r="M85" i="13"/>
  <c r="H85" i="13"/>
  <c r="G85" i="13"/>
  <c r="E85" i="13"/>
  <c r="F85" i="13" s="1"/>
  <c r="D80" i="13"/>
  <c r="G79" i="13"/>
  <c r="F79" i="13"/>
  <c r="M78" i="13"/>
  <c r="P78" i="13" s="1"/>
  <c r="G78" i="13"/>
  <c r="H78" i="13" s="1"/>
  <c r="M77" i="13"/>
  <c r="P77" i="13" s="1"/>
  <c r="H77" i="13"/>
  <c r="G76" i="13"/>
  <c r="F76" i="13"/>
  <c r="M75" i="13"/>
  <c r="M76" i="13" s="1"/>
  <c r="G75" i="13"/>
  <c r="H75" i="13" s="1"/>
  <c r="M74" i="13"/>
  <c r="P74" i="13" s="1"/>
  <c r="G74" i="13"/>
  <c r="H74" i="13" s="1"/>
  <c r="M73" i="13"/>
  <c r="P73" i="13" s="1"/>
  <c r="G73" i="13"/>
  <c r="H73" i="13" s="1"/>
  <c r="M72" i="13"/>
  <c r="P72" i="13" s="1"/>
  <c r="G72" i="13"/>
  <c r="H72" i="13" s="1"/>
  <c r="M71" i="13"/>
  <c r="P71" i="13" s="1"/>
  <c r="G71" i="13"/>
  <c r="H71" i="13" s="1"/>
  <c r="M70" i="13"/>
  <c r="P70" i="13" s="1"/>
  <c r="G70" i="13"/>
  <c r="H70" i="13" s="1"/>
  <c r="M69" i="13"/>
  <c r="P69" i="13" s="1"/>
  <c r="H69" i="13"/>
  <c r="G69" i="13"/>
  <c r="M68" i="13"/>
  <c r="P68" i="13" s="1"/>
  <c r="G68" i="13"/>
  <c r="H68" i="13" s="1"/>
  <c r="M67" i="13"/>
  <c r="P67" i="13" s="1"/>
  <c r="H67" i="13"/>
  <c r="G67" i="13"/>
  <c r="M66" i="13"/>
  <c r="P66" i="13" s="1"/>
  <c r="G66" i="13"/>
  <c r="H66" i="13" s="1"/>
  <c r="M65" i="13"/>
  <c r="P65" i="13" s="1"/>
  <c r="G65" i="13"/>
  <c r="H65" i="13" s="1"/>
  <c r="M64" i="13"/>
  <c r="P64" i="13" s="1"/>
  <c r="G64" i="13"/>
  <c r="H64" i="13" s="1"/>
  <c r="M63" i="13"/>
  <c r="P63" i="13" s="1"/>
  <c r="H63" i="13"/>
  <c r="G63" i="13"/>
  <c r="M62" i="13"/>
  <c r="P62" i="13" s="1"/>
  <c r="G62" i="13"/>
  <c r="H62" i="13" s="1"/>
  <c r="M61" i="13"/>
  <c r="P61" i="13" s="1"/>
  <c r="H61" i="13"/>
  <c r="G61" i="13"/>
  <c r="M60" i="13"/>
  <c r="P60" i="13" s="1"/>
  <c r="G60" i="13"/>
  <c r="H60" i="13" s="1"/>
  <c r="M59" i="13"/>
  <c r="P59" i="13" s="1"/>
  <c r="H59" i="13"/>
  <c r="G59" i="13"/>
  <c r="M58" i="13"/>
  <c r="P58" i="13" s="1"/>
  <c r="G58" i="13"/>
  <c r="H58" i="13" s="1"/>
  <c r="H57" i="13"/>
  <c r="G57" i="13"/>
  <c r="G56" i="13"/>
  <c r="H56" i="13" s="1"/>
  <c r="H55" i="13"/>
  <c r="G55" i="13"/>
  <c r="G54" i="13"/>
  <c r="H54" i="13" s="1"/>
  <c r="G53" i="13"/>
  <c r="H53" i="13" s="1"/>
  <c r="G52" i="13"/>
  <c r="H52" i="13" s="1"/>
  <c r="G51" i="13"/>
  <c r="H51" i="13" s="1"/>
  <c r="H50" i="13"/>
  <c r="G50" i="13"/>
  <c r="G49" i="13"/>
  <c r="H49" i="13" s="1"/>
  <c r="G48" i="13"/>
  <c r="H48" i="13" s="1"/>
  <c r="G47" i="13"/>
  <c r="H47" i="13" s="1"/>
  <c r="H46" i="13"/>
  <c r="G46" i="13"/>
  <c r="G45" i="13"/>
  <c r="H45" i="13" s="1"/>
  <c r="G44" i="13"/>
  <c r="H44" i="13" s="1"/>
  <c r="H43" i="13"/>
  <c r="G43" i="13"/>
  <c r="M42" i="13"/>
  <c r="P42" i="13" s="1"/>
  <c r="G42" i="13"/>
  <c r="H42" i="13" s="1"/>
  <c r="G41" i="13"/>
  <c r="H41" i="13" s="1"/>
  <c r="G40" i="13"/>
  <c r="H40" i="13" s="1"/>
  <c r="M39" i="13"/>
  <c r="M57" i="13" s="1"/>
  <c r="P57" i="13" s="1"/>
  <c r="G39" i="13"/>
  <c r="H39" i="13" s="1"/>
  <c r="M38" i="13"/>
  <c r="G38" i="13"/>
  <c r="H38" i="13" s="1"/>
  <c r="H37" i="13"/>
  <c r="G37" i="13"/>
  <c r="M36" i="13"/>
  <c r="G36" i="13"/>
  <c r="H36" i="13" s="1"/>
  <c r="G35" i="13"/>
  <c r="H35" i="13" s="1"/>
  <c r="G34" i="13"/>
  <c r="H34" i="13" s="1"/>
  <c r="G33" i="13"/>
  <c r="H33" i="13" s="1"/>
  <c r="M32" i="13"/>
  <c r="G32" i="13"/>
  <c r="H32" i="13" s="1"/>
  <c r="G31" i="13"/>
  <c r="H31" i="13" s="1"/>
  <c r="G30" i="13"/>
  <c r="H30" i="13" s="1"/>
  <c r="M29" i="13"/>
  <c r="M46" i="13" s="1"/>
  <c r="P46" i="13" s="1"/>
  <c r="H29" i="13"/>
  <c r="G29" i="13"/>
  <c r="G28" i="13"/>
  <c r="H28" i="13" s="1"/>
  <c r="M27" i="13"/>
  <c r="M52" i="13" s="1"/>
  <c r="P52" i="13" s="1"/>
  <c r="G27" i="13"/>
  <c r="H27" i="13" s="1"/>
  <c r="D26" i="13"/>
  <c r="D81" i="13" s="1"/>
  <c r="M25" i="13"/>
  <c r="P25" i="13" s="1"/>
  <c r="G25" i="13"/>
  <c r="H25" i="13" s="1"/>
  <c r="M24" i="13"/>
  <c r="P24" i="13" s="1"/>
  <c r="G24" i="13"/>
  <c r="H24" i="13" s="1"/>
  <c r="M23" i="13"/>
  <c r="P23" i="13" s="1"/>
  <c r="G23" i="13"/>
  <c r="H23" i="13" s="1"/>
  <c r="M22" i="13"/>
  <c r="P22" i="13" s="1"/>
  <c r="G22" i="13"/>
  <c r="F22" i="13"/>
  <c r="H22" i="13" s="1"/>
  <c r="E22" i="13"/>
  <c r="M21" i="13"/>
  <c r="P21" i="13" s="1"/>
  <c r="G21" i="13"/>
  <c r="E21" i="13"/>
  <c r="F21" i="13" s="1"/>
  <c r="G20" i="13"/>
  <c r="E20" i="13"/>
  <c r="F20" i="13" s="1"/>
  <c r="H20" i="13" s="1"/>
  <c r="M19" i="13"/>
  <c r="G19" i="13"/>
  <c r="E19" i="13"/>
  <c r="F19" i="13" s="1"/>
  <c r="G18" i="13"/>
  <c r="E18" i="13"/>
  <c r="F18" i="13" s="1"/>
  <c r="H18" i="13" s="1"/>
  <c r="M17" i="13"/>
  <c r="M18" i="13" s="1"/>
  <c r="P18" i="13" s="1"/>
  <c r="G17" i="13"/>
  <c r="E17" i="13"/>
  <c r="F17" i="13" s="1"/>
  <c r="H17" i="13" s="1"/>
  <c r="M16" i="13"/>
  <c r="P16" i="13" s="1"/>
  <c r="H16" i="13"/>
  <c r="E16" i="13"/>
  <c r="F16" i="13" s="1"/>
  <c r="G15" i="13"/>
  <c r="E15" i="13"/>
  <c r="F15" i="13" s="1"/>
  <c r="H15" i="13" s="1"/>
  <c r="M14" i="13"/>
  <c r="P14" i="13" s="1"/>
  <c r="G14" i="13"/>
  <c r="F14" i="13"/>
  <c r="E14" i="13"/>
  <c r="G13" i="13"/>
  <c r="F13" i="13"/>
  <c r="H13" i="13" s="1"/>
  <c r="E13" i="13"/>
  <c r="M12" i="13"/>
  <c r="M13" i="13" s="1"/>
  <c r="P13" i="13" s="1"/>
  <c r="G12" i="13"/>
  <c r="E12" i="13"/>
  <c r="F12" i="13" s="1"/>
  <c r="H12" i="13" s="1"/>
  <c r="M11" i="13"/>
  <c r="P11" i="13" s="1"/>
  <c r="G11" i="13"/>
  <c r="E11" i="13"/>
  <c r="F11" i="13" s="1"/>
  <c r="M10" i="13"/>
  <c r="P10" i="13" s="1"/>
  <c r="G10" i="13"/>
  <c r="F10" i="13"/>
  <c r="H10" i="13" s="1"/>
  <c r="E10" i="13"/>
  <c r="M9" i="13"/>
  <c r="P9" i="13" s="1"/>
  <c r="G9" i="13"/>
  <c r="E9" i="13"/>
  <c r="F9" i="13" s="1"/>
  <c r="H9" i="13" s="1"/>
  <c r="M8" i="13"/>
  <c r="P8" i="13" s="1"/>
  <c r="H8" i="13"/>
  <c r="G8" i="13"/>
  <c r="F8" i="13"/>
  <c r="E8" i="13"/>
  <c r="M7" i="13"/>
  <c r="G7" i="13"/>
  <c r="E7" i="13"/>
  <c r="F7" i="13" s="1"/>
  <c r="P7" i="13" l="1"/>
  <c r="M79" i="13"/>
  <c r="P79" i="13" s="1"/>
  <c r="M31" i="13"/>
  <c r="P31" i="13" s="1"/>
  <c r="P27" i="13"/>
  <c r="M28" i="13"/>
  <c r="P28" i="13" s="1"/>
  <c r="M30" i="13"/>
  <c r="P30" i="13" s="1"/>
  <c r="P75" i="13"/>
  <c r="H97" i="13"/>
  <c r="P12" i="13"/>
  <c r="P17" i="13"/>
  <c r="P39" i="13"/>
  <c r="M40" i="13"/>
  <c r="P40" i="13" s="1"/>
  <c r="H91" i="13"/>
  <c r="H99" i="13"/>
  <c r="H11" i="13"/>
  <c r="P29" i="13"/>
  <c r="H86" i="13"/>
  <c r="H93" i="13"/>
  <c r="H101" i="13"/>
  <c r="H7" i="13"/>
  <c r="F26" i="13"/>
  <c r="M55" i="13"/>
  <c r="P55" i="13" s="1"/>
  <c r="M48" i="13"/>
  <c r="P48" i="13" s="1"/>
  <c r="M54" i="13"/>
  <c r="P54" i="13" s="1"/>
  <c r="M33" i="13"/>
  <c r="P32" i="13"/>
  <c r="M56" i="13"/>
  <c r="P56" i="13" s="1"/>
  <c r="M50" i="13"/>
  <c r="P50" i="13" s="1"/>
  <c r="P38" i="13"/>
  <c r="M15" i="13"/>
  <c r="P15" i="13" s="1"/>
  <c r="H21" i="13"/>
  <c r="H19" i="13"/>
  <c r="M20" i="13"/>
  <c r="P20" i="13" s="1"/>
  <c r="P19" i="13"/>
  <c r="M47" i="13"/>
  <c r="P47" i="13" s="1"/>
  <c r="H14" i="13"/>
  <c r="M49" i="13"/>
  <c r="P49" i="13" s="1"/>
  <c r="M37" i="13"/>
  <c r="P37" i="13" s="1"/>
  <c r="P36" i="13"/>
  <c r="M45" i="13"/>
  <c r="P45" i="13" s="1"/>
  <c r="M51" i="13"/>
  <c r="P51" i="13" s="1"/>
  <c r="M53" i="13"/>
  <c r="P53" i="13" s="1"/>
  <c r="M44" i="13"/>
  <c r="P44" i="13" s="1"/>
  <c r="M43" i="13"/>
  <c r="P43" i="13" s="1"/>
  <c r="F80" i="13"/>
  <c r="P76" i="13"/>
  <c r="H76" i="13"/>
  <c r="H79" i="13"/>
  <c r="H80" i="13" s="1"/>
  <c r="M41" i="13" l="1"/>
  <c r="P41" i="13" s="1"/>
  <c r="P26" i="13"/>
  <c r="D112" i="13"/>
  <c r="F81" i="13"/>
  <c r="M34" i="13"/>
  <c r="P33" i="13"/>
  <c r="H26" i="13"/>
  <c r="H81" i="13" s="1"/>
  <c r="D113" i="13" s="1"/>
  <c r="M35" i="13" l="1"/>
  <c r="P35" i="13" s="1"/>
  <c r="P34" i="13"/>
  <c r="I76" i="13"/>
  <c r="I75" i="13"/>
  <c r="I71" i="13"/>
  <c r="I72" i="13"/>
  <c r="I77" i="13"/>
  <c r="I73" i="13"/>
  <c r="I69" i="13"/>
  <c r="I79" i="13"/>
  <c r="I78" i="13"/>
  <c r="I68" i="13"/>
  <c r="I65" i="13"/>
  <c r="I61" i="13"/>
  <c r="I57" i="13"/>
  <c r="I53" i="13"/>
  <c r="I63" i="13"/>
  <c r="I59" i="13"/>
  <c r="I55" i="13"/>
  <c r="I62" i="13"/>
  <c r="I48" i="13"/>
  <c r="I44" i="13"/>
  <c r="I70" i="13"/>
  <c r="I60" i="13"/>
  <c r="I56" i="13"/>
  <c r="I52" i="13"/>
  <c r="I50" i="13"/>
  <c r="I46" i="13"/>
  <c r="I51" i="13"/>
  <c r="I43" i="13"/>
  <c r="I39" i="13"/>
  <c r="I35" i="13"/>
  <c r="I31" i="13"/>
  <c r="I27" i="13"/>
  <c r="I24" i="13"/>
  <c r="I20" i="13"/>
  <c r="I58" i="13"/>
  <c r="I54" i="13"/>
  <c r="I66" i="13"/>
  <c r="I64" i="13"/>
  <c r="I49" i="13"/>
  <c r="I41" i="13"/>
  <c r="I37" i="13"/>
  <c r="I33" i="13"/>
  <c r="I29" i="13"/>
  <c r="I22" i="13"/>
  <c r="I18" i="13"/>
  <c r="I13" i="13"/>
  <c r="I74" i="13"/>
  <c r="I34" i="13"/>
  <c r="I30" i="13"/>
  <c r="I23" i="13"/>
  <c r="I21" i="13"/>
  <c r="I10" i="13"/>
  <c r="I45" i="13"/>
  <c r="I42" i="13"/>
  <c r="I38" i="13"/>
  <c r="I32" i="13"/>
  <c r="I25" i="13"/>
  <c r="I17" i="13"/>
  <c r="I15" i="13"/>
  <c r="I9" i="13"/>
  <c r="I19" i="13"/>
  <c r="I7" i="13"/>
  <c r="I47" i="13"/>
  <c r="I40" i="13"/>
  <c r="I36" i="13"/>
  <c r="I28" i="13"/>
  <c r="I16" i="13"/>
  <c r="I14" i="13"/>
  <c r="I12" i="13"/>
  <c r="I8" i="13"/>
  <c r="I67" i="13"/>
  <c r="I11" i="13"/>
  <c r="I102" i="13"/>
  <c r="I87" i="13"/>
  <c r="I95" i="13"/>
  <c r="I103" i="13"/>
  <c r="I97" i="13"/>
  <c r="I93" i="13"/>
  <c r="I89" i="13"/>
  <c r="I88" i="13"/>
  <c r="I96" i="13"/>
  <c r="I86" i="13"/>
  <c r="I91" i="13"/>
  <c r="I100" i="13"/>
  <c r="I104" i="13"/>
  <c r="I98" i="13"/>
  <c r="I94" i="13"/>
  <c r="I99" i="13"/>
  <c r="I85" i="13"/>
  <c r="I101" i="13"/>
  <c r="I92" i="13"/>
  <c r="I90" i="13"/>
  <c r="I80" i="13" l="1"/>
  <c r="P80" i="13"/>
  <c r="P81" i="13" s="1"/>
  <c r="I26" i="13"/>
  <c r="I81" i="13" s="1"/>
  <c r="B8" i="4" l="1"/>
  <c r="B9" i="4"/>
  <c r="B10" i="4"/>
  <c r="B11" i="4"/>
  <c r="D10" i="4" l="1"/>
  <c r="C9" i="4"/>
  <c r="E9" i="4"/>
  <c r="G9" i="4"/>
  <c r="F10" i="4"/>
  <c r="C10" i="4"/>
  <c r="D9" i="4"/>
  <c r="F9" i="4"/>
  <c r="H9" i="4"/>
  <c r="C11" i="4"/>
  <c r="H11" i="4"/>
  <c r="E10" i="4"/>
  <c r="G10" i="4"/>
  <c r="H10" i="4"/>
  <c r="C8" i="4"/>
  <c r="D8" i="4"/>
  <c r="E8" i="4"/>
  <c r="F8" i="4"/>
  <c r="G8" i="4"/>
  <c r="H8" i="4"/>
  <c r="G11" i="4" l="1"/>
  <c r="F11" i="4"/>
  <c r="E11" i="4"/>
  <c r="D11" i="4"/>
  <c r="G56" i="4" l="1"/>
  <c r="B58" i="4"/>
  <c r="C57" i="4"/>
  <c r="C56" i="4"/>
  <c r="B14" i="4"/>
  <c r="B13" i="4"/>
  <c r="B12" i="4"/>
  <c r="D121" i="13" l="1"/>
  <c r="D58" i="4"/>
  <c r="C58" i="4"/>
  <c r="B61" i="4"/>
  <c r="D45" i="12"/>
  <c r="E45" i="12" s="1"/>
  <c r="H13" i="4"/>
  <c r="G13" i="4"/>
  <c r="F13" i="4"/>
  <c r="E13" i="4"/>
  <c r="D13" i="4"/>
  <c r="C13" i="4"/>
  <c r="H12" i="4"/>
  <c r="C12" i="4"/>
  <c r="G12" i="4"/>
  <c r="F12" i="4"/>
  <c r="E12" i="4"/>
  <c r="D12" i="4"/>
  <c r="H14" i="4"/>
  <c r="G14" i="4"/>
  <c r="F14" i="4"/>
  <c r="E14" i="4"/>
  <c r="D14" i="4"/>
  <c r="C14" i="4"/>
  <c r="G59" i="4"/>
  <c r="G61" i="4" s="1"/>
  <c r="B62" i="4" l="1"/>
  <c r="B64" i="4" s="1"/>
  <c r="K85" i="13"/>
  <c r="J96" i="13"/>
  <c r="K96" i="13" s="1"/>
  <c r="J66" i="13"/>
  <c r="K66" i="13" s="1"/>
  <c r="L66" i="13" s="1"/>
  <c r="N66" i="13" s="1"/>
  <c r="J9" i="13"/>
  <c r="K9" i="13" s="1"/>
  <c r="L9" i="13" s="1"/>
  <c r="J72" i="13"/>
  <c r="K72" i="13" s="1"/>
  <c r="L72" i="13" s="1"/>
  <c r="N72" i="13" s="1"/>
  <c r="J30" i="13"/>
  <c r="K30" i="13" s="1"/>
  <c r="L30" i="13" s="1"/>
  <c r="N30" i="13" s="1"/>
  <c r="J76" i="13"/>
  <c r="K76" i="13" s="1"/>
  <c r="L76" i="13" s="1"/>
  <c r="N76" i="13" s="1"/>
  <c r="J10" i="13"/>
  <c r="K10" i="13" s="1"/>
  <c r="L10" i="13" s="1"/>
  <c r="J94" i="13"/>
  <c r="K94" i="13" s="1"/>
  <c r="J74" i="13"/>
  <c r="K74" i="13" s="1"/>
  <c r="L74" i="13" s="1"/>
  <c r="J31" i="13"/>
  <c r="K31" i="13" s="1"/>
  <c r="L31" i="13" s="1"/>
  <c r="N31" i="13" s="1"/>
  <c r="J63" i="13"/>
  <c r="K63" i="13" s="1"/>
  <c r="L63" i="13" s="1"/>
  <c r="N63" i="13" s="1"/>
  <c r="J45" i="13"/>
  <c r="K45" i="13" s="1"/>
  <c r="L45" i="13" s="1"/>
  <c r="N45" i="13" s="1"/>
  <c r="J77" i="13"/>
  <c r="K77" i="13" s="1"/>
  <c r="L77" i="13" s="1"/>
  <c r="J40" i="13"/>
  <c r="K40" i="13" s="1"/>
  <c r="L40" i="13" s="1"/>
  <c r="J52" i="13"/>
  <c r="K52" i="13" s="1"/>
  <c r="L52" i="13" s="1"/>
  <c r="N52" i="13" s="1"/>
  <c r="J89" i="13"/>
  <c r="K89" i="13" s="1"/>
  <c r="J21" i="13"/>
  <c r="K21" i="13" s="1"/>
  <c r="L21" i="13" s="1"/>
  <c r="J93" i="13"/>
  <c r="K93" i="13" s="1"/>
  <c r="J17" i="13"/>
  <c r="K17" i="13" s="1"/>
  <c r="L17" i="13" s="1"/>
  <c r="J33" i="13"/>
  <c r="K33" i="13" s="1"/>
  <c r="L33" i="13" s="1"/>
  <c r="N33" i="13" s="1"/>
  <c r="J46" i="13"/>
  <c r="K46" i="13" s="1"/>
  <c r="L46" i="13" s="1"/>
  <c r="N46" i="13" s="1"/>
  <c r="J68" i="13"/>
  <c r="K68" i="13" s="1"/>
  <c r="L68" i="13" s="1"/>
  <c r="N68" i="13" s="1"/>
  <c r="J7" i="13"/>
  <c r="J97" i="13"/>
  <c r="K97" i="13" s="1"/>
  <c r="J50" i="13"/>
  <c r="K50" i="13" s="1"/>
  <c r="L50" i="13" s="1"/>
  <c r="N50" i="13" s="1"/>
  <c r="J41" i="13"/>
  <c r="K41" i="13" s="1"/>
  <c r="L41" i="13" s="1"/>
  <c r="N41" i="13" s="1"/>
  <c r="J104" i="13"/>
  <c r="K104" i="13" s="1"/>
  <c r="N104" i="13" s="1"/>
  <c r="J24" i="13"/>
  <c r="K24" i="13" s="1"/>
  <c r="L24" i="13" s="1"/>
  <c r="J99" i="13"/>
  <c r="K99" i="13" s="1"/>
  <c r="J22" i="13"/>
  <c r="K22" i="13" s="1"/>
  <c r="L22" i="13" s="1"/>
  <c r="J95" i="13"/>
  <c r="K95" i="13" s="1"/>
  <c r="J29" i="13"/>
  <c r="K29" i="13" s="1"/>
  <c r="L29" i="13" s="1"/>
  <c r="J51" i="13"/>
  <c r="K51" i="13" s="1"/>
  <c r="L51" i="13" s="1"/>
  <c r="N51" i="13" s="1"/>
  <c r="J65" i="13"/>
  <c r="K65" i="13" s="1"/>
  <c r="L65" i="13" s="1"/>
  <c r="N65" i="13" s="1"/>
  <c r="J85" i="13"/>
  <c r="J37" i="13"/>
  <c r="K37" i="13" s="1"/>
  <c r="L37" i="13" s="1"/>
  <c r="N37" i="13" s="1"/>
  <c r="J90" i="13"/>
  <c r="K90" i="13" s="1"/>
  <c r="J32" i="13"/>
  <c r="K32" i="13" s="1"/>
  <c r="L32" i="13" s="1"/>
  <c r="J61" i="13"/>
  <c r="K61" i="13" s="1"/>
  <c r="L61" i="13" s="1"/>
  <c r="N61" i="13" s="1"/>
  <c r="J67" i="13"/>
  <c r="K67" i="13" s="1"/>
  <c r="L67" i="13" s="1"/>
  <c r="N67" i="13" s="1"/>
  <c r="J101" i="13"/>
  <c r="K101" i="13" s="1"/>
  <c r="J87" i="13"/>
  <c r="K87" i="13" s="1"/>
  <c r="J42" i="13"/>
  <c r="K42" i="13" s="1"/>
  <c r="L42" i="13" s="1"/>
  <c r="J64" i="13"/>
  <c r="K64" i="13" s="1"/>
  <c r="L64" i="13" s="1"/>
  <c r="N64" i="13" s="1"/>
  <c r="J60" i="13"/>
  <c r="K60" i="13" s="1"/>
  <c r="L60" i="13" s="1"/>
  <c r="N60" i="13" s="1"/>
  <c r="J73" i="13"/>
  <c r="K73" i="13" s="1"/>
  <c r="L73" i="13" s="1"/>
  <c r="N73" i="13" s="1"/>
  <c r="J25" i="13"/>
  <c r="K25" i="13" s="1"/>
  <c r="L25" i="13" s="1"/>
  <c r="J78" i="13"/>
  <c r="K78" i="13" s="1"/>
  <c r="L78" i="13" s="1"/>
  <c r="J44" i="13"/>
  <c r="K44" i="13" s="1"/>
  <c r="L44" i="13" s="1"/>
  <c r="N44" i="13" s="1"/>
  <c r="J12" i="13"/>
  <c r="K12" i="13" s="1"/>
  <c r="L12" i="13" s="1"/>
  <c r="J70" i="13"/>
  <c r="K70" i="13" s="1"/>
  <c r="L70" i="13" s="1"/>
  <c r="N70" i="13" s="1"/>
  <c r="J103" i="13"/>
  <c r="K103" i="13" s="1"/>
  <c r="J43" i="13"/>
  <c r="K43" i="13" s="1"/>
  <c r="L43" i="13" s="1"/>
  <c r="N43" i="13" s="1"/>
  <c r="J47" i="13"/>
  <c r="K47" i="13" s="1"/>
  <c r="L47" i="13" s="1"/>
  <c r="N47" i="13" s="1"/>
  <c r="J49" i="13"/>
  <c r="K49" i="13" s="1"/>
  <c r="L49" i="13" s="1"/>
  <c r="N49" i="13" s="1"/>
  <c r="J56" i="13"/>
  <c r="K56" i="13" s="1"/>
  <c r="L56" i="13" s="1"/>
  <c r="N56" i="13" s="1"/>
  <c r="J69" i="13"/>
  <c r="K69" i="13" s="1"/>
  <c r="L69" i="13" s="1"/>
  <c r="N69" i="13" s="1"/>
  <c r="J102" i="13"/>
  <c r="K102" i="13" s="1"/>
  <c r="J39" i="13"/>
  <c r="K39" i="13" s="1"/>
  <c r="L39" i="13" s="1"/>
  <c r="N39" i="13" s="1"/>
  <c r="J88" i="13"/>
  <c r="K88" i="13" s="1"/>
  <c r="J34" i="13"/>
  <c r="K34" i="13" s="1"/>
  <c r="L34" i="13" s="1"/>
  <c r="N34" i="13" s="1"/>
  <c r="J92" i="13"/>
  <c r="K92" i="13" s="1"/>
  <c r="J16" i="13"/>
  <c r="K16" i="13" s="1"/>
  <c r="L16" i="13" s="1"/>
  <c r="J98" i="13"/>
  <c r="K98" i="13" s="1"/>
  <c r="J8" i="13"/>
  <c r="K8" i="13" s="1"/>
  <c r="L8" i="13" s="1"/>
  <c r="J23" i="13"/>
  <c r="K23" i="13" s="1"/>
  <c r="L23" i="13" s="1"/>
  <c r="J20" i="13"/>
  <c r="K20" i="13" s="1"/>
  <c r="L20" i="13" s="1"/>
  <c r="N20" i="13" s="1"/>
  <c r="J62" i="13"/>
  <c r="K62" i="13" s="1"/>
  <c r="L62" i="13" s="1"/>
  <c r="N62" i="13" s="1"/>
  <c r="J75" i="13"/>
  <c r="K75" i="13" s="1"/>
  <c r="L75" i="13" s="1"/>
  <c r="J27" i="13"/>
  <c r="J18" i="13"/>
  <c r="K18" i="13" s="1"/>
  <c r="L18" i="13" s="1"/>
  <c r="N18" i="13" s="1"/>
  <c r="J100" i="13"/>
  <c r="K100" i="13" s="1"/>
  <c r="J79" i="13"/>
  <c r="K79" i="13" s="1"/>
  <c r="L79" i="13" s="1"/>
  <c r="N79" i="13" s="1"/>
  <c r="J19" i="13"/>
  <c r="K19" i="13" s="1"/>
  <c r="L19" i="13" s="1"/>
  <c r="J57" i="13"/>
  <c r="K57" i="13" s="1"/>
  <c r="L57" i="13" s="1"/>
  <c r="N57" i="13" s="1"/>
  <c r="J14" i="13"/>
  <c r="K14" i="13" s="1"/>
  <c r="L14" i="13" s="1"/>
  <c r="J59" i="13"/>
  <c r="K59" i="13" s="1"/>
  <c r="L59" i="13" s="1"/>
  <c r="N59" i="13" s="1"/>
  <c r="J38" i="13"/>
  <c r="K38" i="13" s="1"/>
  <c r="L38" i="13" s="1"/>
  <c r="J58" i="13"/>
  <c r="K58" i="13" s="1"/>
  <c r="L58" i="13" s="1"/>
  <c r="N58" i="13" s="1"/>
  <c r="J48" i="13"/>
  <c r="K48" i="13" s="1"/>
  <c r="L48" i="13" s="1"/>
  <c r="N48" i="13" s="1"/>
  <c r="J71" i="13"/>
  <c r="K71" i="13" s="1"/>
  <c r="L71" i="13" s="1"/>
  <c r="N71" i="13" s="1"/>
  <c r="J36" i="13"/>
  <c r="K36" i="13" s="1"/>
  <c r="L36" i="13" s="1"/>
  <c r="J55" i="13"/>
  <c r="K55" i="13" s="1"/>
  <c r="L55" i="13" s="1"/>
  <c r="N55" i="13" s="1"/>
  <c r="J11" i="13"/>
  <c r="K11" i="13" s="1"/>
  <c r="L11" i="13" s="1"/>
  <c r="J54" i="13"/>
  <c r="K54" i="13" s="1"/>
  <c r="L54" i="13" s="1"/>
  <c r="N54" i="13" s="1"/>
  <c r="J91" i="13"/>
  <c r="K91" i="13" s="1"/>
  <c r="J15" i="13"/>
  <c r="K15" i="13" s="1"/>
  <c r="L15" i="13" s="1"/>
  <c r="N15" i="13" s="1"/>
  <c r="J86" i="13"/>
  <c r="K86" i="13" s="1"/>
  <c r="J28" i="13"/>
  <c r="K28" i="13" s="1"/>
  <c r="L28" i="13" s="1"/>
  <c r="N28" i="13" s="1"/>
  <c r="J13" i="13"/>
  <c r="K13" i="13" s="1"/>
  <c r="L13" i="13" s="1"/>
  <c r="N13" i="13" s="1"/>
  <c r="J35" i="13"/>
  <c r="K35" i="13" s="1"/>
  <c r="L35" i="13" s="1"/>
  <c r="N35" i="13" s="1"/>
  <c r="J53" i="13"/>
  <c r="K53" i="13" s="1"/>
  <c r="L53" i="13" s="1"/>
  <c r="N53" i="13" s="1"/>
  <c r="E119" i="13"/>
  <c r="N23" i="13" l="1"/>
  <c r="D34" i="12"/>
  <c r="D50" i="12"/>
  <c r="D93" i="12" s="1"/>
  <c r="N32" i="13"/>
  <c r="S32" i="13" s="1"/>
  <c r="N40" i="13"/>
  <c r="D53" i="12"/>
  <c r="N75" i="13"/>
  <c r="D90" i="12"/>
  <c r="D105" i="12" s="1"/>
  <c r="N8" i="13"/>
  <c r="D12" i="12"/>
  <c r="N21" i="13"/>
  <c r="D25" i="12"/>
  <c r="N77" i="13"/>
  <c r="D72" i="12"/>
  <c r="D85" i="12" s="1"/>
  <c r="N38" i="13"/>
  <c r="D52" i="12"/>
  <c r="N22" i="13"/>
  <c r="D26" i="12"/>
  <c r="N78" i="13"/>
  <c r="D75" i="12"/>
  <c r="D86" i="12" s="1"/>
  <c r="N29" i="13"/>
  <c r="D49" i="12"/>
  <c r="N24" i="13"/>
  <c r="D31" i="12"/>
  <c r="D30" i="12"/>
  <c r="D33" i="12"/>
  <c r="D32" i="12"/>
  <c r="N36" i="13"/>
  <c r="S36" i="13" s="1"/>
  <c r="D51" i="12"/>
  <c r="N19" i="13"/>
  <c r="D24" i="12"/>
  <c r="N12" i="13"/>
  <c r="U12" i="13" s="1"/>
  <c r="V12" i="13" s="1"/>
  <c r="W12" i="13" s="1"/>
  <c r="D18" i="12"/>
  <c r="N11" i="13"/>
  <c r="D17" i="12"/>
  <c r="N14" i="13"/>
  <c r="S14" i="13" s="1"/>
  <c r="D20" i="12"/>
  <c r="N16" i="13"/>
  <c r="D21" i="12"/>
  <c r="N25" i="13"/>
  <c r="S25" i="13" s="1"/>
  <c r="D8" i="12"/>
  <c r="N42" i="13"/>
  <c r="D54" i="12"/>
  <c r="N17" i="13"/>
  <c r="D22" i="12"/>
  <c r="N10" i="13"/>
  <c r="D14" i="12"/>
  <c r="N9" i="13"/>
  <c r="D13" i="12"/>
  <c r="S35" i="13"/>
  <c r="U35" i="13"/>
  <c r="V35" i="13" s="1"/>
  <c r="W35" i="13" s="1"/>
  <c r="S58" i="13"/>
  <c r="U58" i="13"/>
  <c r="V58" i="13" s="1"/>
  <c r="W58" i="13" s="1"/>
  <c r="S57" i="13"/>
  <c r="U57" i="13"/>
  <c r="V57" i="13" s="1"/>
  <c r="W57" i="13" s="1"/>
  <c r="U18" i="13"/>
  <c r="V18" i="13" s="1"/>
  <c r="W18" i="13" s="1"/>
  <c r="S18" i="13"/>
  <c r="U20" i="13"/>
  <c r="V20" i="13" s="1"/>
  <c r="W20" i="13" s="1"/>
  <c r="S20" i="13"/>
  <c r="S16" i="13"/>
  <c r="U16" i="13"/>
  <c r="V16" i="13" s="1"/>
  <c r="W16" i="13" s="1"/>
  <c r="S39" i="13"/>
  <c r="U39" i="13"/>
  <c r="V39" i="13" s="1"/>
  <c r="W39" i="13" s="1"/>
  <c r="S49" i="13"/>
  <c r="U49" i="13"/>
  <c r="V49" i="13" s="1"/>
  <c r="W49" i="13" s="1"/>
  <c r="S70" i="13"/>
  <c r="U70" i="13"/>
  <c r="V70" i="13" s="1"/>
  <c r="W70" i="13" s="1"/>
  <c r="U42" i="13"/>
  <c r="V42" i="13" s="1"/>
  <c r="W42" i="13" s="1"/>
  <c r="S42" i="13"/>
  <c r="S61" i="13"/>
  <c r="U61" i="13"/>
  <c r="V61" i="13" s="1"/>
  <c r="W61" i="13" s="1"/>
  <c r="D15" i="12"/>
  <c r="N85" i="13"/>
  <c r="L95" i="13"/>
  <c r="D78" i="12" s="1"/>
  <c r="D87" i="12" s="1"/>
  <c r="N95" i="13"/>
  <c r="J26" i="13"/>
  <c r="K7" i="13"/>
  <c r="L7" i="13" s="1"/>
  <c r="U17" i="13"/>
  <c r="V17" i="13" s="1"/>
  <c r="W17" i="13" s="1"/>
  <c r="S17" i="13"/>
  <c r="S52" i="13"/>
  <c r="U52" i="13"/>
  <c r="V52" i="13" s="1"/>
  <c r="W52" i="13" s="1"/>
  <c r="U63" i="13"/>
  <c r="V63" i="13" s="1"/>
  <c r="W63" i="13" s="1"/>
  <c r="S63" i="13"/>
  <c r="S10" i="13"/>
  <c r="U10" i="13"/>
  <c r="V10" i="13" s="1"/>
  <c r="W10" i="13" s="1"/>
  <c r="S9" i="13"/>
  <c r="U9" i="13"/>
  <c r="V9" i="13" s="1"/>
  <c r="W9" i="13" s="1"/>
  <c r="U36" i="13"/>
  <c r="V36" i="13" s="1"/>
  <c r="W36" i="13" s="1"/>
  <c r="S23" i="13"/>
  <c r="U23" i="13"/>
  <c r="V23" i="13" s="1"/>
  <c r="W23" i="13" s="1"/>
  <c r="N102" i="13"/>
  <c r="L102" i="13"/>
  <c r="S47" i="13"/>
  <c r="U47" i="13"/>
  <c r="V47" i="13" s="1"/>
  <c r="W47" i="13" s="1"/>
  <c r="S12" i="13"/>
  <c r="U73" i="13"/>
  <c r="V73" i="13" s="1"/>
  <c r="W73" i="13" s="1"/>
  <c r="S73" i="13"/>
  <c r="L87" i="13"/>
  <c r="D19" i="12" s="1"/>
  <c r="N87" i="13"/>
  <c r="U65" i="13"/>
  <c r="V65" i="13" s="1"/>
  <c r="W65" i="13" s="1"/>
  <c r="S65" i="13"/>
  <c r="U22" i="13"/>
  <c r="V22" i="13" s="1"/>
  <c r="W22" i="13" s="1"/>
  <c r="S22" i="13"/>
  <c r="S41" i="13"/>
  <c r="U41" i="13"/>
  <c r="V41" i="13" s="1"/>
  <c r="W41" i="13" s="1"/>
  <c r="S68" i="13"/>
  <c r="U68" i="13"/>
  <c r="V68" i="13" s="1"/>
  <c r="W68" i="13" s="1"/>
  <c r="N93" i="13"/>
  <c r="L93" i="13"/>
  <c r="U40" i="13"/>
  <c r="V40" i="13" s="1"/>
  <c r="W40" i="13" s="1"/>
  <c r="S40" i="13"/>
  <c r="S31" i="13"/>
  <c r="U31" i="13"/>
  <c r="V31" i="13" s="1"/>
  <c r="W31" i="13" s="1"/>
  <c r="U76" i="13"/>
  <c r="V76" i="13" s="1"/>
  <c r="W76" i="13" s="1"/>
  <c r="S76" i="13"/>
  <c r="U66" i="13"/>
  <c r="V66" i="13" s="1"/>
  <c r="W66" i="13" s="1"/>
  <c r="S66" i="13"/>
  <c r="S55" i="13"/>
  <c r="U55" i="13"/>
  <c r="V55" i="13" s="1"/>
  <c r="W55" i="13" s="1"/>
  <c r="L91" i="13"/>
  <c r="N91" i="13"/>
  <c r="S19" i="13"/>
  <c r="U19" i="13"/>
  <c r="V19" i="13" s="1"/>
  <c r="W19" i="13" s="1"/>
  <c r="J80" i="13"/>
  <c r="K27" i="13"/>
  <c r="S54" i="13"/>
  <c r="U54" i="13"/>
  <c r="V54" i="13" s="1"/>
  <c r="W54" i="13" s="1"/>
  <c r="S79" i="13"/>
  <c r="U79" i="13"/>
  <c r="V79" i="13" s="1"/>
  <c r="W79" i="13" s="1"/>
  <c r="U75" i="13"/>
  <c r="V75" i="13" s="1"/>
  <c r="W75" i="13" s="1"/>
  <c r="S75" i="13"/>
  <c r="U8" i="13"/>
  <c r="V8" i="13" s="1"/>
  <c r="W8" i="13" s="1"/>
  <c r="S8" i="13"/>
  <c r="U34" i="13"/>
  <c r="V34" i="13" s="1"/>
  <c r="W34" i="13" s="1"/>
  <c r="S34" i="13"/>
  <c r="U69" i="13"/>
  <c r="V69" i="13" s="1"/>
  <c r="W69" i="13" s="1"/>
  <c r="S69" i="13"/>
  <c r="U43" i="13"/>
  <c r="V43" i="13" s="1"/>
  <c r="W43" i="13" s="1"/>
  <c r="S43" i="13"/>
  <c r="S44" i="13"/>
  <c r="U44" i="13"/>
  <c r="V44" i="13" s="1"/>
  <c r="W44" i="13" s="1"/>
  <c r="S60" i="13"/>
  <c r="U60" i="13"/>
  <c r="V60" i="13" s="1"/>
  <c r="W60" i="13" s="1"/>
  <c r="L101" i="13"/>
  <c r="N101" i="13"/>
  <c r="L90" i="13"/>
  <c r="N90" i="13"/>
  <c r="U51" i="13"/>
  <c r="V51" i="13" s="1"/>
  <c r="W51" i="13" s="1"/>
  <c r="S51" i="13"/>
  <c r="L99" i="13"/>
  <c r="N99" i="13"/>
  <c r="S50" i="13"/>
  <c r="U50" i="13"/>
  <c r="V50" i="13" s="1"/>
  <c r="W50" i="13" s="1"/>
  <c r="S46" i="13"/>
  <c r="U46" i="13"/>
  <c r="V46" i="13" s="1"/>
  <c r="W46" i="13" s="1"/>
  <c r="U21" i="13"/>
  <c r="V21" i="13" s="1"/>
  <c r="W21" i="13" s="1"/>
  <c r="S21" i="13"/>
  <c r="U77" i="13"/>
  <c r="V77" i="13" s="1"/>
  <c r="W77" i="13" s="1"/>
  <c r="S77" i="13"/>
  <c r="L104" i="13"/>
  <c r="N74" i="13"/>
  <c r="S30" i="13"/>
  <c r="U30" i="13"/>
  <c r="V30" i="13" s="1"/>
  <c r="W30" i="13" s="1"/>
  <c r="L96" i="13"/>
  <c r="N96" i="13"/>
  <c r="S15" i="13"/>
  <c r="U15" i="13"/>
  <c r="V15" i="13" s="1"/>
  <c r="W15" i="13" s="1"/>
  <c r="S13" i="13"/>
  <c r="U13" i="13"/>
  <c r="V13" i="13" s="1"/>
  <c r="W13" i="13" s="1"/>
  <c r="U38" i="13"/>
  <c r="V38" i="13" s="1"/>
  <c r="W38" i="13" s="1"/>
  <c r="S38" i="13"/>
  <c r="N92" i="13"/>
  <c r="L92" i="13"/>
  <c r="U28" i="13"/>
  <c r="V28" i="13" s="1"/>
  <c r="W28" i="13" s="1"/>
  <c r="S28" i="13"/>
  <c r="U71" i="13"/>
  <c r="V71" i="13" s="1"/>
  <c r="W71" i="13" s="1"/>
  <c r="S71" i="13"/>
  <c r="S59" i="13"/>
  <c r="U59" i="13"/>
  <c r="V59" i="13" s="1"/>
  <c r="W59" i="13" s="1"/>
  <c r="S53" i="13"/>
  <c r="U53" i="13"/>
  <c r="V53" i="13" s="1"/>
  <c r="W53" i="13" s="1"/>
  <c r="D16" i="12"/>
  <c r="N86" i="13"/>
  <c r="S11" i="13"/>
  <c r="U11" i="13"/>
  <c r="V11" i="13" s="1"/>
  <c r="W11" i="13" s="1"/>
  <c r="U48" i="13"/>
  <c r="V48" i="13" s="1"/>
  <c r="W48" i="13" s="1"/>
  <c r="S48" i="13"/>
  <c r="U14" i="13"/>
  <c r="V14" i="13" s="1"/>
  <c r="W14" i="13" s="1"/>
  <c r="L100" i="13"/>
  <c r="N100" i="13"/>
  <c r="U62" i="13"/>
  <c r="V62" i="13" s="1"/>
  <c r="W62" i="13" s="1"/>
  <c r="S62" i="13"/>
  <c r="L98" i="13"/>
  <c r="N98" i="13"/>
  <c r="N88" i="13"/>
  <c r="L88" i="13"/>
  <c r="D23" i="12" s="1"/>
  <c r="S56" i="13"/>
  <c r="U56" i="13"/>
  <c r="V56" i="13" s="1"/>
  <c r="W56" i="13" s="1"/>
  <c r="N103" i="13"/>
  <c r="L103" i="13"/>
  <c r="D83" i="12" s="1"/>
  <c r="U78" i="13"/>
  <c r="V78" i="13" s="1"/>
  <c r="W78" i="13" s="1"/>
  <c r="S78" i="13"/>
  <c r="U64" i="13"/>
  <c r="V64" i="13" s="1"/>
  <c r="W64" i="13" s="1"/>
  <c r="S64" i="13"/>
  <c r="U67" i="13"/>
  <c r="V67" i="13" s="1"/>
  <c r="W67" i="13" s="1"/>
  <c r="S67" i="13"/>
  <c r="S37" i="13"/>
  <c r="U37" i="13"/>
  <c r="V37" i="13" s="1"/>
  <c r="W37" i="13" s="1"/>
  <c r="S29" i="13"/>
  <c r="U29" i="13"/>
  <c r="V29" i="13" s="1"/>
  <c r="W29" i="13" s="1"/>
  <c r="S24" i="13"/>
  <c r="U24" i="13"/>
  <c r="V24" i="13" s="1"/>
  <c r="W24" i="13" s="1"/>
  <c r="L97" i="13"/>
  <c r="N97" i="13"/>
  <c r="S33" i="13"/>
  <c r="U33" i="13"/>
  <c r="V33" i="13" s="1"/>
  <c r="W33" i="13" s="1"/>
  <c r="N89" i="13"/>
  <c r="L89" i="13"/>
  <c r="D27" i="12" s="1"/>
  <c r="U45" i="13"/>
  <c r="V45" i="13" s="1"/>
  <c r="W45" i="13" s="1"/>
  <c r="S45" i="13"/>
  <c r="L94" i="13"/>
  <c r="N94" i="13"/>
  <c r="S72" i="13"/>
  <c r="U72" i="13"/>
  <c r="V72" i="13" s="1"/>
  <c r="W72" i="13" s="1"/>
  <c r="U32" i="13" l="1"/>
  <c r="V32" i="13" s="1"/>
  <c r="W32" i="13" s="1"/>
  <c r="U25" i="13"/>
  <c r="V25" i="13" s="1"/>
  <c r="W25" i="13" s="1"/>
  <c r="D11" i="12"/>
  <c r="N7" i="13"/>
  <c r="D38" i="12"/>
  <c r="D37" i="12"/>
  <c r="D81" i="12" s="1"/>
  <c r="D39" i="12"/>
  <c r="S74" i="13"/>
  <c r="U74" i="13"/>
  <c r="V74" i="13" s="1"/>
  <c r="W74" i="13" s="1"/>
  <c r="K80" i="13"/>
  <c r="L27" i="13"/>
  <c r="K26" i="13"/>
  <c r="J81" i="13"/>
  <c r="N27" i="13" l="1"/>
  <c r="D48" i="12"/>
  <c r="K81" i="13"/>
  <c r="U27" i="13"/>
  <c r="V27" i="13" s="1"/>
  <c r="S27" i="13"/>
  <c r="S80" i="13" s="1"/>
  <c r="U7" i="13"/>
  <c r="V7" i="13" s="1"/>
  <c r="S7" i="13"/>
  <c r="S26" i="13" s="1"/>
  <c r="S81" i="13" l="1"/>
  <c r="E27" i="12"/>
  <c r="O89" i="13" s="1"/>
  <c r="E23" i="12"/>
  <c r="W7" i="13"/>
  <c r="W26" i="13" s="1"/>
  <c r="V26" i="13"/>
  <c r="V80" i="13"/>
  <c r="W27" i="13"/>
  <c r="W80" i="13" s="1"/>
  <c r="E14" i="12"/>
  <c r="E25" i="12"/>
  <c r="E85" i="12"/>
  <c r="E21" i="12"/>
  <c r="E12" i="12"/>
  <c r="E24" i="12"/>
  <c r="E17" i="12"/>
  <c r="E26" i="12"/>
  <c r="E20" i="12"/>
  <c r="E22" i="12"/>
  <c r="E13" i="12"/>
  <c r="E18" i="12"/>
  <c r="E86" i="12"/>
  <c r="E19" i="12"/>
  <c r="O87" i="13" s="1"/>
  <c r="O17" i="13" l="1"/>
  <c r="O22" i="13"/>
  <c r="O11" i="13"/>
  <c r="O8" i="13"/>
  <c r="O10" i="13"/>
  <c r="E15" i="12"/>
  <c r="V81" i="13"/>
  <c r="O12" i="13"/>
  <c r="O9" i="13"/>
  <c r="O14" i="13"/>
  <c r="O19" i="13"/>
  <c r="O16" i="13"/>
  <c r="O21" i="13"/>
  <c r="W81" i="13"/>
  <c r="O88" i="13"/>
  <c r="E11" i="12"/>
  <c r="O7" i="13" s="1"/>
  <c r="E34" i="12"/>
  <c r="E42" i="12"/>
  <c r="D103" i="12"/>
  <c r="E110" i="12"/>
  <c r="E90" i="12"/>
  <c r="D107" i="12"/>
  <c r="E107" i="12" s="1"/>
  <c r="D91" i="12"/>
  <c r="E37" i="12"/>
  <c r="E38" i="12"/>
  <c r="E39" i="12"/>
  <c r="E16" i="12"/>
  <c r="E8" i="12"/>
  <c r="D111" i="12"/>
  <c r="B69" i="4" l="1"/>
  <c r="B73" i="4"/>
  <c r="O85" i="13"/>
  <c r="O76" i="13"/>
  <c r="O75" i="13"/>
  <c r="O23" i="13"/>
  <c r="Q8" i="13"/>
  <c r="Y8" i="13"/>
  <c r="Q22" i="13"/>
  <c r="Y22" i="13"/>
  <c r="Q21" i="13"/>
  <c r="Y21" i="13"/>
  <c r="O20" i="13"/>
  <c r="Q19" i="13"/>
  <c r="Y19" i="13"/>
  <c r="Q9" i="13"/>
  <c r="Y9" i="13"/>
  <c r="O86" i="13"/>
  <c r="Q10" i="13"/>
  <c r="Y10" i="13"/>
  <c r="Q11" i="13"/>
  <c r="Y11" i="13"/>
  <c r="O18" i="13"/>
  <c r="Q17" i="13"/>
  <c r="Y17" i="13"/>
  <c r="O25" i="13"/>
  <c r="Q16" i="13"/>
  <c r="Y16" i="13"/>
  <c r="O15" i="13"/>
  <c r="Q14" i="13"/>
  <c r="Y14" i="13"/>
  <c r="O13" i="13"/>
  <c r="Q12" i="13"/>
  <c r="Y12" i="13"/>
  <c r="O74" i="13"/>
  <c r="O90" i="13"/>
  <c r="E51" i="12"/>
  <c r="D67" i="12"/>
  <c r="D99" i="12"/>
  <c r="E99" i="12" s="1"/>
  <c r="D94" i="12"/>
  <c r="D59" i="12"/>
  <c r="E53" i="12"/>
  <c r="D61" i="12"/>
  <c r="D96" i="12"/>
  <c r="D101" i="12"/>
  <c r="E101" i="12" s="1"/>
  <c r="E91" i="12"/>
  <c r="E54" i="12"/>
  <c r="D62" i="12"/>
  <c r="E49" i="12"/>
  <c r="D65" i="12"/>
  <c r="D57" i="12"/>
  <c r="E57" i="12" s="1"/>
  <c r="E30" i="12"/>
  <c r="E31" i="12"/>
  <c r="E32" i="12"/>
  <c r="E33" i="12"/>
  <c r="E111" i="12"/>
  <c r="E52" i="12"/>
  <c r="D68" i="12"/>
  <c r="E68" i="12" s="1"/>
  <c r="D100" i="12"/>
  <c r="E100" i="12" s="1"/>
  <c r="D95" i="12"/>
  <c r="D60" i="12"/>
  <c r="E60" i="12" s="1"/>
  <c r="E50" i="12"/>
  <c r="D66" i="12"/>
  <c r="E66" i="12" s="1"/>
  <c r="D58" i="12"/>
  <c r="E58" i="12" s="1"/>
  <c r="D98" i="12"/>
  <c r="E98" i="12" s="1"/>
  <c r="E103" i="12"/>
  <c r="E105" i="12"/>
  <c r="E65" i="12" l="1"/>
  <c r="E81" i="12"/>
  <c r="E67" i="12"/>
  <c r="E83" i="12"/>
  <c r="E78" i="12"/>
  <c r="O95" i="13" s="1"/>
  <c r="D79" i="12"/>
  <c r="E79" i="12" s="1"/>
  <c r="O96" i="13" s="1"/>
  <c r="E87" i="12"/>
  <c r="E75" i="12"/>
  <c r="O78" i="13" s="1"/>
  <c r="O79" i="13" s="1"/>
  <c r="D76" i="12"/>
  <c r="E76" i="12" s="1"/>
  <c r="O55" i="13"/>
  <c r="O48" i="13"/>
  <c r="O35" i="13"/>
  <c r="O33" i="13"/>
  <c r="O47" i="13"/>
  <c r="O54" i="13"/>
  <c r="O34" i="13"/>
  <c r="O32" i="13"/>
  <c r="O29" i="13"/>
  <c r="O30" i="13"/>
  <c r="O31" i="13"/>
  <c r="O45" i="13"/>
  <c r="O46" i="13"/>
  <c r="O97" i="13"/>
  <c r="R14" i="13"/>
  <c r="X14" i="13" s="1"/>
  <c r="T14" i="13"/>
  <c r="Q25" i="13"/>
  <c r="Y25" i="13"/>
  <c r="Q18" i="13"/>
  <c r="Y18" i="13"/>
  <c r="R10" i="13"/>
  <c r="X10" i="13" s="1"/>
  <c r="T10" i="13"/>
  <c r="R9" i="13"/>
  <c r="X9" i="13" s="1"/>
  <c r="T9" i="13"/>
  <c r="Q23" i="13"/>
  <c r="Y23" i="13"/>
  <c r="O66" i="13"/>
  <c r="O67" i="13"/>
  <c r="O24" i="13"/>
  <c r="O51" i="13"/>
  <c r="O41" i="13"/>
  <c r="O39" i="13"/>
  <c r="O57" i="13"/>
  <c r="O40" i="13"/>
  <c r="R12" i="13"/>
  <c r="X12" i="13" s="1"/>
  <c r="T12" i="13"/>
  <c r="Q15" i="13"/>
  <c r="Y15" i="13"/>
  <c r="R21" i="13"/>
  <c r="X21" i="13" s="1"/>
  <c r="T21" i="13"/>
  <c r="R8" i="13"/>
  <c r="X8" i="13" s="1"/>
  <c r="T8" i="13"/>
  <c r="O94" i="13"/>
  <c r="O69" i="13"/>
  <c r="O68" i="13"/>
  <c r="O63" i="13"/>
  <c r="O62" i="13"/>
  <c r="O37" i="13"/>
  <c r="O49" i="13"/>
  <c r="O36" i="13"/>
  <c r="Q13" i="13"/>
  <c r="Y13" i="13"/>
  <c r="R11" i="13"/>
  <c r="X11" i="13" s="1"/>
  <c r="T11" i="13"/>
  <c r="R19" i="13"/>
  <c r="X19" i="13" s="1"/>
  <c r="T19" i="13"/>
  <c r="Q75" i="13"/>
  <c r="Y75" i="13"/>
  <c r="O103" i="13"/>
  <c r="O72" i="13"/>
  <c r="O71" i="13"/>
  <c r="O50" i="13"/>
  <c r="O38" i="13"/>
  <c r="O56" i="13"/>
  <c r="O65" i="13"/>
  <c r="O64" i="13"/>
  <c r="O91" i="13"/>
  <c r="O42" i="13"/>
  <c r="R16" i="13"/>
  <c r="X16" i="13" s="1"/>
  <c r="T16" i="13"/>
  <c r="R17" i="13"/>
  <c r="X17" i="13" s="1"/>
  <c r="T17" i="13"/>
  <c r="Q20" i="13"/>
  <c r="Y20" i="13"/>
  <c r="R22" i="13"/>
  <c r="X22" i="13" s="1"/>
  <c r="T22" i="13"/>
  <c r="Q76" i="13"/>
  <c r="R76" i="13" s="1"/>
  <c r="Y76" i="13"/>
  <c r="O104" i="13"/>
  <c r="Q74" i="13"/>
  <c r="Y74" i="13"/>
  <c r="O102" i="13"/>
  <c r="Q7" i="13"/>
  <c r="Y7" i="13"/>
  <c r="E96" i="12"/>
  <c r="E94" i="12"/>
  <c r="E62" i="12"/>
  <c r="E61" i="12"/>
  <c r="E95" i="12"/>
  <c r="E93" i="12"/>
  <c r="E59" i="12"/>
  <c r="Y78" i="13" l="1"/>
  <c r="Q78" i="13"/>
  <c r="T78" i="13" s="1"/>
  <c r="O70" i="13"/>
  <c r="O100" i="13"/>
  <c r="O99" i="13"/>
  <c r="Q38" i="13"/>
  <c r="Y38" i="13"/>
  <c r="Q37" i="13"/>
  <c r="Y37" i="13"/>
  <c r="Q69" i="13"/>
  <c r="Y69" i="13"/>
  <c r="R15" i="13"/>
  <c r="X15" i="13" s="1"/>
  <c r="T15" i="13"/>
  <c r="Q57" i="13"/>
  <c r="Y57" i="13"/>
  <c r="Q67" i="13"/>
  <c r="Y67" i="13"/>
  <c r="Q45" i="13"/>
  <c r="Y45" i="13"/>
  <c r="Q32" i="13"/>
  <c r="Y32" i="13"/>
  <c r="Q33" i="13"/>
  <c r="Y33" i="13"/>
  <c r="O73" i="13"/>
  <c r="O101" i="13"/>
  <c r="Q64" i="13"/>
  <c r="Y64" i="13"/>
  <c r="Q50" i="13"/>
  <c r="Y50" i="13"/>
  <c r="Q62" i="13"/>
  <c r="Y62" i="13"/>
  <c r="Q39" i="13"/>
  <c r="Y39" i="13"/>
  <c r="Q66" i="13"/>
  <c r="Y66" i="13"/>
  <c r="R18" i="13"/>
  <c r="X18" i="13" s="1"/>
  <c r="T18" i="13"/>
  <c r="R78" i="13"/>
  <c r="X78" i="13" s="1"/>
  <c r="Q31" i="13"/>
  <c r="Y31" i="13"/>
  <c r="Q34" i="13"/>
  <c r="Y34" i="13"/>
  <c r="Q35" i="13"/>
  <c r="Y35" i="13"/>
  <c r="O92" i="13"/>
  <c r="X76" i="13"/>
  <c r="T76" i="13"/>
  <c r="R20" i="13"/>
  <c r="X20" i="13" s="1"/>
  <c r="T20" i="13"/>
  <c r="Q65" i="13"/>
  <c r="Y65" i="13"/>
  <c r="Q71" i="13"/>
  <c r="Y71" i="13"/>
  <c r="Q36" i="13"/>
  <c r="Y36" i="13"/>
  <c r="Q63" i="13"/>
  <c r="Y63" i="13"/>
  <c r="Q41" i="13"/>
  <c r="Y41" i="13"/>
  <c r="Q24" i="13"/>
  <c r="Y24" i="13"/>
  <c r="Q79" i="13"/>
  <c r="Y79" i="13"/>
  <c r="Q30" i="13"/>
  <c r="Y30" i="13"/>
  <c r="Q54" i="13"/>
  <c r="Y54" i="13"/>
  <c r="Q48" i="13"/>
  <c r="Y48" i="13"/>
  <c r="O98" i="13"/>
  <c r="Q42" i="13"/>
  <c r="Y42" i="13"/>
  <c r="Q56" i="13"/>
  <c r="Y56" i="13"/>
  <c r="Q72" i="13"/>
  <c r="Y72" i="13"/>
  <c r="R75" i="13"/>
  <c r="X75" i="13" s="1"/>
  <c r="T75" i="13"/>
  <c r="R13" i="13"/>
  <c r="X13" i="13" s="1"/>
  <c r="T13" i="13"/>
  <c r="Q49" i="13"/>
  <c r="Y49" i="13"/>
  <c r="Q68" i="13"/>
  <c r="Y68" i="13"/>
  <c r="Q40" i="13"/>
  <c r="Y40" i="13"/>
  <c r="Q51" i="13"/>
  <c r="Y51" i="13"/>
  <c r="R23" i="13"/>
  <c r="X23" i="13" s="1"/>
  <c r="T23" i="13"/>
  <c r="R25" i="13"/>
  <c r="X25" i="13" s="1"/>
  <c r="T25" i="13"/>
  <c r="Q46" i="13"/>
  <c r="Y46" i="13"/>
  <c r="Q29" i="13"/>
  <c r="Y29" i="13"/>
  <c r="Q47" i="13"/>
  <c r="Y47" i="13"/>
  <c r="Q55" i="13"/>
  <c r="Y55" i="13"/>
  <c r="R74" i="13"/>
  <c r="T74" i="13"/>
  <c r="R7" i="13"/>
  <c r="Q26" i="13"/>
  <c r="T7" i="13"/>
  <c r="D56" i="12"/>
  <c r="D64" i="12"/>
  <c r="E64" i="12" s="1"/>
  <c r="E48" i="12"/>
  <c r="E56" i="12" l="1"/>
  <c r="Q73" i="13"/>
  <c r="Y73" i="13"/>
  <c r="Q70" i="13"/>
  <c r="Y70" i="13"/>
  <c r="O28" i="13"/>
  <c r="O27" i="13"/>
  <c r="O53" i="13"/>
  <c r="O44" i="13"/>
  <c r="O43" i="13"/>
  <c r="O52" i="13"/>
  <c r="O61" i="13"/>
  <c r="O60" i="13"/>
  <c r="R47" i="13"/>
  <c r="X47" i="13" s="1"/>
  <c r="T47" i="13"/>
  <c r="R40" i="13"/>
  <c r="X40" i="13" s="1"/>
  <c r="T40" i="13"/>
  <c r="R49" i="13"/>
  <c r="X49" i="13" s="1"/>
  <c r="T49" i="13"/>
  <c r="R56" i="13"/>
  <c r="X56" i="13" s="1"/>
  <c r="T56" i="13"/>
  <c r="R54" i="13"/>
  <c r="X54" i="13" s="1"/>
  <c r="T54" i="13"/>
  <c r="R79" i="13"/>
  <c r="X79" i="13" s="1"/>
  <c r="T79" i="13"/>
  <c r="R41" i="13"/>
  <c r="X41" i="13" s="1"/>
  <c r="T41" i="13"/>
  <c r="R36" i="13"/>
  <c r="X36" i="13" s="1"/>
  <c r="T36" i="13"/>
  <c r="R65" i="13"/>
  <c r="X65" i="13" s="1"/>
  <c r="T65" i="13"/>
  <c r="R35" i="13"/>
  <c r="X35" i="13" s="1"/>
  <c r="T35" i="13"/>
  <c r="R31" i="13"/>
  <c r="X31" i="13" s="1"/>
  <c r="T31" i="13"/>
  <c r="R39" i="13"/>
  <c r="X39" i="13" s="1"/>
  <c r="T39" i="13"/>
  <c r="R64" i="13"/>
  <c r="X64" i="13" s="1"/>
  <c r="T64" i="13"/>
  <c r="R32" i="13"/>
  <c r="X32" i="13" s="1"/>
  <c r="T32" i="13"/>
  <c r="R67" i="13"/>
  <c r="X67" i="13" s="1"/>
  <c r="T67" i="13"/>
  <c r="R37" i="13"/>
  <c r="X37" i="13" s="1"/>
  <c r="T37" i="13"/>
  <c r="R46" i="13"/>
  <c r="X46" i="13" s="1"/>
  <c r="T46" i="13"/>
  <c r="O58" i="13"/>
  <c r="O59" i="13"/>
  <c r="R55" i="13"/>
  <c r="X55" i="13" s="1"/>
  <c r="T55" i="13"/>
  <c r="R29" i="13"/>
  <c r="X29" i="13" s="1"/>
  <c r="T29" i="13"/>
  <c r="R51" i="13"/>
  <c r="X51" i="13" s="1"/>
  <c r="T51" i="13"/>
  <c r="R68" i="13"/>
  <c r="X68" i="13" s="1"/>
  <c r="T68" i="13"/>
  <c r="R72" i="13"/>
  <c r="X72" i="13" s="1"/>
  <c r="T72" i="13"/>
  <c r="R42" i="13"/>
  <c r="X42" i="13" s="1"/>
  <c r="T42" i="13"/>
  <c r="R48" i="13"/>
  <c r="X48" i="13" s="1"/>
  <c r="T48" i="13"/>
  <c r="R30" i="13"/>
  <c r="X30" i="13" s="1"/>
  <c r="T30" i="13"/>
  <c r="R24" i="13"/>
  <c r="X24" i="13" s="1"/>
  <c r="T24" i="13"/>
  <c r="T26" i="13" s="1"/>
  <c r="R63" i="13"/>
  <c r="X63" i="13" s="1"/>
  <c r="T63" i="13"/>
  <c r="R71" i="13"/>
  <c r="X71" i="13" s="1"/>
  <c r="T71" i="13"/>
  <c r="R34" i="13"/>
  <c r="X34" i="13" s="1"/>
  <c r="T34" i="13"/>
  <c r="R66" i="13"/>
  <c r="X66" i="13" s="1"/>
  <c r="T66" i="13"/>
  <c r="R62" i="13"/>
  <c r="X62" i="13" s="1"/>
  <c r="T62" i="13"/>
  <c r="R50" i="13"/>
  <c r="X50" i="13" s="1"/>
  <c r="T50" i="13"/>
  <c r="R33" i="13"/>
  <c r="X33" i="13" s="1"/>
  <c r="T33" i="13"/>
  <c r="R45" i="13"/>
  <c r="X45" i="13" s="1"/>
  <c r="T45" i="13"/>
  <c r="R57" i="13"/>
  <c r="X57" i="13" s="1"/>
  <c r="T57" i="13"/>
  <c r="R69" i="13"/>
  <c r="X69" i="13" s="1"/>
  <c r="T69" i="13"/>
  <c r="R38" i="13"/>
  <c r="X38" i="13" s="1"/>
  <c r="T38" i="13"/>
  <c r="X74" i="13"/>
  <c r="X7" i="13"/>
  <c r="E72" i="12" l="1"/>
  <c r="O77" i="13" s="1"/>
  <c r="D73" i="12"/>
  <c r="E73" i="12" s="1"/>
  <c r="O93" i="13" s="1"/>
  <c r="R26" i="13"/>
  <c r="X26" i="13" s="1"/>
  <c r="Q58" i="13"/>
  <c r="Y58" i="13"/>
  <c r="Q60" i="13"/>
  <c r="Y60" i="13"/>
  <c r="Q44" i="13"/>
  <c r="Y44" i="13"/>
  <c r="Q61" i="13"/>
  <c r="Y61" i="13"/>
  <c r="Q53" i="13"/>
  <c r="Y53" i="13"/>
  <c r="R70" i="13"/>
  <c r="X70" i="13" s="1"/>
  <c r="T70" i="13"/>
  <c r="Q52" i="13"/>
  <c r="Y52" i="13"/>
  <c r="Q27" i="13"/>
  <c r="Y27" i="13"/>
  <c r="Q59" i="13"/>
  <c r="Y59" i="13"/>
  <c r="Q43" i="13"/>
  <c r="Y43" i="13"/>
  <c r="Q28" i="13"/>
  <c r="Y28" i="13"/>
  <c r="R73" i="13"/>
  <c r="X73" i="13" s="1"/>
  <c r="T73" i="13"/>
  <c r="D115" i="13"/>
  <c r="Q77" i="13" l="1"/>
  <c r="Y77" i="13"/>
  <c r="R60" i="13"/>
  <c r="X60" i="13" s="1"/>
  <c r="T60" i="13"/>
  <c r="R52" i="13"/>
  <c r="X52" i="13" s="1"/>
  <c r="T52" i="13"/>
  <c r="R58" i="13"/>
  <c r="X58" i="13" s="1"/>
  <c r="T58" i="13"/>
  <c r="R43" i="13"/>
  <c r="X43" i="13" s="1"/>
  <c r="T43" i="13"/>
  <c r="R27" i="13"/>
  <c r="T27" i="13"/>
  <c r="Q80" i="13"/>
  <c r="Q81" i="13" s="1"/>
  <c r="R61" i="13"/>
  <c r="X61" i="13" s="1"/>
  <c r="T61" i="13"/>
  <c r="R28" i="13"/>
  <c r="X28" i="13" s="1"/>
  <c r="T28" i="13"/>
  <c r="R59" i="13"/>
  <c r="X59" i="13" s="1"/>
  <c r="T59" i="13"/>
  <c r="R53" i="13"/>
  <c r="X53" i="13" s="1"/>
  <c r="T53" i="13"/>
  <c r="R44" i="13"/>
  <c r="X44" i="13" s="1"/>
  <c r="T44" i="13"/>
  <c r="E115" i="13"/>
  <c r="B74" i="4"/>
  <c r="T77" i="13" l="1"/>
  <c r="R77" i="13"/>
  <c r="X77" i="13" s="1"/>
  <c r="T80" i="13"/>
  <c r="T81" i="13" s="1"/>
  <c r="X27" i="13"/>
  <c r="R80" i="13" l="1"/>
  <c r="D116" i="13" s="1"/>
  <c r="X80" i="13" l="1"/>
  <c r="R81" i="13"/>
  <c r="X81" i="13" s="1"/>
  <c r="D117" i="13"/>
  <c r="D124" i="13" s="1"/>
  <c r="E116" i="13"/>
  <c r="B70" i="4"/>
</calcChain>
</file>

<file path=xl/comments1.xml><?xml version="1.0" encoding="utf-8"?>
<comments xmlns="http://schemas.openxmlformats.org/spreadsheetml/2006/main">
  <authors>
    <author>Ann LaRue</author>
  </authors>
  <commentList>
    <comment ref="D13" authorId="0">
      <text>
        <r>
          <rPr>
            <b/>
            <sz val="9"/>
            <color indexed="81"/>
            <rFont val="Tahoma"/>
            <family val="2"/>
          </rPr>
          <t>Ann LaRue:</t>
        </r>
        <r>
          <rPr>
            <sz val="9"/>
            <color indexed="81"/>
            <rFont val="Tahoma"/>
            <family val="2"/>
          </rPr>
          <t xml:space="preserve">
This service not offerred on tariff.  Double the freq and decrease weight to 1 can.</t>
        </r>
      </text>
    </comment>
    <comment ref="E13" authorId="0">
      <text>
        <r>
          <rPr>
            <b/>
            <sz val="9"/>
            <color indexed="81"/>
            <rFont val="Tahoma"/>
            <family val="2"/>
          </rPr>
          <t>Ann LaRue:</t>
        </r>
        <r>
          <rPr>
            <sz val="9"/>
            <color indexed="81"/>
            <rFont val="Tahoma"/>
            <family val="2"/>
          </rPr>
          <t xml:space="preserve">
This service not offerred on tariff.  Double the freq and decrease weight to 1 can.</t>
        </r>
      </text>
    </comment>
    <comment ref="G13" authorId="0">
      <text>
        <r>
          <rPr>
            <b/>
            <sz val="9"/>
            <color indexed="81"/>
            <rFont val="Tahoma"/>
            <family val="2"/>
          </rPr>
          <t>Ann LaRue:</t>
        </r>
        <r>
          <rPr>
            <sz val="9"/>
            <color indexed="81"/>
            <rFont val="Tahoma"/>
            <family val="2"/>
          </rPr>
          <t xml:space="preserve">
Service not offerred on tariff, doubled freq and use single can weight.</t>
        </r>
      </text>
    </comment>
    <comment ref="E15" authorId="0">
      <text>
        <r>
          <rPr>
            <b/>
            <sz val="9"/>
            <color indexed="81"/>
            <rFont val="Tahoma"/>
            <family val="2"/>
          </rPr>
          <t>Ann LaRue:</t>
        </r>
        <r>
          <rPr>
            <sz val="9"/>
            <color indexed="81"/>
            <rFont val="Tahoma"/>
            <family val="2"/>
          </rPr>
          <t xml:space="preserve">
This service not offerred on tariff.  Double the freq and decrease weight to 1 can.</t>
        </r>
      </text>
    </comment>
    <comment ref="G15" authorId="0">
      <text>
        <r>
          <rPr>
            <b/>
            <sz val="9"/>
            <color indexed="81"/>
            <rFont val="Tahoma"/>
            <family val="2"/>
          </rPr>
          <t>Ann LaRue:</t>
        </r>
        <r>
          <rPr>
            <sz val="9"/>
            <color indexed="81"/>
            <rFont val="Tahoma"/>
            <family val="2"/>
          </rPr>
          <t xml:space="preserve">
Service not offerred on tariff, doubled freq and use single can weight.</t>
        </r>
      </text>
    </comment>
    <comment ref="E20" authorId="0">
      <text>
        <r>
          <rPr>
            <b/>
            <sz val="9"/>
            <color indexed="81"/>
            <rFont val="Tahoma"/>
            <family val="2"/>
          </rPr>
          <t>Ann LaRue:</t>
        </r>
        <r>
          <rPr>
            <sz val="9"/>
            <color indexed="81"/>
            <rFont val="Tahoma"/>
            <family val="2"/>
          </rPr>
          <t xml:space="preserve">
This service not offerred on tariff.  Double the freq and decrease weight to 1 can.</t>
        </r>
      </text>
    </comment>
    <comment ref="G20" authorId="0">
      <text>
        <r>
          <rPr>
            <b/>
            <sz val="9"/>
            <color indexed="81"/>
            <rFont val="Tahoma"/>
            <family val="2"/>
          </rPr>
          <t>Ann LaRue:</t>
        </r>
        <r>
          <rPr>
            <sz val="9"/>
            <color indexed="81"/>
            <rFont val="Tahoma"/>
            <family val="2"/>
          </rPr>
          <t xml:space="preserve">
Service not offerred on tariff, doubled freq and use single can weight.</t>
        </r>
      </text>
    </comment>
    <comment ref="G54" authorId="0">
      <text>
        <r>
          <rPr>
            <b/>
            <sz val="9"/>
            <color indexed="81"/>
            <rFont val="Tahoma"/>
            <family val="2"/>
          </rPr>
          <t>Ann LaRue:</t>
        </r>
        <r>
          <rPr>
            <sz val="9"/>
            <color indexed="81"/>
            <rFont val="Tahoma"/>
            <family val="2"/>
          </rPr>
          <t xml:space="preserve">
Company used 250 </t>
        </r>
      </text>
    </comment>
    <comment ref="G55" authorId="0">
      <text>
        <r>
          <rPr>
            <b/>
            <sz val="9"/>
            <color indexed="81"/>
            <rFont val="Tahoma"/>
            <family val="2"/>
          </rPr>
          <t>Ann LaRue:</t>
        </r>
        <r>
          <rPr>
            <sz val="9"/>
            <color indexed="81"/>
            <rFont val="Tahoma"/>
            <family val="2"/>
          </rPr>
          <t xml:space="preserve">
Company used 250
</t>
        </r>
      </text>
    </comment>
    <comment ref="F76" authorId="0">
      <text>
        <r>
          <rPr>
            <b/>
            <sz val="9"/>
            <color indexed="81"/>
            <rFont val="Tahoma"/>
            <family val="2"/>
          </rPr>
          <t>Ann LaRue:</t>
        </r>
        <r>
          <rPr>
            <sz val="9"/>
            <color indexed="81"/>
            <rFont val="Tahoma"/>
            <family val="2"/>
          </rPr>
          <t xml:space="preserve">
Service not offerred on tariff, tripled annual pick ups and use single can weight.</t>
        </r>
      </text>
    </comment>
    <comment ref="F79" authorId="0">
      <text>
        <r>
          <rPr>
            <b/>
            <sz val="9"/>
            <color indexed="81"/>
            <rFont val="Tahoma"/>
            <family val="2"/>
          </rPr>
          <t>Ann LaRue:</t>
        </r>
        <r>
          <rPr>
            <sz val="9"/>
            <color indexed="81"/>
            <rFont val="Tahoma"/>
            <family val="2"/>
          </rPr>
          <t xml:space="preserve">
Service not offerred on tariff, doubled annual pick ups and use single can weight.</t>
        </r>
      </text>
    </comment>
  </commentList>
</comments>
</file>

<file path=xl/sharedStrings.xml><?xml version="1.0" encoding="utf-8"?>
<sst xmlns="http://schemas.openxmlformats.org/spreadsheetml/2006/main" count="703" uniqueCount="480">
  <si>
    <t>Monthly Frequency</t>
  </si>
  <si>
    <t>Annual PU's</t>
  </si>
  <si>
    <t>Gross Up</t>
  </si>
  <si>
    <t>Totals</t>
  </si>
  <si>
    <t>Total Pick Ups</t>
  </si>
  <si>
    <t>Per Ton</t>
  </si>
  <si>
    <t>Per Pound</t>
  </si>
  <si>
    <t xml:space="preserve">Current Rate </t>
  </si>
  <si>
    <t>Increase</t>
  </si>
  <si>
    <t>Meeks Weights</t>
  </si>
  <si>
    <t>Adjustment factor</t>
  </si>
  <si>
    <t>Collected Revenue Excess/(Deficiency)</t>
  </si>
  <si>
    <t>Residential</t>
  </si>
  <si>
    <t>Commercial</t>
  </si>
  <si>
    <t>Tariff Page</t>
  </si>
  <si>
    <t>Total</t>
  </si>
  <si>
    <t>Scheduled Service</t>
  </si>
  <si>
    <t>Monthly Factor</t>
  </si>
  <si>
    <t>Lbs. per ton</t>
  </si>
  <si>
    <t>Yds. Per ton</t>
  </si>
  <si>
    <t>Weekly Pickup (WG)</t>
  </si>
  <si>
    <t>Monthly (MG)</t>
  </si>
  <si>
    <t>Every Other Week (EOWG)</t>
  </si>
  <si>
    <t>Tons Collected</t>
  </si>
  <si>
    <t>Grossed Up Increase per ton</t>
  </si>
  <si>
    <t>Gross Up Factors</t>
  </si>
  <si>
    <t>B&amp;O tax</t>
  </si>
  <si>
    <t>WUTC fees</t>
  </si>
  <si>
    <t>Factor</t>
  </si>
  <si>
    <t>Disposal Fee Revenue Increase</t>
  </si>
  <si>
    <t>Extras</t>
  </si>
  <si>
    <t>Total Tonnage</t>
  </si>
  <si>
    <t>Total Pounds</t>
  </si>
  <si>
    <t>Calculated Annual Pounds</t>
  </si>
  <si>
    <t>Adjusted Annual Pounds</t>
  </si>
  <si>
    <t>Staff Calculated Rate</t>
  </si>
  <si>
    <t>Company Proposed Tariff</t>
  </si>
  <si>
    <t>Company Proposed Revenue</t>
  </si>
  <si>
    <t>Company Current Tariff</t>
  </si>
  <si>
    <t>Company Current Revenue</t>
  </si>
  <si>
    <t>Staff Calculated Revenue</t>
  </si>
  <si>
    <t>Monthly Customers</t>
  </si>
  <si>
    <t xml:space="preserve"> Company Over/(Under) collecting</t>
  </si>
  <si>
    <t>Revised Tariff Rate</t>
  </si>
  <si>
    <t>Revised Revenue</t>
  </si>
  <si>
    <t>1 unit</t>
  </si>
  <si>
    <t>2 units</t>
  </si>
  <si>
    <t>3 units</t>
  </si>
  <si>
    <t>n/a</t>
  </si>
  <si>
    <t>Revenue from Revised Rates</t>
  </si>
  <si>
    <t>4 units</t>
  </si>
  <si>
    <t>5 units</t>
  </si>
  <si>
    <t>6 units</t>
  </si>
  <si>
    <t>Bad Debts</t>
  </si>
  <si>
    <t>Res'l</t>
  </si>
  <si>
    <t>7 unit</t>
  </si>
  <si>
    <t>5 Times per Week</t>
  </si>
  <si>
    <t>3 Times per Week</t>
  </si>
  <si>
    <t>2 Times per Week</t>
  </si>
  <si>
    <t>Pickups:</t>
  </si>
  <si>
    <t>1 can</t>
  </si>
  <si>
    <t>2 cans</t>
  </si>
  <si>
    <t>3 cans</t>
  </si>
  <si>
    <t>4 cans</t>
  </si>
  <si>
    <t>5 cans</t>
  </si>
  <si>
    <t>6 cans</t>
  </si>
  <si>
    <t>Supercan 60</t>
  </si>
  <si>
    <t>Supercan 90</t>
  </si>
  <si>
    <t>Once a month</t>
  </si>
  <si>
    <t>Com'l</t>
  </si>
  <si>
    <t>Cans</t>
  </si>
  <si>
    <t>1 yd container</t>
  </si>
  <si>
    <t>1.5 yd container</t>
  </si>
  <si>
    <t>2 yd container</t>
  </si>
  <si>
    <t>3 yd container</t>
  </si>
  <si>
    <t>4 yd container</t>
  </si>
  <si>
    <t>6 yd container</t>
  </si>
  <si>
    <t>8 yd container</t>
  </si>
  <si>
    <t>3 yd packer/compactor</t>
  </si>
  <si>
    <t>2 yd packer/compactor</t>
  </si>
  <si>
    <t>4 yd packer/compactor</t>
  </si>
  <si>
    <t>5 yd packer/compactor</t>
  </si>
  <si>
    <t>6 yd packer/compactor</t>
  </si>
  <si>
    <t>Yards</t>
  </si>
  <si>
    <t>Pounds per Pickup</t>
  </si>
  <si>
    <t>20 gal minican</t>
  </si>
  <si>
    <t>*</t>
  </si>
  <si>
    <t>Annual</t>
  </si>
  <si>
    <t>Revenue</t>
  </si>
  <si>
    <t>Customers</t>
  </si>
  <si>
    <t>Res'l &amp; Com'l</t>
  </si>
  <si>
    <t>Revenue Inc from Co Proposed Rates</t>
  </si>
  <si>
    <t>Company Proposed Rates</t>
  </si>
  <si>
    <t>Staff Revised Rates</t>
  </si>
  <si>
    <t>Adjustment Factor Calculation</t>
  </si>
  <si>
    <t>4 Times per Week</t>
  </si>
  <si>
    <t>1 yd packer/compactor</t>
  </si>
  <si>
    <t>1.5 yd packer/compactor</t>
  </si>
  <si>
    <t>8 yd packer/compactor</t>
  </si>
  <si>
    <t>No Current Customers</t>
  </si>
  <si>
    <t>4 Can</t>
  </si>
  <si>
    <t>5 Can</t>
  </si>
  <si>
    <t>Service Code</t>
  </si>
  <si>
    <t>Service Code Description</t>
  </si>
  <si>
    <t>* not on meeks - calculated by staff</t>
  </si>
  <si>
    <t>6 yd container (2)</t>
  </si>
  <si>
    <t>4 yd container (2)</t>
  </si>
  <si>
    <t>3 yd container (2)</t>
  </si>
  <si>
    <t>1.5 yd container (2)</t>
  </si>
  <si>
    <t>Transfer Station</t>
  </si>
  <si>
    <t>1-20 GAL CAN WEEKLY SVC</t>
  </si>
  <si>
    <t>1-32 GAL CAN-WEEKLY SVC</t>
  </si>
  <si>
    <t>2-32 GAL CANS-WEEKLY SVC</t>
  </si>
  <si>
    <t>3-32 GAL CANS-WEEKLY SVC</t>
  </si>
  <si>
    <t>1-35 GAL CART WEEKLY SVC</t>
  </si>
  <si>
    <t>1-60 GAL CART WEEKLY SVC</t>
  </si>
  <si>
    <t>2-60 GAL CARTS WEEKLY SVC</t>
  </si>
  <si>
    <t>1-32 GAL CAN-EOW SVC</t>
  </si>
  <si>
    <t>2-32 GAL CAN-EOW SVC</t>
  </si>
  <si>
    <t>1-35 GAL CART EOW SVC</t>
  </si>
  <si>
    <t>1-60GAL CART EOW SVC</t>
  </si>
  <si>
    <t>2-60 GAL CARTS EOW SVC</t>
  </si>
  <si>
    <t>1-32 GAL CAN-MONTHLY SVC</t>
  </si>
  <si>
    <t>2-32 GAL CANS MONTHLY SVC</t>
  </si>
  <si>
    <t>1-35 GAL CART MONTHLY SVC</t>
  </si>
  <si>
    <t>1-60 GAL CART MONTHLY SVC</t>
  </si>
  <si>
    <t>1-32 GAL CAN-ON CALL SVC</t>
  </si>
  <si>
    <t>EXTRA CAN/BAGS</t>
  </si>
  <si>
    <t>OVERFILL/OVERWEIGHT CHG</t>
  </si>
  <si>
    <t>22A</t>
  </si>
  <si>
    <t>16A</t>
  </si>
  <si>
    <t>1YD CONT 1X WEEKLY</t>
  </si>
  <si>
    <t>1YD CONT 1xWEEKLY SVC</t>
  </si>
  <si>
    <t>1.5YD CONT 1X WEEKLY</t>
  </si>
  <si>
    <t>1.5YD CONT 1xWEEKLY SVC</t>
  </si>
  <si>
    <t>1.5YD CONT 2X WEEKLY</t>
  </si>
  <si>
    <t>2YD CONT 1X WEEKLY</t>
  </si>
  <si>
    <t>2YD CONT 1xWEEKLY SVC</t>
  </si>
  <si>
    <t>2YD CONT 2X WEEKLY</t>
  </si>
  <si>
    <t>2YD CONT 2xWEEKLY SVC</t>
  </si>
  <si>
    <t>3YD CONT 1X WEEKLY SVC</t>
  </si>
  <si>
    <t>3YD CONT 1XWEEKLY SVC</t>
  </si>
  <si>
    <t>4YD CONT 1X WEEKLY SVC</t>
  </si>
  <si>
    <t>6YD CONT 1XWEEKLY SVC</t>
  </si>
  <si>
    <t>6YD CONT 1X WEEKLY SVC</t>
  </si>
  <si>
    <t>8YD CONT 1X WEEKLY</t>
  </si>
  <si>
    <t>1YD CONT EOW SVC</t>
  </si>
  <si>
    <t>1YD CONT EVERY OTHER WK</t>
  </si>
  <si>
    <t>1.5YD CONT EOW SVC</t>
  </si>
  <si>
    <t>1.5YD CONT EVERY OTHER WK</t>
  </si>
  <si>
    <t>2YD CONT EOW SVC</t>
  </si>
  <si>
    <t>2YD CONT EVERY OTHER WK</t>
  </si>
  <si>
    <t>3YD CONT EOW SVC</t>
  </si>
  <si>
    <t>4YD CONT EOW SVC</t>
  </si>
  <si>
    <t>6YD CONT EVERY OTHER WK</t>
  </si>
  <si>
    <t>1YD CONT 1X MONTH SVC</t>
  </si>
  <si>
    <t>1YD CONTAINER 1X A MONTH</t>
  </si>
  <si>
    <t>2YD CONT 1X MONTH SVC</t>
  </si>
  <si>
    <t>4YD CONT 1X MONTH SVC</t>
  </si>
  <si>
    <t>6YD CONT 1X MONTH SVC</t>
  </si>
  <si>
    <t>1YD CONT EXTRA P/U</t>
  </si>
  <si>
    <t>1YD CONTAINER EXTRA PU</t>
  </si>
  <si>
    <t>1YD TEMP CONT PU</t>
  </si>
  <si>
    <t>1.5YD CONT EXTRA P/U</t>
  </si>
  <si>
    <t>1.5YD CONTAINER EXTRA PU</t>
  </si>
  <si>
    <t>1.5YD TEMP CONT PU</t>
  </si>
  <si>
    <t>1.5YD TEMP CONTAINER PU</t>
  </si>
  <si>
    <t>2YD CONT EXTRA P/U</t>
  </si>
  <si>
    <t>2YD CONTAINER EXTRA PU</t>
  </si>
  <si>
    <t>2YD TEMP CONT PU</t>
  </si>
  <si>
    <t>2YD TEMP CONTAINER PU</t>
  </si>
  <si>
    <t>3YD CONTAINER EXTRA PU</t>
  </si>
  <si>
    <t>4YD CONTAINER EXTRA PU</t>
  </si>
  <si>
    <t>6YD CONTAINER EXTRA PU</t>
  </si>
  <si>
    <t>4 YD COMPACTOR 1X WK</t>
  </si>
  <si>
    <t>1-32 GAL CAN WEEKLY SVC</t>
  </si>
  <si>
    <t>3-32 GAL CANS WKLY SVC</t>
  </si>
  <si>
    <t>1-35 GAL CAN WEEKLY SVC</t>
  </si>
  <si>
    <t>1-60 GAL CART CMML WKLY</t>
  </si>
  <si>
    <t>2-60 GAL CAN WEEKLY SVC</t>
  </si>
  <si>
    <t>35A</t>
  </si>
  <si>
    <t>36A</t>
  </si>
  <si>
    <t>35 5A</t>
  </si>
  <si>
    <t>Test Period October 1,2012 - September 30, 2013</t>
  </si>
  <si>
    <t>1/1/12 - 1/1/13</t>
  </si>
  <si>
    <t>1/1/13 - Current</t>
  </si>
  <si>
    <t>Oct 12 - Dec 12</t>
  </si>
  <si>
    <t>Jan 13 - Sept 13</t>
  </si>
  <si>
    <t xml:space="preserve">Total </t>
  </si>
  <si>
    <t xml:space="preserve">Annual </t>
  </si>
  <si>
    <t>Monthly</t>
  </si>
  <si>
    <t>Meeks</t>
  </si>
  <si>
    <t>Projected</t>
  </si>
  <si>
    <t>Actual</t>
  </si>
  <si>
    <t>Tariff Rate</t>
  </si>
  <si>
    <t>Frequency</t>
  </si>
  <si>
    <t>Pick-Ups</t>
  </si>
  <si>
    <t>Can Weight</t>
  </si>
  <si>
    <t>Lbs</t>
  </si>
  <si>
    <t>20RW1</t>
  </si>
  <si>
    <t>32RW1</t>
  </si>
  <si>
    <t>32RW2</t>
  </si>
  <si>
    <t>32RW3</t>
  </si>
  <si>
    <t>60 Gal</t>
  </si>
  <si>
    <t>35RW1</t>
  </si>
  <si>
    <t>60RW1</t>
  </si>
  <si>
    <t>60RW2</t>
  </si>
  <si>
    <t>32RE1</t>
  </si>
  <si>
    <t>32RE2</t>
  </si>
  <si>
    <t>35RE1</t>
  </si>
  <si>
    <t>60RE1</t>
  </si>
  <si>
    <t>60RE2</t>
  </si>
  <si>
    <t>32RM1</t>
  </si>
  <si>
    <t>32RM2</t>
  </si>
  <si>
    <t>35RM1</t>
  </si>
  <si>
    <t>60RM1</t>
  </si>
  <si>
    <t>32ROCPU</t>
  </si>
  <si>
    <t>EXTRAR</t>
  </si>
  <si>
    <t>OFOWR</t>
  </si>
  <si>
    <t>ADJOTHR</t>
  </si>
  <si>
    <t>ADJUSTMENT</t>
  </si>
  <si>
    <t>CARRYRE</t>
  </si>
  <si>
    <t>CARRYOUT PER CAN-EOW</t>
  </si>
  <si>
    <t>CARRYRW</t>
  </si>
  <si>
    <t>CARRYOUT PER CAN-WKLY</t>
  </si>
  <si>
    <t>DRVNRW2</t>
  </si>
  <si>
    <t>DRIVE IN OVER 250'</t>
  </si>
  <si>
    <t>DRVNRE2</t>
  </si>
  <si>
    <t>DRIVE IN OVER 250'-EOW</t>
  </si>
  <si>
    <t>DRVNRM2</t>
  </si>
  <si>
    <t>DRIVE IN OVER 250'-MTHLY</t>
  </si>
  <si>
    <t>DRVNRW1</t>
  </si>
  <si>
    <t>DRIVE IN UP TO 250'</t>
  </si>
  <si>
    <t>DRVNRE1</t>
  </si>
  <si>
    <t>DRIVE IN UP TO 250'-EOW</t>
  </si>
  <si>
    <t>RDELCART</t>
  </si>
  <si>
    <t>RE-DELIVERY FEE-CART</t>
  </si>
  <si>
    <t>RCARRYOUT OVER 25</t>
  </si>
  <si>
    <t>RESI CARRYOUT FEE 25+ FT</t>
  </si>
  <si>
    <t>RCARRYOUT 5-25</t>
  </si>
  <si>
    <t>RESI CARRYOUT FEE 5-25 FT</t>
  </si>
  <si>
    <t>DRVNRW3</t>
  </si>
  <si>
    <t>RESI DRIVE IN OVER 250'</t>
  </si>
  <si>
    <t>DRVNR 1-10</t>
  </si>
  <si>
    <t>RESI DRIVEIN ADDTL .10 MI</t>
  </si>
  <si>
    <t>TRIPRCARTS</t>
  </si>
  <si>
    <t>RESI TRIP CHARGE - CARTS</t>
  </si>
  <si>
    <t>TRIPRCANS</t>
  </si>
  <si>
    <t>RETURN TRIP CHARGE - CANS</t>
  </si>
  <si>
    <t>RESTART</t>
  </si>
  <si>
    <t>SERVICE RESTART FEE</t>
  </si>
  <si>
    <t>(Monthly Container Rates)</t>
  </si>
  <si>
    <t>F1YD1W</t>
  </si>
  <si>
    <t>R1YD1W</t>
  </si>
  <si>
    <t>F1.5YD1W</t>
  </si>
  <si>
    <t>R1.5YD1W</t>
  </si>
  <si>
    <t>F1.5YD2W</t>
  </si>
  <si>
    <t>F2YD1W</t>
  </si>
  <si>
    <t>R2YD1W</t>
  </si>
  <si>
    <t>F2YD2W</t>
  </si>
  <si>
    <t>R2YD2W</t>
  </si>
  <si>
    <t>F3YD1W</t>
  </si>
  <si>
    <t>R3YD1W</t>
  </si>
  <si>
    <t>F4YD1W</t>
  </si>
  <si>
    <t>R6YD1W</t>
  </si>
  <si>
    <t>F6YD1W</t>
  </si>
  <si>
    <t>F8YD1W</t>
  </si>
  <si>
    <t>R1YDEOW</t>
  </si>
  <si>
    <t>F1YDEOW</t>
  </si>
  <si>
    <t>R1.5YDEOW</t>
  </si>
  <si>
    <t>F1.5YDEOW</t>
  </si>
  <si>
    <t>R2YDEOW</t>
  </si>
  <si>
    <t>F2YDEOW</t>
  </si>
  <si>
    <t>F3YDEOW</t>
  </si>
  <si>
    <t>F4YDEOW</t>
  </si>
  <si>
    <t>F6YDEOW</t>
  </si>
  <si>
    <t>F1YD1M</t>
  </si>
  <si>
    <t>R1YD1M</t>
  </si>
  <si>
    <t>F2YD1M</t>
  </si>
  <si>
    <t>R2YD1M</t>
  </si>
  <si>
    <t>F4YD1M</t>
  </si>
  <si>
    <t>F6YD1M</t>
  </si>
  <si>
    <t>F1YDEX</t>
  </si>
  <si>
    <t>R1YDEX</t>
  </si>
  <si>
    <t>R1YDTPU</t>
  </si>
  <si>
    <t>F1YDTPU</t>
  </si>
  <si>
    <t>F1.5YDEX</t>
  </si>
  <si>
    <t>R1.5YDEX</t>
  </si>
  <si>
    <t>F1.5YDTPU</t>
  </si>
  <si>
    <t>R1.5YDTPU</t>
  </si>
  <si>
    <t>F2YDEX</t>
  </si>
  <si>
    <t>R2YDEX</t>
  </si>
  <si>
    <t>F2YDTPU</t>
  </si>
  <si>
    <t>R2YDTPU</t>
  </si>
  <si>
    <t>F3YDEX</t>
  </si>
  <si>
    <t>F4YDEX</t>
  </si>
  <si>
    <t>R4YDEX</t>
  </si>
  <si>
    <t>F6YDEX</t>
  </si>
  <si>
    <t>FCP4YD1W</t>
  </si>
  <si>
    <t>32CW1</t>
  </si>
  <si>
    <t>32CW3</t>
  </si>
  <si>
    <t>35CW1</t>
  </si>
  <si>
    <t>60CW1</t>
  </si>
  <si>
    <t>60CW2</t>
  </si>
  <si>
    <t>ADJOTHC</t>
  </si>
  <si>
    <t>CEXYD</t>
  </si>
  <si>
    <t>CMML EXTRA YARDAGE</t>
  </si>
  <si>
    <t>F1YDRENTT</t>
  </si>
  <si>
    <t>1 YD RENTAL FEE</t>
  </si>
  <si>
    <t>R1YDRENTM</t>
  </si>
  <si>
    <t>1YD CONTAINER RENT-MTHLY</t>
  </si>
  <si>
    <t>R1YDRENTT</t>
  </si>
  <si>
    <t>1YD TEMP CONT RENT</t>
  </si>
  <si>
    <t>R1YDRENTTD</t>
  </si>
  <si>
    <t>1YD TEMP CONT RENT DAILY</t>
  </si>
  <si>
    <t>F2YDRENTT</t>
  </si>
  <si>
    <t>2 YD RENTAL FEE</t>
  </si>
  <si>
    <t>F1.5YDRENTT</t>
  </si>
  <si>
    <t>1.5 YD RENTAL FEE</t>
  </si>
  <si>
    <t>R1.5YDRENTTD</t>
  </si>
  <si>
    <t>1.5 YD TEMP CONT RENT DAILY</t>
  </si>
  <si>
    <t>R1.5YDRENTT</t>
  </si>
  <si>
    <t>1.5YD TEMP CONTAINER RENT</t>
  </si>
  <si>
    <t>R2YDRENTTD</t>
  </si>
  <si>
    <t>2 YD TEMP CONT RENT DAILY</t>
  </si>
  <si>
    <t>R2YDRENTT</t>
  </si>
  <si>
    <t>2YD TEMP CONTAINER RENT</t>
  </si>
  <si>
    <t>R2YDRENTM</t>
  </si>
  <si>
    <t>2YD CONTAINER RENT-MTHLY</t>
  </si>
  <si>
    <t>F6YDRNTL</t>
  </si>
  <si>
    <t>6 YD RENTAL MONTHLY</t>
  </si>
  <si>
    <t>CCARRYOUT OVER 25</t>
  </si>
  <si>
    <t>COMM CARRYOUT FEE 25+ FT</t>
  </si>
  <si>
    <t>CCARRYOUT 5-25</t>
  </si>
  <si>
    <t>COMM CARRYOUT FEE 5-25 FT</t>
  </si>
  <si>
    <t>DRVNCW2</t>
  </si>
  <si>
    <t>COMM DRIVE IN OVER 125'</t>
  </si>
  <si>
    <t>CTIME</t>
  </si>
  <si>
    <t>COMMERCIAL TIME CHARGE</t>
  </si>
  <si>
    <t>F4YDRNTL</t>
  </si>
  <si>
    <t>FRONTLOAD 4YD RENTAL</t>
  </si>
  <si>
    <t>CGATE</t>
  </si>
  <si>
    <t>GATE CHARGE</t>
  </si>
  <si>
    <t>CLOCKEOW</t>
  </si>
  <si>
    <t>LOCK CHARGE - CONT EOW</t>
  </si>
  <si>
    <t>CLOCKWKLY</t>
  </si>
  <si>
    <t>LOCK CHARGE-CONTAINER WKL</t>
  </si>
  <si>
    <t>RDELOVER8</t>
  </si>
  <si>
    <t>REDELIVERY FEE OVER 8YDS</t>
  </si>
  <si>
    <t>RDELTO8</t>
  </si>
  <si>
    <t>REDELIVERY FEE UP TO 8YDS</t>
  </si>
  <si>
    <t>CTRIPCAN</t>
  </si>
  <si>
    <t>RETURN TRIP CHG - CANS</t>
  </si>
  <si>
    <t>RORELOCATE</t>
  </si>
  <si>
    <t>ROLL OFF RELOCATE</t>
  </si>
  <si>
    <t>CTDEL</t>
  </si>
  <si>
    <t>TEMP CONTAINER DELIV</t>
  </si>
  <si>
    <t>Lbs per DF Schedule</t>
  </si>
  <si>
    <t xml:space="preserve">Cart/Toter 96 NEW </t>
  </si>
  <si>
    <t>Cart 96 gal EOW NEW</t>
  </si>
  <si>
    <t>Cart 96 gal MG NEW</t>
  </si>
  <si>
    <t>Overweight</t>
  </si>
  <si>
    <t>35A &amp; 36A</t>
  </si>
  <si>
    <t>4 Yard Compactor Special PU</t>
  </si>
  <si>
    <t>Comments</t>
  </si>
  <si>
    <t>Not on Meeks</t>
  </si>
  <si>
    <t>Differ from Company</t>
  </si>
  <si>
    <t>Murrey's Disposal Co. Inc. G-09</t>
  </si>
  <si>
    <t>Item 55, Pg. 16A</t>
  </si>
  <si>
    <t>Oversized Container</t>
  </si>
  <si>
    <t>Item 100, Pg. 22</t>
  </si>
  <si>
    <t>Mini Can</t>
  </si>
  <si>
    <t>1 Can Weekly</t>
  </si>
  <si>
    <t>2 Can Weekly</t>
  </si>
  <si>
    <t>3 Can Weekly</t>
  </si>
  <si>
    <t>4 Can Weekly</t>
  </si>
  <si>
    <t>5 Can Weekly</t>
  </si>
  <si>
    <t>35 Gal Weekly</t>
  </si>
  <si>
    <t>60 Gal Weekly</t>
  </si>
  <si>
    <t>96 Gal Weekly</t>
  </si>
  <si>
    <t>1 Can EOW</t>
  </si>
  <si>
    <t>35 Gal EOW</t>
  </si>
  <si>
    <t>60 Gal EOW</t>
  </si>
  <si>
    <t>96 Gal EOW</t>
  </si>
  <si>
    <t>1 Can Monthly</t>
  </si>
  <si>
    <t>35 Gal Monthly</t>
  </si>
  <si>
    <t>60 Gal Monthly</t>
  </si>
  <si>
    <t>96 Gal Monthly</t>
  </si>
  <si>
    <t>Item 100, Pg. 22A</t>
  </si>
  <si>
    <t>32 Gal Extra</t>
  </si>
  <si>
    <t>Mini-Can Extra</t>
  </si>
  <si>
    <t>35 Gal Extra</t>
  </si>
  <si>
    <t>60 Gal Extra</t>
  </si>
  <si>
    <t>On-Call</t>
  </si>
  <si>
    <t>Item 150, Pg. 28A</t>
  </si>
  <si>
    <t>Loose Material 1-4yd</t>
  </si>
  <si>
    <t>Loose Material per Yard</t>
  </si>
  <si>
    <t>Loose Material Min Charge</t>
  </si>
  <si>
    <t>Item 207, Pg. 32A</t>
  </si>
  <si>
    <t>Overfilled Container</t>
  </si>
  <si>
    <t>Item 230, Pg. 34</t>
  </si>
  <si>
    <t>City of Port Angeles</t>
  </si>
  <si>
    <t>Item 240, Pg. 35A</t>
  </si>
  <si>
    <t>1 Yard</t>
  </si>
  <si>
    <t>1.5 Yard</t>
  </si>
  <si>
    <t>2 Yard</t>
  </si>
  <si>
    <t>3 Yard</t>
  </si>
  <si>
    <t>4 Yard</t>
  </si>
  <si>
    <t>6 Yard</t>
  </si>
  <si>
    <t>8 Yard</t>
  </si>
  <si>
    <t>1 Yard - Special</t>
  </si>
  <si>
    <t>1.5 Yard - Special</t>
  </si>
  <si>
    <t>2 Yard - Special</t>
  </si>
  <si>
    <t>3 Yard - Special</t>
  </si>
  <si>
    <t>4 Yard - Special</t>
  </si>
  <si>
    <t>6 Yard - Special</t>
  </si>
  <si>
    <t>8 Yard - Special</t>
  </si>
  <si>
    <t>1 Yard - Temp</t>
  </si>
  <si>
    <t>1.5 Yard - Temp</t>
  </si>
  <si>
    <t>2 Yard - Temp</t>
  </si>
  <si>
    <t>Item 240, Pg 35.5A</t>
  </si>
  <si>
    <t>35 Gal</t>
  </si>
  <si>
    <t>35 Gal - Temp</t>
  </si>
  <si>
    <t>60 Gal - Temp</t>
  </si>
  <si>
    <t>96 Gal</t>
  </si>
  <si>
    <t>96 Gal - Temp</t>
  </si>
  <si>
    <t>35 Gal - Minimum</t>
  </si>
  <si>
    <t>60 Gal - Minimum</t>
  </si>
  <si>
    <t>96 Gal - Minimum</t>
  </si>
  <si>
    <t>Item 245, Pg. 36A</t>
  </si>
  <si>
    <t>32 Gal</t>
  </si>
  <si>
    <t>32 Gal - Temp</t>
  </si>
  <si>
    <t>6  Yard</t>
  </si>
  <si>
    <t>Over-filled Container</t>
  </si>
  <si>
    <t>Extra Unit</t>
  </si>
  <si>
    <t>32 Gal - Minimum</t>
  </si>
  <si>
    <t>Item 255, Pg. 38 (4:1 Compaction Ratio)</t>
  </si>
  <si>
    <t>35 gallon Can</t>
  </si>
  <si>
    <t>8 YD Cont Extra PU</t>
  </si>
  <si>
    <t>60 gal Temp</t>
  </si>
  <si>
    <t>35 gal Temp</t>
  </si>
  <si>
    <t>32 gal Temp</t>
  </si>
  <si>
    <t>96 gal NEW</t>
  </si>
  <si>
    <t>96 gal Temp NEW</t>
  </si>
  <si>
    <t>2 Yard NEW</t>
  </si>
  <si>
    <t>3 Yard NEW</t>
  </si>
  <si>
    <t>4 Yard NEW</t>
  </si>
  <si>
    <t>6  Yard NEW</t>
  </si>
  <si>
    <t>Loose Yard</t>
  </si>
  <si>
    <t>32A</t>
  </si>
  <si>
    <t>28A</t>
  </si>
  <si>
    <t>Clallam County</t>
  </si>
  <si>
    <t>6  Yard - Special</t>
  </si>
  <si>
    <t>Note from Heather Garland:  The schedule below was prepared by the auditor in TG-132227.  All comments/notations are from that audit.  The only change that was made was the linking of column M to the "Proposed Rates" tab so the proper starting tariff rate would flow through into this schedule.</t>
  </si>
  <si>
    <t>Each Additional Unit</t>
  </si>
  <si>
    <t>For tonnage information see -</t>
  </si>
  <si>
    <t xml:space="preserve"> TG-132227    2-1-2014</t>
  </si>
  <si>
    <t>3 Yard - Temp</t>
  </si>
  <si>
    <t>4 Yard - Temp</t>
  </si>
  <si>
    <t>Roll-Off Tons</t>
  </si>
  <si>
    <t>Current Tariff Rate</t>
  </si>
  <si>
    <t>Proposed Increase</t>
  </si>
  <si>
    <t>NOTE from Heather Garland:  As instructed by the auditor in TG-132227 we used the revenue, customer counts and disposal tonnage from the last general rate filing.  The information shaded gray was taken directly from the final audited file in TG-132227 as there has not been another general rate filing since Clallam's DF increased on 2-1-2014.</t>
  </si>
  <si>
    <t>Extra yard</t>
  </si>
  <si>
    <t>dba Olympic Disposal</t>
  </si>
  <si>
    <t>Clallam Dump Fee Calc References</t>
  </si>
  <si>
    <t>Clallam Dump Fee Calculation</t>
  </si>
  <si>
    <t>Proposed Clallam Rates Effective</t>
  </si>
  <si>
    <t>Decrease per ton</t>
  </si>
  <si>
    <t>Decrease</t>
  </si>
  <si>
    <t>Tariff Rate Decrease</t>
  </si>
  <si>
    <t>Company Decreased Revenue</t>
  </si>
  <si>
    <t>Revised Revenue Decrease</t>
  </si>
  <si>
    <t>We used regular 4 yard Decrease times 4 for compaction.</t>
  </si>
  <si>
    <t>provided by wcn</t>
  </si>
  <si>
    <t>Per Auditor</t>
  </si>
  <si>
    <t>Effective 1-1-2020</t>
  </si>
  <si>
    <t>New Rate per ton 1/1/20</t>
  </si>
  <si>
    <t>Note from Heather Garland:  The entire schedule below was taken from the audit in TG-132227.  Only the cells highlighted in green were updated for the change in the DF effective 1-1-2020.</t>
  </si>
  <si>
    <t>New Rate Effective 1/1/2020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</si>
</sst>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&quot;$&quot;* #,##0.000_);_(&quot;$&quot;* \(#,##0.000\);_(&quot;$&quot;* &quot;-&quot;??_);_(@_)"/>
    <numFmt numFmtId="166" formatCode="_(* #,##0_);_(* \(#,##0\);_(* &quot;-&quot;??_);_(@_)"/>
    <numFmt numFmtId="167" formatCode="_(* #,##0.000000_);_(* \(#,##0.000000\);_(* &quot;-&quot;??_);_(@_)"/>
    <numFmt numFmtId="168" formatCode="0.0000%"/>
    <numFmt numFmtId="169" formatCode="_(&quot;$&quot;* #,##0.000000_);_(&quot;$&quot;* \(#,##0.000000\);_(&quot;$&quot;* &quot;-&quot;??_);_(@_)"/>
    <numFmt numFmtId="170" formatCode="0.000000"/>
    <numFmt numFmtId="171" formatCode="0.0%"/>
    <numFmt numFmtId="172" formatCode="0.000%"/>
    <numFmt numFmtId="173" formatCode="_(&quot;$&quot;* #,##0.00_);_(&quot;$&quot;* \(#,##0.00\);_(&quot;$&quot;* &quot;-&quot;????_);_(@_)"/>
  </numFmts>
  <fonts count="6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2"/>
      <name val="Arial"/>
      <family val="2"/>
    </font>
    <font>
      <sz val="8"/>
      <color indexed="56"/>
      <name val="Arial"/>
      <family val="2"/>
    </font>
    <font>
      <sz val="10"/>
      <name val="MS Sans Serif"/>
      <family val="2"/>
    </font>
    <font>
      <b/>
      <sz val="10"/>
      <name val="MS Sans Serif"/>
      <family val="2"/>
    </font>
    <font>
      <sz val="11"/>
      <color indexed="8"/>
      <name val="Calibri"/>
      <family val="2"/>
    </font>
    <font>
      <sz val="11"/>
      <color rgb="FFFF0000"/>
      <name val="Calibri"/>
      <family val="2"/>
      <scheme val="minor"/>
    </font>
    <font>
      <sz val="10"/>
      <color indexed="12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sz val="10"/>
      <color indexed="8"/>
      <name val="Arial"/>
      <family val="2"/>
    </font>
    <font>
      <sz val="10"/>
      <name val="Times New Roman"/>
      <family val="1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sz val="12"/>
      <name val="Helv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b/>
      <sz val="11"/>
      <color indexed="51"/>
      <name val="Calibri"/>
      <family val="2"/>
    </font>
    <font>
      <sz val="12"/>
      <name val="Courier"/>
      <family val="3"/>
    </font>
    <font>
      <sz val="9"/>
      <color indexed="8"/>
      <name val="Arial"/>
      <family val="2"/>
    </font>
    <font>
      <b/>
      <sz val="10"/>
      <color indexed="12"/>
      <name val="Arial"/>
      <family val="2"/>
    </font>
    <font>
      <b/>
      <sz val="15"/>
      <color indexed="61"/>
      <name val="Calibri"/>
      <family val="2"/>
    </font>
    <font>
      <b/>
      <sz val="13"/>
      <color indexed="61"/>
      <name val="Calibri"/>
      <family val="2"/>
    </font>
    <font>
      <b/>
      <sz val="11"/>
      <color indexed="61"/>
      <name val="Calibri"/>
      <family val="2"/>
    </font>
    <font>
      <u/>
      <sz val="10"/>
      <color indexed="12"/>
      <name val="Arial"/>
      <family val="2"/>
    </font>
    <font>
      <u/>
      <sz val="11"/>
      <color indexed="12"/>
      <name val="Calibri"/>
      <family val="2"/>
    </font>
    <font>
      <sz val="11"/>
      <color indexed="61"/>
      <name val="Calibri"/>
      <family val="2"/>
    </font>
    <font>
      <sz val="11"/>
      <color indexed="51"/>
      <name val="Calibri"/>
      <family val="2"/>
    </font>
    <font>
      <sz val="11"/>
      <color indexed="59"/>
      <name val="Calibri"/>
      <family val="2"/>
    </font>
    <font>
      <i/>
      <sz val="10"/>
      <color indexed="10"/>
      <name val="Arial"/>
      <family val="2"/>
    </font>
    <font>
      <b/>
      <sz val="18"/>
      <color indexed="61"/>
      <name val="Cambria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rgb="FFFF000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52"/>
      <name val="Calibri"/>
      <family val="2"/>
    </font>
    <font>
      <sz val="8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2"/>
      <name val="Arial MT"/>
    </font>
    <font>
      <b/>
      <u/>
      <sz val="11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mediumGray">
        <fgColor indexed="22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4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48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63"/>
      </patternFill>
    </fill>
    <fill>
      <patternFill patternType="solid">
        <fgColor indexed="45"/>
        <bgColor indexed="64"/>
      </patternFill>
    </fill>
    <fill>
      <patternFill patternType="solid">
        <fgColor indexed="65"/>
        <bgColor indexed="10"/>
      </patternFill>
    </fill>
    <fill>
      <patternFill patternType="gray125">
        <fgColor indexed="10"/>
      </patternFill>
    </fill>
    <fill>
      <patternFill patternType="solid">
        <fgColor indexed="42"/>
      </patternFill>
    </fill>
    <fill>
      <patternFill patternType="solid">
        <fgColor indexed="2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indexed="31"/>
      </patternFill>
    </fill>
    <fill>
      <patternFill patternType="solid">
        <fgColor indexed="30"/>
      </patternFill>
    </fill>
    <fill>
      <patternFill patternType="solid">
        <fgColor indexed="11"/>
      </patternFill>
    </fill>
    <fill>
      <patternFill patternType="solid">
        <fgColor indexed="36"/>
      </patternFill>
    </fill>
    <fill>
      <patternFill patternType="solid">
        <fgColor indexed="62"/>
      </patternFill>
    </fill>
    <fill>
      <patternFill patternType="solid">
        <fgColor indexed="57"/>
      </patternFill>
    </fill>
    <fill>
      <patternFill patternType="solid">
        <fgColor theme="6" tint="0.39997558519241921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62"/>
      </left>
      <right style="double">
        <color indexed="62"/>
      </right>
      <top style="double">
        <color indexed="62"/>
      </top>
      <bottom style="double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7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2" fillId="0" borderId="0" applyFont="0" applyFill="0" applyBorder="0" applyAlignment="0" applyProtection="0"/>
    <xf numFmtId="38" fontId="5" fillId="0" borderId="0" applyNumberFormat="0" applyFont="0" applyFill="0" applyBorder="0">
      <alignment horizontal="left" indent="4"/>
      <protection locked="0"/>
    </xf>
    <xf numFmtId="0" fontId="6" fillId="0" borderId="0" applyNumberFormat="0" applyFont="0" applyFill="0" applyBorder="0" applyAlignment="0" applyProtection="0">
      <alignment horizontal="left"/>
    </xf>
    <xf numFmtId="15" fontId="6" fillId="0" borderId="0" applyFont="0" applyFill="0" applyBorder="0" applyAlignment="0" applyProtection="0"/>
    <xf numFmtId="4" fontId="6" fillId="0" borderId="0" applyFont="0" applyFill="0" applyBorder="0" applyAlignment="0" applyProtection="0"/>
    <xf numFmtId="0" fontId="7" fillId="0" borderId="2">
      <alignment horizontal="center"/>
    </xf>
    <xf numFmtId="3" fontId="6" fillId="0" borderId="0" applyFont="0" applyFill="0" applyBorder="0" applyAlignment="0" applyProtection="0"/>
    <xf numFmtId="0" fontId="6" fillId="3" borderId="0" applyNumberFormat="0" applyFont="0" applyBorder="0" applyAlignment="0" applyProtection="0"/>
    <xf numFmtId="166" fontId="4" fillId="4" borderId="0" applyFont="0" applyFill="0" applyBorder="0" applyAlignment="0" applyProtection="0">
      <alignment wrapText="1"/>
    </xf>
    <xf numFmtId="0" fontId="13" fillId="0" borderId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2" borderId="0" applyNumberFormat="0" applyBorder="0" applyAlignment="0" applyProtection="0"/>
    <xf numFmtId="0" fontId="8" fillId="11" borderId="0" applyNumberFormat="0" applyBorder="0" applyAlignment="0" applyProtection="0"/>
    <xf numFmtId="0" fontId="8" fillId="7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14" fillId="11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9" borderId="0" applyNumberFormat="0" applyBorder="0" applyAlignment="0" applyProtection="0"/>
    <xf numFmtId="0" fontId="14" fillId="17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2" borderId="0" applyNumberFormat="0" applyBorder="0" applyAlignment="0" applyProtection="0"/>
    <xf numFmtId="0" fontId="14" fillId="11" borderId="0" applyNumberFormat="0" applyBorder="0" applyAlignment="0" applyProtection="0"/>
    <xf numFmtId="0" fontId="14" fillId="15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18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9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20" borderId="0" applyNumberFormat="0" applyBorder="0" applyAlignment="0" applyProtection="0"/>
    <xf numFmtId="0" fontId="14" fillId="16" borderId="0" applyNumberFormat="0" applyBorder="0" applyAlignment="0" applyProtection="0"/>
    <xf numFmtId="0" fontId="14" fillId="21" borderId="0" applyNumberFormat="0" applyBorder="0" applyAlignment="0" applyProtection="0"/>
    <xf numFmtId="0" fontId="14" fillId="15" borderId="0" applyNumberFormat="0" applyBorder="0" applyAlignment="0" applyProtection="0"/>
    <xf numFmtId="0" fontId="14" fillId="19" borderId="0" applyNumberFormat="0" applyBorder="0" applyAlignment="0" applyProtection="0"/>
    <xf numFmtId="0" fontId="14" fillId="22" borderId="0" applyNumberFormat="0" applyBorder="0" applyAlignment="0" applyProtection="0"/>
    <xf numFmtId="41" fontId="2" fillId="0" borderId="0"/>
    <xf numFmtId="41" fontId="2" fillId="0" borderId="0"/>
    <xf numFmtId="41" fontId="2" fillId="0" borderId="0"/>
    <xf numFmtId="41" fontId="2" fillId="0" borderId="0"/>
    <xf numFmtId="0" fontId="15" fillId="23" borderId="0" applyNumberFormat="0" applyBorder="0" applyAlignment="0" applyProtection="0"/>
    <xf numFmtId="0" fontId="15" fillId="14" borderId="0" applyNumberFormat="0" applyBorder="0" applyAlignment="0" applyProtection="0"/>
    <xf numFmtId="3" fontId="2" fillId="0" borderId="0"/>
    <xf numFmtId="3" fontId="2" fillId="0" borderId="0"/>
    <xf numFmtId="3" fontId="2" fillId="0" borderId="0"/>
    <xf numFmtId="3" fontId="2" fillId="0" borderId="0"/>
    <xf numFmtId="0" fontId="16" fillId="24" borderId="4" applyNumberFormat="0" applyAlignment="0" applyProtection="0"/>
    <xf numFmtId="0" fontId="32" fillId="24" borderId="4" applyNumberFormat="0" applyAlignment="0" applyProtection="0"/>
    <xf numFmtId="0" fontId="17" fillId="25" borderId="5" applyNumberFormat="0" applyAlignment="0" applyProtection="0"/>
    <xf numFmtId="0" fontId="17" fillId="26" borderId="6" applyNumberFormat="0" applyAlignment="0" applyProtection="0"/>
    <xf numFmtId="0" fontId="2" fillId="27" borderId="0">
      <alignment horizontal="center"/>
    </xf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" fontId="18" fillId="0" borderId="0"/>
    <xf numFmtId="0" fontId="33" fillId="0" borderId="0"/>
    <xf numFmtId="0" fontId="33" fillId="0" borderId="0"/>
    <xf numFmtId="0" fontId="34" fillId="28" borderId="1" applyAlignment="0">
      <alignment horizontal="right"/>
      <protection locked="0"/>
    </xf>
    <xf numFmtId="44" fontId="13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35" fillId="29" borderId="0">
      <alignment horizontal="right"/>
      <protection locked="0"/>
    </xf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2" fontId="35" fillId="29" borderId="0">
      <alignment horizontal="right"/>
      <protection locked="0"/>
    </xf>
    <xf numFmtId="0" fontId="21" fillId="11" borderId="0" applyNumberFormat="0" applyBorder="0" applyAlignment="0" applyProtection="0"/>
    <xf numFmtId="0" fontId="21" fillId="30" borderId="0" applyNumberFormat="0" applyBorder="0" applyAlignment="0" applyProtection="0"/>
    <xf numFmtId="0" fontId="22" fillId="0" borderId="7" applyNumberFormat="0" applyFill="0" applyAlignment="0" applyProtection="0"/>
    <xf numFmtId="0" fontId="36" fillId="0" borderId="8" applyNumberFormat="0" applyFill="0" applyAlignment="0" applyProtection="0"/>
    <xf numFmtId="0" fontId="23" fillId="0" borderId="9" applyNumberFormat="0" applyFill="0" applyAlignment="0" applyProtection="0"/>
    <xf numFmtId="0" fontId="37" fillId="0" borderId="10" applyNumberFormat="0" applyFill="0" applyAlignment="0" applyProtection="0"/>
    <xf numFmtId="0" fontId="24" fillId="0" borderId="11" applyNumberFormat="0" applyFill="0" applyAlignment="0" applyProtection="0"/>
    <xf numFmtId="0" fontId="38" fillId="0" borderId="12" applyNumberFormat="0" applyFill="0" applyAlignment="0" applyProtection="0"/>
    <xf numFmtId="0" fontId="24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25" fillId="13" borderId="4" applyNumberFormat="0" applyAlignment="0" applyProtection="0"/>
    <xf numFmtId="0" fontId="41" fillId="13" borderId="4" applyNumberFormat="0" applyAlignment="0" applyProtection="0"/>
    <xf numFmtId="3" fontId="10" fillId="31" borderId="0">
      <protection locked="0"/>
    </xf>
    <xf numFmtId="4" fontId="10" fillId="31" borderId="0">
      <protection locked="0"/>
    </xf>
    <xf numFmtId="0" fontId="26" fillId="0" borderId="13" applyNumberFormat="0" applyFill="0" applyAlignment="0" applyProtection="0"/>
    <xf numFmtId="0" fontId="42" fillId="0" borderId="14" applyNumberFormat="0" applyFill="0" applyAlignment="0" applyProtection="0"/>
    <xf numFmtId="0" fontId="27" fillId="13" borderId="0" applyNumberFormat="0" applyBorder="0" applyAlignment="0" applyProtection="0"/>
    <xf numFmtId="0" fontId="43" fillId="13" borderId="0" applyNumberFormat="0" applyBorder="0" applyAlignment="0" applyProtection="0"/>
    <xf numFmtId="43" fontId="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8" fillId="0" borderId="0"/>
    <xf numFmtId="0" fontId="2" fillId="0" borderId="0"/>
    <xf numFmtId="0" fontId="18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2" fillId="0" borderId="0"/>
    <xf numFmtId="0" fontId="28" fillId="10" borderId="15" applyNumberFormat="0" applyFont="0" applyAlignment="0" applyProtection="0"/>
    <xf numFmtId="0" fontId="18" fillId="10" borderId="15" applyNumberFormat="0" applyFont="0" applyAlignment="0" applyProtection="0"/>
    <xf numFmtId="171" fontId="44" fillId="0" borderId="0" applyNumberFormat="0"/>
    <xf numFmtId="0" fontId="29" fillId="24" borderId="16" applyNumberFormat="0" applyAlignment="0" applyProtection="0"/>
    <xf numFmtId="0" fontId="24" fillId="24" borderId="17" applyNumberFormat="0" applyAlignment="0" applyProtection="0"/>
    <xf numFmtId="9" fontId="13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8" fillId="0" borderId="0">
      <alignment vertical="top"/>
    </xf>
    <xf numFmtId="0" fontId="18" fillId="0" borderId="0">
      <alignment vertical="top"/>
    </xf>
    <xf numFmtId="0" fontId="18" fillId="0" borderId="0" applyNumberFormat="0" applyBorder="0" applyAlignment="0"/>
    <xf numFmtId="0" fontId="30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31" fillId="0" borderId="18" applyNumberFormat="0" applyFill="0" applyAlignment="0" applyProtection="0"/>
    <xf numFmtId="0" fontId="31" fillId="0" borderId="19" applyNumberFormat="0" applyFill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47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  <xf numFmtId="0" fontId="2" fillId="0" borderId="0"/>
    <xf numFmtId="0" fontId="2" fillId="0" borderId="0"/>
    <xf numFmtId="43" fontId="1" fillId="0" borderId="0" applyFont="0" applyFill="0" applyBorder="0" applyAlignment="0" applyProtection="0"/>
    <xf numFmtId="0" fontId="8" fillId="12" borderId="0" applyNumberFormat="0" applyBorder="0" applyAlignment="0" applyProtection="0"/>
    <xf numFmtId="0" fontId="8" fillId="34" borderId="0" applyNumberFormat="0" applyBorder="0" applyAlignment="0" applyProtection="0"/>
    <xf numFmtId="0" fontId="8" fillId="12" borderId="0" applyNumberFormat="0" applyBorder="0" applyAlignment="0" applyProtection="0"/>
    <xf numFmtId="0" fontId="8" fillId="23" borderId="0" applyNumberFormat="0" applyBorder="0" applyAlignment="0" applyProtection="0"/>
    <xf numFmtId="0" fontId="8" fillId="7" borderId="0" applyNumberFormat="0" applyBorder="0" applyAlignment="0" applyProtection="0"/>
    <xf numFmtId="0" fontId="8" fillId="23" borderId="0" applyNumberFormat="0" applyBorder="0" applyAlignment="0" applyProtection="0"/>
    <xf numFmtId="0" fontId="8" fillId="17" borderId="0" applyNumberFormat="0" applyBorder="0" applyAlignment="0" applyProtection="0"/>
    <xf numFmtId="0" fontId="14" fillId="21" borderId="0" applyNumberFormat="0" applyBorder="0" applyAlignment="0" applyProtection="0"/>
    <xf numFmtId="0" fontId="14" fillId="35" borderId="0" applyNumberFormat="0" applyBorder="0" applyAlignment="0" applyProtection="0"/>
    <xf numFmtId="0" fontId="14" fillId="36" borderId="0" applyNumberFormat="0" applyBorder="0" applyAlignment="0" applyProtection="0"/>
    <xf numFmtId="0" fontId="14" fillId="37" borderId="0" applyNumberFormat="0" applyBorder="0" applyAlignment="0" applyProtection="0"/>
    <xf numFmtId="0" fontId="14" fillId="21" borderId="0" applyNumberFormat="0" applyBorder="0" applyAlignment="0" applyProtection="0"/>
    <xf numFmtId="0" fontId="14" fillId="21" borderId="0" applyNumberFormat="0" applyBorder="0" applyAlignment="0" applyProtection="0"/>
    <xf numFmtId="0" fontId="14" fillId="38" borderId="0" applyNumberFormat="0" applyBorder="0" applyAlignment="0" applyProtection="0"/>
    <xf numFmtId="0" fontId="14" fillId="39" borderId="0" applyNumberFormat="0" applyBorder="0" applyAlignment="0" applyProtection="0"/>
    <xf numFmtId="0" fontId="14" fillId="16" borderId="0" applyNumberFormat="0" applyBorder="0" applyAlignment="0" applyProtection="0"/>
    <xf numFmtId="0" fontId="53" fillId="24" borderId="4" applyNumberFormat="0" applyAlignment="0" applyProtection="0"/>
    <xf numFmtId="0" fontId="53" fillId="12" borderId="4" applyNumberFormat="0" applyAlignment="0" applyProtection="0"/>
    <xf numFmtId="43" fontId="8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4" fillId="0" borderId="0" applyFont="0" applyFill="0" applyBorder="0" applyAlignment="0" applyProtection="0"/>
    <xf numFmtId="44" fontId="54" fillId="0" borderId="0" applyFont="0" applyFill="0" applyBorder="0" applyAlignment="0" applyProtection="0"/>
    <xf numFmtId="44" fontId="8" fillId="0" borderId="0" applyFont="0" applyFill="0" applyBorder="0" applyAlignment="0" applyProtection="0"/>
    <xf numFmtId="14" fontId="2" fillId="0" borderId="0"/>
    <xf numFmtId="1" fontId="2" fillId="0" borderId="0">
      <alignment horizontal="center"/>
    </xf>
    <xf numFmtId="0" fontId="22" fillId="0" borderId="28" applyNumberFormat="0" applyFill="0" applyAlignment="0" applyProtection="0"/>
    <xf numFmtId="0" fontId="55" fillId="0" borderId="29" applyNumberFormat="0" applyFill="0" applyAlignment="0" applyProtection="0"/>
    <xf numFmtId="0" fontId="23" fillId="0" borderId="10" applyNumberFormat="0" applyFill="0" applyAlignment="0" applyProtection="0"/>
    <xf numFmtId="0" fontId="56" fillId="0" borderId="10" applyNumberFormat="0" applyFill="0" applyAlignment="0" applyProtection="0"/>
    <xf numFmtId="0" fontId="24" fillId="0" borderId="30" applyNumberFormat="0" applyFill="0" applyAlignment="0" applyProtection="0"/>
    <xf numFmtId="0" fontId="57" fillId="0" borderId="31" applyNumberFormat="0" applyFill="0" applyAlignment="0" applyProtection="0"/>
    <xf numFmtId="0" fontId="58" fillId="0" borderId="32" applyNumberFormat="0" applyFill="0" applyAlignment="0" applyProtection="0"/>
    <xf numFmtId="0" fontId="59" fillId="13" borderId="0" applyNumberFormat="0" applyBorder="0" applyAlignment="0" applyProtection="0"/>
    <xf numFmtId="0" fontId="1" fillId="0" borderId="0"/>
    <xf numFmtId="0" fontId="8" fillId="0" borderId="0"/>
    <xf numFmtId="0" fontId="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" fillId="0" borderId="0"/>
    <xf numFmtId="0" fontId="8" fillId="0" borderId="0"/>
    <xf numFmtId="0" fontId="8" fillId="0" borderId="0"/>
    <xf numFmtId="0" fontId="8" fillId="10" borderId="15" applyNumberFormat="0" applyFont="0" applyAlignment="0" applyProtection="0"/>
    <xf numFmtId="0" fontId="54" fillId="10" borderId="15" applyNumberFormat="0" applyFont="0" applyAlignment="0" applyProtection="0"/>
    <xf numFmtId="9" fontId="5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37" fontId="61" fillId="0" borderId="0"/>
    <xf numFmtId="0" fontId="31" fillId="0" borderId="33" applyNumberFormat="0" applyFill="0" applyAlignment="0" applyProtection="0"/>
    <xf numFmtId="0" fontId="31" fillId="0" borderId="34" applyNumberFormat="0" applyFill="0" applyAlignment="0" applyProtection="0"/>
    <xf numFmtId="0" fontId="2" fillId="0" borderId="0"/>
    <xf numFmtId="0" fontId="2" fillId="0" borderId="0"/>
  </cellStyleXfs>
  <cellXfs count="198">
    <xf numFmtId="0" fontId="0" fillId="0" borderId="0" xfId="0"/>
    <xf numFmtId="43" fontId="0" fillId="0" borderId="0" xfId="1" applyFont="1"/>
    <xf numFmtId="44" fontId="3" fillId="0" borderId="0" xfId="0" applyNumberFormat="1" applyFont="1"/>
    <xf numFmtId="167" fontId="0" fillId="0" borderId="0" xfId="1" applyNumberFormat="1" applyFont="1"/>
    <xf numFmtId="167" fontId="0" fillId="0" borderId="0" xfId="1" applyNumberFormat="1" applyFont="1" applyBorder="1"/>
    <xf numFmtId="167" fontId="0" fillId="0" borderId="1" xfId="1" applyNumberFormat="1" applyFont="1" applyBorder="1"/>
    <xf numFmtId="0" fontId="9" fillId="0" borderId="0" xfId="0" applyFont="1" applyFill="1"/>
    <xf numFmtId="0" fontId="9" fillId="0" borderId="0" xfId="0" applyFont="1" applyFill="1" applyAlignment="1">
      <alignment horizontal="center"/>
    </xf>
    <xf numFmtId="0" fontId="0" fillId="0" borderId="1" xfId="0" applyFont="1" applyFill="1" applyBorder="1" applyAlignment="1">
      <alignment horizontal="center"/>
    </xf>
    <xf numFmtId="43" fontId="0" fillId="0" borderId="0" xfId="0" applyNumberFormat="1" applyFont="1" applyBorder="1" applyAlignment="1">
      <alignment horizontal="center"/>
    </xf>
    <xf numFmtId="0" fontId="0" fillId="5" borderId="0" xfId="0" applyFont="1" applyFill="1" applyAlignment="1">
      <alignment horizontal="center"/>
    </xf>
    <xf numFmtId="168" fontId="0" fillId="0" borderId="0" xfId="0" applyNumberFormat="1" applyFont="1"/>
    <xf numFmtId="44" fontId="0" fillId="0" borderId="0" xfId="0" applyNumberFormat="1" applyFont="1"/>
    <xf numFmtId="170" fontId="0" fillId="0" borderId="0" xfId="0" applyNumberFormat="1" applyFont="1"/>
    <xf numFmtId="0" fontId="0" fillId="6" borderId="1" xfId="0" applyFont="1" applyFill="1" applyBorder="1"/>
    <xf numFmtId="0" fontId="0" fillId="0" borderId="0" xfId="0" applyFont="1"/>
    <xf numFmtId="0" fontId="3" fillId="0" borderId="0" xfId="0" applyFont="1"/>
    <xf numFmtId="43" fontId="0" fillId="0" borderId="0" xfId="1" applyFont="1" applyAlignment="1">
      <alignment horizontal="center"/>
    </xf>
    <xf numFmtId="44" fontId="0" fillId="0" borderId="3" xfId="2" applyFont="1" applyBorder="1"/>
    <xf numFmtId="166" fontId="9" fillId="0" borderId="0" xfId="1" applyNumberFormat="1" applyFont="1" applyFill="1" applyBorder="1"/>
    <xf numFmtId="3" fontId="0" fillId="0" borderId="0" xfId="0" applyNumberFormat="1" applyFont="1" applyBorder="1"/>
    <xf numFmtId="43" fontId="0" fillId="33" borderId="0" xfId="1" applyNumberFormat="1" applyFont="1" applyFill="1" applyBorder="1"/>
    <xf numFmtId="3" fontId="0" fillId="33" borderId="0" xfId="0" applyNumberFormat="1" applyFont="1" applyFill="1" applyBorder="1"/>
    <xf numFmtId="164" fontId="0" fillId="0" borderId="0" xfId="2" applyNumberFormat="1" applyFont="1" applyBorder="1"/>
    <xf numFmtId="10" fontId="0" fillId="0" borderId="0" xfId="3" applyNumberFormat="1" applyFont="1" applyBorder="1"/>
    <xf numFmtId="43" fontId="0" fillId="0" borderId="0" xfId="1" applyFont="1" applyFill="1" applyBorder="1"/>
    <xf numFmtId="43" fontId="0" fillId="0" borderId="0" xfId="1" applyFont="1" applyBorder="1"/>
    <xf numFmtId="10" fontId="0" fillId="0" borderId="0" xfId="3" applyNumberFormat="1" applyFont="1" applyBorder="1" applyAlignment="1">
      <alignment horizontal="right"/>
    </xf>
    <xf numFmtId="166" fontId="0" fillId="0" borderId="0" xfId="1" applyNumberFormat="1" applyFont="1" applyBorder="1" applyAlignment="1">
      <alignment horizontal="right"/>
    </xf>
    <xf numFmtId="166" fontId="0" fillId="0" borderId="0" xfId="1" applyNumberFormat="1" applyFont="1"/>
    <xf numFmtId="0" fontId="3" fillId="0" borderId="0" xfId="0" applyFont="1" applyBorder="1" applyAlignment="1">
      <alignment horizontal="center"/>
    </xf>
    <xf numFmtId="43" fontId="0" fillId="0" borderId="0" xfId="1" applyFont="1" applyBorder="1" applyAlignment="1">
      <alignment horizontal="right"/>
    </xf>
    <xf numFmtId="166" fontId="0" fillId="0" borderId="1" xfId="1" applyNumberFormat="1" applyFont="1" applyBorder="1"/>
    <xf numFmtId="0" fontId="0" fillId="0" borderId="0" xfId="0" applyFont="1" applyBorder="1" applyAlignment="1">
      <alignment horizontal="center" wrapText="1"/>
    </xf>
    <xf numFmtId="0" fontId="0" fillId="0" borderId="0" xfId="0" applyFont="1" applyBorder="1" applyAlignment="1">
      <alignment horizontal="right" wrapText="1"/>
    </xf>
    <xf numFmtId="43" fontId="0" fillId="0" borderId="0" xfId="0" applyNumberFormat="1" applyFont="1" applyBorder="1"/>
    <xf numFmtId="0" fontId="0" fillId="0" borderId="0" xfId="0" applyFont="1" applyBorder="1" applyAlignment="1">
      <alignment horizontal="left"/>
    </xf>
    <xf numFmtId="44" fontId="0" fillId="0" borderId="0" xfId="0" applyNumberFormat="1" applyFont="1" applyBorder="1"/>
    <xf numFmtId="0" fontId="11" fillId="0" borderId="0" xfId="4" applyFont="1" applyFill="1" applyBorder="1" applyAlignment="1">
      <alignment horizontal="left"/>
    </xf>
    <xf numFmtId="0" fontId="0" fillId="0" borderId="1" xfId="0" applyFont="1" applyBorder="1" applyAlignment="1">
      <alignment horizontal="center"/>
    </xf>
    <xf numFmtId="43" fontId="0" fillId="0" borderId="0" xfId="0" applyNumberFormat="1" applyFont="1"/>
    <xf numFmtId="0" fontId="0" fillId="0" borderId="0" xfId="0" applyFont="1" applyAlignment="1">
      <alignment horizontal="left" indent="1"/>
    </xf>
    <xf numFmtId="166" fontId="0" fillId="0" borderId="0" xfId="1" applyNumberFormat="1" applyFont="1" applyFill="1" applyBorder="1" applyAlignment="1">
      <alignment horizontal="center" wrapText="1"/>
    </xf>
    <xf numFmtId="0" fontId="0" fillId="0" borderId="0" xfId="0" applyFont="1" applyFill="1" applyBorder="1" applyAlignment="1">
      <alignment horizontal="center" vertical="center"/>
    </xf>
    <xf numFmtId="0" fontId="0" fillId="6" borderId="1" xfId="0" applyFont="1" applyFill="1" applyBorder="1" applyAlignment="1">
      <alignment horizontal="center"/>
    </xf>
    <xf numFmtId="0" fontId="3" fillId="6" borderId="1" xfId="0" applyFont="1" applyFill="1" applyBorder="1"/>
    <xf numFmtId="0" fontId="0" fillId="6" borderId="1" xfId="0" applyFont="1" applyFill="1" applyBorder="1" applyAlignment="1">
      <alignment vertical="center" textRotation="90"/>
    </xf>
    <xf numFmtId="0" fontId="12" fillId="6" borderId="1" xfId="4" applyFont="1" applyFill="1" applyBorder="1" applyAlignment="1">
      <alignment horizontal="left"/>
    </xf>
    <xf numFmtId="3" fontId="3" fillId="6" borderId="1" xfId="0" applyNumberFormat="1" applyFont="1" applyFill="1" applyBorder="1" applyAlignment="1">
      <alignment horizontal="right"/>
    </xf>
    <xf numFmtId="43" fontId="0" fillId="6" borderId="1" xfId="1" applyFont="1" applyFill="1" applyBorder="1"/>
    <xf numFmtId="166" fontId="3" fillId="6" borderId="1" xfId="0" applyNumberFormat="1" applyFont="1" applyFill="1" applyBorder="1"/>
    <xf numFmtId="43" fontId="0" fillId="6" borderId="1" xfId="0" applyNumberFormat="1" applyFont="1" applyFill="1" applyBorder="1"/>
    <xf numFmtId="166" fontId="3" fillId="6" borderId="1" xfId="1" applyNumberFormat="1" applyFont="1" applyFill="1" applyBorder="1"/>
    <xf numFmtId="166" fontId="3" fillId="0" borderId="1" xfId="1" applyNumberFormat="1" applyFont="1" applyBorder="1" applyAlignment="1">
      <alignment horizontal="center"/>
    </xf>
    <xf numFmtId="44" fontId="0" fillId="0" borderId="0" xfId="1" applyNumberFormat="1" applyFont="1" applyFill="1" applyBorder="1"/>
    <xf numFmtId="0" fontId="0" fillId="0" borderId="0" xfId="0" applyFont="1" applyBorder="1"/>
    <xf numFmtId="0" fontId="0" fillId="0" borderId="0" xfId="0" applyFont="1" applyFill="1" applyBorder="1"/>
    <xf numFmtId="164" fontId="0" fillId="0" borderId="0" xfId="0" applyNumberFormat="1" applyFont="1" applyBorder="1"/>
    <xf numFmtId="0" fontId="0" fillId="0" borderId="0" xfId="0" applyFont="1" applyFill="1" applyBorder="1" applyAlignment="1">
      <alignment vertical="center" textRotation="90"/>
    </xf>
    <xf numFmtId="0" fontId="12" fillId="0" borderId="0" xfId="4" applyFont="1" applyFill="1" applyBorder="1" applyAlignment="1">
      <alignment horizontal="left"/>
    </xf>
    <xf numFmtId="166" fontId="3" fillId="0" borderId="0" xfId="1" applyNumberFormat="1" applyFont="1" applyBorder="1" applyAlignment="1">
      <alignment horizontal="right"/>
    </xf>
    <xf numFmtId="0" fontId="9" fillId="0" borderId="0" xfId="274" applyFont="1" applyBorder="1" applyAlignment="1">
      <alignment horizontal="left"/>
    </xf>
    <xf numFmtId="166" fontId="0" fillId="5" borderId="0" xfId="1" applyNumberFormat="1" applyFont="1" applyFill="1" applyBorder="1" applyAlignment="1">
      <alignment horizontal="right"/>
    </xf>
    <xf numFmtId="44" fontId="0" fillId="0" borderId="0" xfId="2" applyFont="1" applyFill="1" applyBorder="1"/>
    <xf numFmtId="166" fontId="0" fillId="0" borderId="0" xfId="1" applyNumberFormat="1" applyFont="1" applyFill="1" applyBorder="1"/>
    <xf numFmtId="43" fontId="0" fillId="0" borderId="0" xfId="1" applyNumberFormat="1" applyFont="1" applyFill="1" applyBorder="1"/>
    <xf numFmtId="44" fontId="0" fillId="2" borderId="0" xfId="2" applyFont="1" applyFill="1" applyBorder="1"/>
    <xf numFmtId="44" fontId="0" fillId="0" borderId="3" xfId="2" applyFont="1" applyFill="1" applyBorder="1"/>
    <xf numFmtId="44" fontId="3" fillId="6" borderId="1" xfId="2" applyFont="1" applyFill="1" applyBorder="1"/>
    <xf numFmtId="44" fontId="0" fillId="6" borderId="1" xfId="2" applyFont="1" applyFill="1" applyBorder="1"/>
    <xf numFmtId="44" fontId="3" fillId="0" borderId="0" xfId="2" applyFont="1" applyBorder="1" applyAlignment="1">
      <alignment horizontal="right"/>
    </xf>
    <xf numFmtId="0" fontId="0" fillId="32" borderId="0" xfId="0" applyFont="1" applyFill="1" applyBorder="1"/>
    <xf numFmtId="0" fontId="0" fillId="32" borderId="0" xfId="0" applyFont="1" applyFill="1" applyBorder="1" applyAlignment="1">
      <alignment horizontal="center"/>
    </xf>
    <xf numFmtId="0" fontId="0" fillId="32" borderId="0" xfId="0" applyFont="1" applyFill="1" applyBorder="1" applyAlignment="1">
      <alignment horizontal="right"/>
    </xf>
    <xf numFmtId="166" fontId="0" fillId="32" borderId="0" xfId="1" applyNumberFormat="1" applyFont="1" applyFill="1" applyBorder="1"/>
    <xf numFmtId="44" fontId="0" fillId="32" borderId="0" xfId="1" applyNumberFormat="1" applyFont="1" applyFill="1" applyBorder="1"/>
    <xf numFmtId="0" fontId="3" fillId="32" borderId="0" xfId="0" applyFont="1" applyFill="1" applyBorder="1"/>
    <xf numFmtId="43" fontId="0" fillId="0" borderId="1" xfId="1" applyFont="1" applyBorder="1" applyAlignment="1">
      <alignment horizontal="right"/>
    </xf>
    <xf numFmtId="43" fontId="0" fillId="0" borderId="1" xfId="1" applyFont="1" applyFill="1" applyBorder="1"/>
    <xf numFmtId="166" fontId="0" fillId="0" borderId="1" xfId="1" applyNumberFormat="1" applyFont="1" applyFill="1" applyBorder="1"/>
    <xf numFmtId="0" fontId="3" fillId="6" borderId="1" xfId="0" applyFont="1" applyFill="1" applyBorder="1" applyAlignment="1">
      <alignment horizontal="center" wrapText="1"/>
    </xf>
    <xf numFmtId="0" fontId="0" fillId="6" borderId="1" xfId="0" applyFont="1" applyFill="1" applyBorder="1" applyAlignment="1">
      <alignment horizontal="center" vertical="center"/>
    </xf>
    <xf numFmtId="3" fontId="3" fillId="6" borderId="1" xfId="0" applyNumberFormat="1" applyFont="1" applyFill="1" applyBorder="1"/>
    <xf numFmtId="0" fontId="0" fillId="0" borderId="0" xfId="0" applyFont="1" applyFill="1" applyBorder="1" applyAlignment="1"/>
    <xf numFmtId="0" fontId="11" fillId="0" borderId="1" xfId="274" applyFont="1" applyBorder="1" applyAlignment="1">
      <alignment horizontal="left"/>
    </xf>
    <xf numFmtId="0" fontId="11" fillId="0" borderId="0" xfId="274" applyFont="1" applyBorder="1" applyAlignment="1">
      <alignment horizontal="left"/>
    </xf>
    <xf numFmtId="0" fontId="11" fillId="0" borderId="0" xfId="278" applyFont="1" applyBorder="1"/>
    <xf numFmtId="166" fontId="0" fillId="5" borderId="0" xfId="1" applyNumberFormat="1" applyFont="1" applyFill="1" applyBorder="1"/>
    <xf numFmtId="0" fontId="0" fillId="5" borderId="0" xfId="0" applyFont="1" applyFill="1" applyBorder="1" applyAlignment="1">
      <alignment horizontal="left"/>
    </xf>
    <xf numFmtId="166" fontId="0" fillId="33" borderId="0" xfId="1" applyNumberFormat="1" applyFont="1" applyFill="1" applyBorder="1"/>
    <xf numFmtId="0" fontId="9" fillId="0" borderId="0" xfId="4" applyFont="1" applyFill="1" applyBorder="1" applyAlignment="1">
      <alignment horizontal="left"/>
    </xf>
    <xf numFmtId="0" fontId="0" fillId="33" borderId="0" xfId="0" applyFont="1" applyFill="1" applyBorder="1" applyAlignment="1">
      <alignment horizontal="left"/>
    </xf>
    <xf numFmtId="0" fontId="11" fillId="0" borderId="0" xfId="271" applyFont="1" applyBorder="1"/>
    <xf numFmtId="0" fontId="11" fillId="0" borderId="1" xfId="278" applyFont="1" applyBorder="1"/>
    <xf numFmtId="43" fontId="0" fillId="0" borderId="1" xfId="1" applyFont="1" applyBorder="1"/>
    <xf numFmtId="44" fontId="0" fillId="0" borderId="1" xfId="2" applyFont="1" applyFill="1" applyBorder="1"/>
    <xf numFmtId="44" fontId="0" fillId="0" borderId="0" xfId="2" applyFont="1" applyBorder="1"/>
    <xf numFmtId="44" fontId="0" fillId="0" borderId="1" xfId="2" applyFont="1" applyBorder="1"/>
    <xf numFmtId="0" fontId="11" fillId="0" borderId="0" xfId="278" applyFont="1" applyFill="1" applyBorder="1"/>
    <xf numFmtId="0" fontId="11" fillId="0" borderId="0" xfId="271" applyFont="1" applyFill="1" applyBorder="1"/>
    <xf numFmtId="0" fontId="3" fillId="0" borderId="21" xfId="0" applyFont="1" applyBorder="1"/>
    <xf numFmtId="0" fontId="0" fillId="6" borderId="26" xfId="0" applyFont="1" applyFill="1" applyBorder="1" applyAlignment="1">
      <alignment horizontal="center"/>
    </xf>
    <xf numFmtId="0" fontId="0" fillId="0" borderId="22" xfId="0" applyFont="1" applyBorder="1"/>
    <xf numFmtId="44" fontId="0" fillId="0" borderId="23" xfId="2" applyFont="1" applyBorder="1"/>
    <xf numFmtId="0" fontId="0" fillId="0" borderId="23" xfId="0" applyFont="1" applyBorder="1"/>
    <xf numFmtId="0" fontId="3" fillId="0" borderId="22" xfId="0" applyFont="1" applyBorder="1"/>
    <xf numFmtId="0" fontId="0" fillId="6" borderId="27" xfId="0" applyFont="1" applyFill="1" applyBorder="1" applyAlignment="1">
      <alignment horizontal="center"/>
    </xf>
    <xf numFmtId="0" fontId="0" fillId="0" borderId="24" xfId="0" applyFont="1" applyBorder="1" applyAlignment="1">
      <alignment horizontal="left"/>
    </xf>
    <xf numFmtId="44" fontId="0" fillId="0" borderId="25" xfId="2" applyFont="1" applyBorder="1"/>
    <xf numFmtId="166" fontId="11" fillId="33" borderId="0" xfId="1" applyNumberFormat="1" applyFont="1" applyFill="1" applyBorder="1"/>
    <xf numFmtId="44" fontId="0" fillId="0" borderId="0" xfId="0" applyNumberFormat="1" applyFont="1" applyFill="1" applyBorder="1"/>
    <xf numFmtId="44" fontId="0" fillId="5" borderId="0" xfId="0" applyNumberFormat="1" applyFont="1" applyFill="1" applyBorder="1"/>
    <xf numFmtId="3" fontId="0" fillId="0" borderId="0" xfId="0" applyNumberFormat="1" applyFont="1" applyFill="1" applyBorder="1"/>
    <xf numFmtId="42" fontId="0" fillId="0" borderId="0" xfId="0" applyNumberFormat="1" applyFont="1" applyBorder="1"/>
    <xf numFmtId="42" fontId="3" fillId="0" borderId="0" xfId="0" applyNumberFormat="1" applyFont="1" applyBorder="1"/>
    <xf numFmtId="164" fontId="0" fillId="5" borderId="0" xfId="0" applyNumberFormat="1" applyFont="1" applyFill="1" applyBorder="1"/>
    <xf numFmtId="0" fontId="0" fillId="5" borderId="0" xfId="0" applyFont="1" applyFill="1" applyBorder="1"/>
    <xf numFmtId="172" fontId="0" fillId="0" borderId="0" xfId="0" applyNumberFormat="1" applyFont="1"/>
    <xf numFmtId="44" fontId="0" fillId="0" borderId="0" xfId="2" applyNumberFormat="1" applyFont="1" applyFill="1" applyBorder="1"/>
    <xf numFmtId="173" fontId="0" fillId="0" borderId="0" xfId="2" applyNumberFormat="1" applyFont="1" applyFill="1" applyBorder="1"/>
    <xf numFmtId="10" fontId="0" fillId="0" borderId="0" xfId="0" applyNumberFormat="1" applyFont="1" applyBorder="1"/>
    <xf numFmtId="10" fontId="0" fillId="0" borderId="0" xfId="0" applyNumberFormat="1" applyFont="1" applyFill="1" applyBorder="1"/>
    <xf numFmtId="0" fontId="0" fillId="0" borderId="0" xfId="0" applyFont="1" applyAlignment="1">
      <alignment horizontal="left"/>
    </xf>
    <xf numFmtId="0" fontId="0" fillId="0" borderId="0" xfId="0" applyFont="1" applyFill="1"/>
    <xf numFmtId="43" fontId="3" fillId="0" borderId="0" xfId="1" applyFont="1" applyBorder="1" applyAlignment="1">
      <alignment horizontal="center"/>
    </xf>
    <xf numFmtId="0" fontId="3" fillId="0" borderId="0" xfId="0" applyFont="1" applyBorder="1"/>
    <xf numFmtId="43" fontId="0" fillId="5" borderId="0" xfId="0" applyNumberFormat="1" applyFont="1" applyFill="1" applyBorder="1"/>
    <xf numFmtId="43" fontId="0" fillId="0" borderId="0" xfId="0" applyNumberFormat="1" applyFont="1" applyFill="1" applyBorder="1"/>
    <xf numFmtId="43" fontId="11" fillId="5" borderId="0" xfId="0" applyNumberFormat="1" applyFont="1" applyFill="1" applyBorder="1"/>
    <xf numFmtId="10" fontId="0" fillId="6" borderId="0" xfId="3" applyNumberFormat="1" applyFont="1" applyFill="1" applyBorder="1"/>
    <xf numFmtId="0" fontId="0" fillId="6" borderId="0" xfId="0" applyFont="1" applyFill="1" applyBorder="1" applyAlignment="1">
      <alignment horizontal="right"/>
    </xf>
    <xf numFmtId="43" fontId="3" fillId="6" borderId="0" xfId="0" applyNumberFormat="1" applyFont="1" applyFill="1" applyBorder="1"/>
    <xf numFmtId="43" fontId="52" fillId="6" borderId="0" xfId="103" applyFont="1" applyFill="1" applyAlignment="1">
      <alignment horizontal="center"/>
    </xf>
    <xf numFmtId="166" fontId="52" fillId="6" borderId="0" xfId="103" applyNumberFormat="1" applyFont="1" applyFill="1"/>
    <xf numFmtId="43" fontId="3" fillId="6" borderId="20" xfId="0" applyNumberFormat="1" applyFont="1" applyFill="1" applyBorder="1"/>
    <xf numFmtId="0" fontId="0" fillId="6" borderId="0" xfId="279" applyFont="1" applyFill="1"/>
    <xf numFmtId="43" fontId="0" fillId="6" borderId="0" xfId="0" applyNumberFormat="1" applyFont="1" applyFill="1"/>
    <xf numFmtId="3" fontId="0" fillId="6" borderId="0" xfId="0" applyNumberFormat="1" applyFont="1" applyFill="1" applyBorder="1"/>
    <xf numFmtId="0" fontId="3" fillId="6" borderId="0" xfId="0" applyFont="1" applyFill="1" applyBorder="1"/>
    <xf numFmtId="0" fontId="0" fillId="5" borderId="0" xfId="0" applyFont="1" applyFill="1" applyBorder="1"/>
    <xf numFmtId="0" fontId="0" fillId="6" borderId="0" xfId="0" applyFont="1" applyFill="1"/>
    <xf numFmtId="0" fontId="3" fillId="6" borderId="0" xfId="0" applyFont="1" applyFill="1" applyBorder="1" applyAlignment="1">
      <alignment horizontal="center"/>
    </xf>
    <xf numFmtId="0" fontId="51" fillId="6" borderId="0" xfId="0" applyFont="1" applyFill="1" applyBorder="1"/>
    <xf numFmtId="0" fontId="0" fillId="6" borderId="0" xfId="0" applyFont="1" applyFill="1" applyBorder="1"/>
    <xf numFmtId="43" fontId="0" fillId="6" borderId="0" xfId="0" applyNumberFormat="1" applyFont="1" applyFill="1" applyBorder="1"/>
    <xf numFmtId="43" fontId="0" fillId="6" borderId="0" xfId="1" applyFont="1" applyFill="1" applyBorder="1"/>
    <xf numFmtId="4" fontId="0" fillId="6" borderId="0" xfId="0" applyNumberFormat="1" applyFont="1" applyFill="1" applyBorder="1"/>
    <xf numFmtId="166" fontId="0" fillId="6" borderId="0" xfId="1" applyNumberFormat="1" applyFont="1" applyFill="1" applyBorder="1"/>
    <xf numFmtId="166" fontId="0" fillId="6" borderId="0" xfId="0" applyNumberFormat="1" applyFont="1" applyFill="1" applyBorder="1"/>
    <xf numFmtId="0" fontId="3" fillId="6" borderId="0" xfId="0" applyFont="1" applyFill="1" applyBorder="1" applyAlignment="1">
      <alignment horizontal="right"/>
    </xf>
    <xf numFmtId="166" fontId="0" fillId="0" borderId="0" xfId="1" applyNumberFormat="1" applyFont="1" applyBorder="1"/>
    <xf numFmtId="0" fontId="0" fillId="0" borderId="0" xfId="0" applyFont="1" applyBorder="1"/>
    <xf numFmtId="0" fontId="0" fillId="0" borderId="0" xfId="0" applyFont="1" applyBorder="1" applyAlignment="1">
      <alignment horizontal="right"/>
    </xf>
    <xf numFmtId="0" fontId="0" fillId="0" borderId="0" xfId="0" applyFont="1" applyBorder="1" applyAlignment="1">
      <alignment horizontal="center"/>
    </xf>
    <xf numFmtId="0" fontId="3" fillId="0" borderId="0" xfId="0" applyFont="1" applyBorder="1"/>
    <xf numFmtId="0" fontId="0" fillId="0" borderId="0" xfId="0" applyFont="1"/>
    <xf numFmtId="0" fontId="3" fillId="0" borderId="0" xfId="0" applyFont="1" applyBorder="1"/>
    <xf numFmtId="0" fontId="0" fillId="6" borderId="0" xfId="0" applyFont="1" applyFill="1"/>
    <xf numFmtId="0" fontId="3" fillId="6" borderId="0" xfId="0" applyFont="1" applyFill="1" applyBorder="1"/>
    <xf numFmtId="166" fontId="3" fillId="6" borderId="1" xfId="1" applyNumberFormat="1" applyFont="1" applyFill="1" applyBorder="1" applyAlignment="1">
      <alignment horizontal="center" wrapText="1"/>
    </xf>
    <xf numFmtId="0" fontId="50" fillId="6" borderId="1" xfId="0" applyFont="1" applyFill="1" applyBorder="1" applyAlignment="1">
      <alignment horizontal="center" wrapText="1"/>
    </xf>
    <xf numFmtId="0" fontId="0" fillId="0" borderId="0" xfId="0" applyFont="1"/>
    <xf numFmtId="0" fontId="3" fillId="6" borderId="0" xfId="0" applyFont="1" applyFill="1" applyBorder="1" applyAlignment="1">
      <alignment horizontal="center" wrapText="1"/>
    </xf>
    <xf numFmtId="4" fontId="3" fillId="6" borderId="0" xfId="1" applyNumberFormat="1" applyFont="1" applyFill="1" applyBorder="1" applyAlignment="1">
      <alignment horizontal="center" wrapText="1"/>
    </xf>
    <xf numFmtId="14" fontId="3" fillId="6" borderId="0" xfId="0" applyNumberFormat="1" applyFont="1" applyFill="1" applyBorder="1" applyAlignment="1">
      <alignment horizontal="center" wrapText="1"/>
    </xf>
    <xf numFmtId="166" fontId="11" fillId="5" borderId="0" xfId="1" applyNumberFormat="1" applyFont="1" applyFill="1" applyBorder="1" applyAlignment="1">
      <alignment horizontal="left"/>
    </xf>
    <xf numFmtId="166" fontId="0" fillId="0" borderId="0" xfId="0" applyNumberFormat="1" applyFont="1" applyBorder="1"/>
    <xf numFmtId="0" fontId="3" fillId="6" borderId="1" xfId="0" applyFont="1" applyFill="1" applyBorder="1" applyAlignment="1">
      <alignment horizontal="center"/>
    </xf>
    <xf numFmtId="0" fontId="0" fillId="0" borderId="0" xfId="0"/>
    <xf numFmtId="0" fontId="3" fillId="0" borderId="0" xfId="0" applyFont="1" applyBorder="1" applyAlignment="1">
      <alignment horizontal="center"/>
    </xf>
    <xf numFmtId="43" fontId="0" fillId="0" borderId="0" xfId="0" applyNumberFormat="1" applyFont="1" applyFill="1" applyBorder="1"/>
    <xf numFmtId="14" fontId="3" fillId="6" borderId="0" xfId="0" applyNumberFormat="1" applyFont="1" applyFill="1" applyBorder="1" applyAlignment="1">
      <alignment horizontal="center" wrapText="1"/>
    </xf>
    <xf numFmtId="43" fontId="0" fillId="0" borderId="0" xfId="0" applyNumberFormat="1" applyFont="1" applyBorder="1"/>
    <xf numFmtId="44" fontId="0" fillId="40" borderId="0" xfId="2" applyFont="1" applyFill="1"/>
    <xf numFmtId="44" fontId="0" fillId="40" borderId="1" xfId="2" applyFont="1" applyFill="1" applyBorder="1"/>
    <xf numFmtId="165" fontId="0" fillId="40" borderId="0" xfId="2" applyNumberFormat="1" applyFont="1" applyFill="1"/>
    <xf numFmtId="165" fontId="0" fillId="40" borderId="1" xfId="2" applyNumberFormat="1" applyFont="1" applyFill="1" applyBorder="1"/>
    <xf numFmtId="169" fontId="0" fillId="40" borderId="0" xfId="2" applyNumberFormat="1" applyFont="1" applyFill="1"/>
    <xf numFmtId="14" fontId="3" fillId="0" borderId="0" xfId="0" applyNumberFormat="1" applyFont="1" applyBorder="1" applyAlignment="1">
      <alignment horizontal="center"/>
    </xf>
    <xf numFmtId="43" fontId="0" fillId="0" borderId="0" xfId="0" applyNumberFormat="1" applyFont="1" applyBorder="1"/>
    <xf numFmtId="0" fontId="0" fillId="0" borderId="0" xfId="0" applyFont="1" applyBorder="1"/>
    <xf numFmtId="0" fontId="11" fillId="0" borderId="0" xfId="278" applyFont="1" applyBorder="1"/>
    <xf numFmtId="0" fontId="11" fillId="0" borderId="0" xfId="278" applyFont="1" applyBorder="1"/>
    <xf numFmtId="43" fontId="0" fillId="0" borderId="0" xfId="0" applyNumberFormat="1" applyFont="1" applyBorder="1"/>
    <xf numFmtId="0" fontId="0" fillId="0" borderId="0" xfId="0" applyFont="1" applyBorder="1"/>
    <xf numFmtId="0" fontId="11" fillId="0" borderId="0" xfId="278" applyFont="1" applyBorder="1"/>
    <xf numFmtId="43" fontId="0" fillId="5" borderId="0" xfId="0" applyNumberFormat="1" applyFont="1" applyFill="1" applyBorder="1"/>
    <xf numFmtId="0" fontId="0" fillId="6" borderId="0" xfId="0" applyFont="1" applyFill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0" fillId="0" borderId="0" xfId="0" applyFont="1" applyAlignment="1">
      <alignment horizontal="left"/>
    </xf>
    <xf numFmtId="0" fontId="50" fillId="0" borderId="0" xfId="0" applyFont="1" applyAlignment="1">
      <alignment horizontal="left" wrapText="1"/>
    </xf>
    <xf numFmtId="0" fontId="0" fillId="6" borderId="0" xfId="0" applyFont="1" applyFill="1" applyBorder="1" applyAlignment="1">
      <alignment horizontal="center"/>
    </xf>
    <xf numFmtId="0" fontId="50" fillId="0" borderId="0" xfId="0" applyFont="1" applyBorder="1" applyAlignment="1">
      <alignment horizontal="left" wrapText="1"/>
    </xf>
    <xf numFmtId="0" fontId="0" fillId="0" borderId="0" xfId="0" applyFont="1" applyFill="1" applyBorder="1" applyAlignment="1">
      <alignment horizontal="center" vertical="center" textRotation="90"/>
    </xf>
    <xf numFmtId="0" fontId="0" fillId="0" borderId="1" xfId="0" applyFont="1" applyFill="1" applyBorder="1" applyAlignment="1">
      <alignment horizontal="center" vertical="center" textRotation="90"/>
    </xf>
    <xf numFmtId="0" fontId="0" fillId="0" borderId="3" xfId="0" applyFont="1" applyFill="1" applyBorder="1" applyAlignment="1">
      <alignment horizontal="center" vertical="center" textRotation="90"/>
    </xf>
    <xf numFmtId="0" fontId="51" fillId="6" borderId="0" xfId="0" applyFont="1" applyFill="1" applyBorder="1" applyAlignment="1">
      <alignment horizontal="center"/>
    </xf>
    <xf numFmtId="0" fontId="50" fillId="6" borderId="0" xfId="0" applyFont="1" applyFill="1" applyBorder="1" applyAlignment="1">
      <alignment horizontal="left" wrapText="1"/>
    </xf>
  </cellXfs>
  <cellStyles count="375">
    <cellStyle name="20% - Accent1 2" xfId="40"/>
    <cellStyle name="20% - Accent1 2 2" xfId="301"/>
    <cellStyle name="20% - Accent1 3" xfId="39"/>
    <cellStyle name="20% - Accent1 3 2" xfId="302"/>
    <cellStyle name="20% - Accent2 2" xfId="42"/>
    <cellStyle name="20% - Accent2 3" xfId="41"/>
    <cellStyle name="20% - Accent3 2" xfId="44"/>
    <cellStyle name="20% - Accent3 3" xfId="43"/>
    <cellStyle name="20% - Accent4 2" xfId="46"/>
    <cellStyle name="20% - Accent4 2 2" xfId="303"/>
    <cellStyle name="20% - Accent4 3" xfId="45"/>
    <cellStyle name="20% - Accent4 3 2" xfId="304"/>
    <cellStyle name="20% - Accent5 2" xfId="48"/>
    <cellStyle name="20% - Accent5 3" xfId="47"/>
    <cellStyle name="20% - Accent6 2" xfId="50"/>
    <cellStyle name="20% - Accent6 3" xfId="49"/>
    <cellStyle name="40% - Accent1 2" xfId="52"/>
    <cellStyle name="40% - Accent1 3" xfId="51"/>
    <cellStyle name="40% - Accent1 3 2" xfId="305"/>
    <cellStyle name="40% - Accent2 2" xfId="54"/>
    <cellStyle name="40% - Accent2 3" xfId="53"/>
    <cellStyle name="40% - Accent3 2" xfId="56"/>
    <cellStyle name="40% - Accent3 3" xfId="55"/>
    <cellStyle name="40% - Accent4 2" xfId="58"/>
    <cellStyle name="40% - Accent4 3" xfId="57"/>
    <cellStyle name="40% - Accent4 3 2" xfId="306"/>
    <cellStyle name="40% - Accent5 2" xfId="60"/>
    <cellStyle name="40% - Accent5 3" xfId="59"/>
    <cellStyle name="40% - Accent6 2" xfId="62"/>
    <cellStyle name="40% - Accent6 3" xfId="61"/>
    <cellStyle name="40% - Accent6 3 2" xfId="307"/>
    <cellStyle name="60% - Accent1 2" xfId="64"/>
    <cellStyle name="60% - Accent1 2 2" xfId="308"/>
    <cellStyle name="60% - Accent1 3" xfId="63"/>
    <cellStyle name="60% - Accent1 3 2" xfId="309"/>
    <cellStyle name="60% - Accent2 2" xfId="66"/>
    <cellStyle name="60% - Accent2 3" xfId="65"/>
    <cellStyle name="60% - Accent3 2" xfId="68"/>
    <cellStyle name="60% - Accent3 3" xfId="67"/>
    <cellStyle name="60% - Accent3 3 2" xfId="310"/>
    <cellStyle name="60% - Accent4 2" xfId="70"/>
    <cellStyle name="60% - Accent4 3" xfId="69"/>
    <cellStyle name="60% - Accent4 3 2" xfId="311"/>
    <cellStyle name="60% - Accent5 2" xfId="72"/>
    <cellStyle name="60% - Accent5 2 2" xfId="312"/>
    <cellStyle name="60% - Accent5 3" xfId="71"/>
    <cellStyle name="60% - Accent6 2" xfId="74"/>
    <cellStyle name="60% - Accent6 3" xfId="73"/>
    <cellStyle name="Accent1 2" xfId="76"/>
    <cellStyle name="Accent1 2 2" xfId="313"/>
    <cellStyle name="Accent1 3" xfId="75"/>
    <cellStyle name="Accent1 3 2" xfId="314"/>
    <cellStyle name="Accent2 2" xfId="78"/>
    <cellStyle name="Accent2 3" xfId="77"/>
    <cellStyle name="Accent3 2" xfId="80"/>
    <cellStyle name="Accent3 2 2" xfId="315"/>
    <cellStyle name="Accent3 3" xfId="79"/>
    <cellStyle name="Accent4 2" xfId="82"/>
    <cellStyle name="Accent4 3" xfId="81"/>
    <cellStyle name="Accent5 2" xfId="84"/>
    <cellStyle name="Accent5 3" xfId="83"/>
    <cellStyle name="Accent6 2" xfId="86"/>
    <cellStyle name="Accent6 2 2" xfId="316"/>
    <cellStyle name="Accent6 3" xfId="85"/>
    <cellStyle name="Accounting" xfId="87"/>
    <cellStyle name="Accounting 2" xfId="88"/>
    <cellStyle name="Accounting 3" xfId="89"/>
    <cellStyle name="Accounting_2011-11" xfId="90"/>
    <cellStyle name="Bad 2" xfId="92"/>
    <cellStyle name="Bad 3" xfId="91"/>
    <cellStyle name="Budget" xfId="93"/>
    <cellStyle name="Budget 2" xfId="94"/>
    <cellStyle name="Budget 3" xfId="95"/>
    <cellStyle name="Budget_2011-11" xfId="96"/>
    <cellStyle name="Calculation 2" xfId="98"/>
    <cellStyle name="Calculation 2 2" xfId="317"/>
    <cellStyle name="Calculation 3" xfId="97"/>
    <cellStyle name="Calculation 3 2" xfId="318"/>
    <cellStyle name="Check Cell 2" xfId="100"/>
    <cellStyle name="Check Cell 3" xfId="99"/>
    <cellStyle name="combo" xfId="101"/>
    <cellStyle name="Comma" xfId="1" builtinId="3"/>
    <cellStyle name="Comma 10" xfId="103"/>
    <cellStyle name="Comma 11" xfId="104"/>
    <cellStyle name="Comma 12" xfId="102"/>
    <cellStyle name="Comma 12 2" xfId="277"/>
    <cellStyle name="Comma 12 3" xfId="282"/>
    <cellStyle name="Comma 13" xfId="283"/>
    <cellStyle name="Comma 14" xfId="284"/>
    <cellStyle name="Comma 15" xfId="285"/>
    <cellStyle name="Comma 16" xfId="286"/>
    <cellStyle name="Comma 17" xfId="319"/>
    <cellStyle name="Comma 18" xfId="320"/>
    <cellStyle name="Comma 18 2" xfId="321"/>
    <cellStyle name="Comma 19" xfId="322"/>
    <cellStyle name="Comma 2" xfId="5"/>
    <cellStyle name="Comma 2 2" xfId="6"/>
    <cellStyle name="Comma 2 2 2" xfId="323"/>
    <cellStyle name="Comma 2 3" xfId="105"/>
    <cellStyle name="Comma 2 4" xfId="324"/>
    <cellStyle name="Comma 2 5" xfId="300"/>
    <cellStyle name="Comma 2 6" xfId="7"/>
    <cellStyle name="Comma 2 6 2" xfId="8"/>
    <cellStyle name="Comma 3" xfId="9"/>
    <cellStyle name="Comma 3 2" xfId="106"/>
    <cellStyle name="Comma 3 2 2" xfId="107"/>
    <cellStyle name="Comma 3 3" xfId="287"/>
    <cellStyle name="Comma 3 4" xfId="325"/>
    <cellStyle name="Comma 4" xfId="108"/>
    <cellStyle name="Comma 4 2" xfId="109"/>
    <cellStyle name="Comma 4 2 2" xfId="288"/>
    <cellStyle name="Comma 4 3" xfId="110"/>
    <cellStyle name="Comma 4 3 2" xfId="289"/>
    <cellStyle name="Comma 4 4" xfId="290"/>
    <cellStyle name="Comma 4 5" xfId="111"/>
    <cellStyle name="Comma 4 6" xfId="280"/>
    <cellStyle name="Comma 5" xfId="112"/>
    <cellStyle name="Comma 6" xfId="113"/>
    <cellStyle name="Comma 6 2" xfId="326"/>
    <cellStyle name="Comma 7" xfId="114"/>
    <cellStyle name="Comma 8" xfId="115"/>
    <cellStyle name="Comma 9" xfId="116"/>
    <cellStyle name="Comma(2)" xfId="117"/>
    <cellStyle name="Comma0 - Style2" xfId="118"/>
    <cellStyle name="Comma1 - Style1" xfId="119"/>
    <cellStyle name="Comments" xfId="120"/>
    <cellStyle name="Currency" xfId="2" builtinId="4"/>
    <cellStyle name="Currency 10" xfId="327"/>
    <cellStyle name="Currency 2" xfId="10"/>
    <cellStyle name="Currency 2 2" xfId="11"/>
    <cellStyle name="Currency 2 2 2" xfId="123"/>
    <cellStyle name="Currency 2 3" xfId="122"/>
    <cellStyle name="Currency 2 3 2" xfId="328"/>
    <cellStyle name="Currency 2 6" xfId="12"/>
    <cellStyle name="Currency 2 6 2" xfId="13"/>
    <cellStyle name="Currency 3" xfId="14"/>
    <cellStyle name="Currency 3 2" xfId="125"/>
    <cellStyle name="Currency 3 3" xfId="124"/>
    <cellStyle name="Currency 3 4" xfId="291"/>
    <cellStyle name="Currency 4" xfId="15"/>
    <cellStyle name="Currency 4 2" xfId="16"/>
    <cellStyle name="Currency 5" xfId="121"/>
    <cellStyle name="Currency 5 2" xfId="276"/>
    <cellStyle name="Currency 5 3" xfId="292"/>
    <cellStyle name="Currency 6" xfId="293"/>
    <cellStyle name="Currency 7" xfId="294"/>
    <cellStyle name="Currency 8" xfId="329"/>
    <cellStyle name="Currency 9" xfId="330"/>
    <cellStyle name="Data Enter" xfId="126"/>
    <cellStyle name="date" xfId="331"/>
    <cellStyle name="Explanatory Text 2" xfId="128"/>
    <cellStyle name="Explanatory Text 3" xfId="127"/>
    <cellStyle name="FactSheet" xfId="129"/>
    <cellStyle name="fish" xfId="332"/>
    <cellStyle name="Good 2" xfId="131"/>
    <cellStyle name="Good 3" xfId="130"/>
    <cellStyle name="Heading 1 2" xfId="133"/>
    <cellStyle name="Heading 1 2 2" xfId="333"/>
    <cellStyle name="Heading 1 3" xfId="132"/>
    <cellStyle name="Heading 1 3 2" xfId="334"/>
    <cellStyle name="Heading 2 2" xfId="135"/>
    <cellStyle name="Heading 2 2 2" xfId="335"/>
    <cellStyle name="Heading 2 3" xfId="134"/>
    <cellStyle name="Heading 2 3 2" xfId="336"/>
    <cellStyle name="Heading 3 2" xfId="137"/>
    <cellStyle name="Heading 3 2 2" xfId="337"/>
    <cellStyle name="Heading 3 3" xfId="136"/>
    <cellStyle name="Heading 3 3 2" xfId="338"/>
    <cellStyle name="Heading 4 2" xfId="139"/>
    <cellStyle name="Heading 4 3" xfId="138"/>
    <cellStyle name="Hyperlink 2" xfId="140"/>
    <cellStyle name="Hyperlink 3" xfId="141"/>
    <cellStyle name="Hyperlink 3 2" xfId="295"/>
    <cellStyle name="Input 2" xfId="143"/>
    <cellStyle name="Input 3" xfId="142"/>
    <cellStyle name="input(0)" xfId="144"/>
    <cellStyle name="Input(2)" xfId="145"/>
    <cellStyle name="Linked Cell 2" xfId="147"/>
    <cellStyle name="Linked Cell 2 2" xfId="339"/>
    <cellStyle name="Linked Cell 3" xfId="146"/>
    <cellStyle name="Neutral 2" xfId="149"/>
    <cellStyle name="Neutral 2 2" xfId="340"/>
    <cellStyle name="Neutral 3" xfId="148"/>
    <cellStyle name="New_normal" xfId="150"/>
    <cellStyle name="Normal" xfId="0" builtinId="0"/>
    <cellStyle name="Normal - Style1" xfId="151"/>
    <cellStyle name="Normal - Style2" xfId="152"/>
    <cellStyle name="Normal - Style3" xfId="153"/>
    <cellStyle name="Normal - Style4" xfId="154"/>
    <cellStyle name="Normal - Style5" xfId="155"/>
    <cellStyle name="Normal 10" xfId="156"/>
    <cellStyle name="Normal 10 2" xfId="17"/>
    <cellStyle name="Normal 10 2 2" xfId="341"/>
    <cellStyle name="Normal 10 2 3" xfId="342"/>
    <cellStyle name="Normal 10_2112 DF Schedule" xfId="343"/>
    <cellStyle name="Normal 11" xfId="157"/>
    <cellStyle name="Normal 12" xfId="158"/>
    <cellStyle name="Normal 12 2" xfId="344"/>
    <cellStyle name="Normal 13" xfId="159"/>
    <cellStyle name="Normal 13 2" xfId="345"/>
    <cellStyle name="Normal 14" xfId="160"/>
    <cellStyle name="Normal 14 2" xfId="346"/>
    <cellStyle name="Normal 15" xfId="161"/>
    <cellStyle name="Normal 15 2" xfId="347"/>
    <cellStyle name="Normal 16" xfId="162"/>
    <cellStyle name="Normal 16 2" xfId="348"/>
    <cellStyle name="Normal 17" xfId="163"/>
    <cellStyle name="Normal 17 2" xfId="349"/>
    <cellStyle name="Normal 18" xfId="164"/>
    <cellStyle name="Normal 18 2" xfId="350"/>
    <cellStyle name="Normal 19" xfId="165"/>
    <cellStyle name="Normal 19 2" xfId="351"/>
    <cellStyle name="Normal 2" xfId="18"/>
    <cellStyle name="Normal 2 2" xfId="19"/>
    <cellStyle name="Normal 2 2 2" xfId="167"/>
    <cellStyle name="Normal 2 2 3" xfId="166"/>
    <cellStyle name="Normal 2 2_Actual_Fuel" xfId="168"/>
    <cellStyle name="Normal 2 3" xfId="169"/>
    <cellStyle name="Normal 2 3 2" xfId="170"/>
    <cellStyle name="Normal 2 3 3" xfId="296"/>
    <cellStyle name="Normal 2 4" xfId="297"/>
    <cellStyle name="Normal 2 5" xfId="298"/>
    <cellStyle name="Normal 2_2012-10" xfId="171"/>
    <cellStyle name="Normal 20" xfId="172"/>
    <cellStyle name="Normal 21" xfId="173"/>
    <cellStyle name="Normal 22" xfId="174"/>
    <cellStyle name="Normal 23" xfId="175"/>
    <cellStyle name="Normal 24" xfId="176"/>
    <cellStyle name="Normal 25" xfId="177"/>
    <cellStyle name="Normal 26" xfId="178"/>
    <cellStyle name="Normal 27" xfId="179"/>
    <cellStyle name="Normal 28" xfId="180"/>
    <cellStyle name="Normal 29" xfId="181"/>
    <cellStyle name="Normal 3" xfId="20"/>
    <cellStyle name="Normal 3 2" xfId="183"/>
    <cellStyle name="Normal 3 3" xfId="182"/>
    <cellStyle name="Normal 3 4" xfId="281"/>
    <cellStyle name="Normal 3_2012 PR" xfId="184"/>
    <cellStyle name="Normal 30" xfId="185"/>
    <cellStyle name="Normal 31" xfId="186"/>
    <cellStyle name="Normal 32" xfId="187"/>
    <cellStyle name="Normal 33" xfId="188"/>
    <cellStyle name="Normal 34" xfId="189"/>
    <cellStyle name="Normal 35" xfId="190"/>
    <cellStyle name="Normal 36" xfId="191"/>
    <cellStyle name="Normal 37" xfId="192"/>
    <cellStyle name="Normal 38" xfId="193"/>
    <cellStyle name="Normal 39" xfId="194"/>
    <cellStyle name="Normal 4" xfId="21"/>
    <cellStyle name="Normal 4 2" xfId="195"/>
    <cellStyle name="Normal 40" xfId="196"/>
    <cellStyle name="Normal 41" xfId="197"/>
    <cellStyle name="Normal 42" xfId="198"/>
    <cellStyle name="Normal 43" xfId="199"/>
    <cellStyle name="Normal 44" xfId="200"/>
    <cellStyle name="Normal 45" xfId="201"/>
    <cellStyle name="Normal 46" xfId="202"/>
    <cellStyle name="Normal 47" xfId="203"/>
    <cellStyle name="Normal 48" xfId="204"/>
    <cellStyle name="Normal 49" xfId="205"/>
    <cellStyle name="Normal 5" xfId="22"/>
    <cellStyle name="Normal 5 2" xfId="206"/>
    <cellStyle name="Normal 5_2112 DF Schedule" xfId="352"/>
    <cellStyle name="Normal 50" xfId="207"/>
    <cellStyle name="Normal 51" xfId="208"/>
    <cellStyle name="Normal 52" xfId="209"/>
    <cellStyle name="Normal 53" xfId="210"/>
    <cellStyle name="Normal 54" xfId="211"/>
    <cellStyle name="Normal 55" xfId="212"/>
    <cellStyle name="Normal 56" xfId="213"/>
    <cellStyle name="Normal 57" xfId="214"/>
    <cellStyle name="Normal 58" xfId="215"/>
    <cellStyle name="Normal 59" xfId="216"/>
    <cellStyle name="Normal 6" xfId="23"/>
    <cellStyle name="Normal 6 2" xfId="217"/>
    <cellStyle name="Normal 60" xfId="218"/>
    <cellStyle name="Normal 61" xfId="219"/>
    <cellStyle name="Normal 62" xfId="220"/>
    <cellStyle name="Normal 63" xfId="221"/>
    <cellStyle name="Normal 64" xfId="222"/>
    <cellStyle name="Normal 65" xfId="223"/>
    <cellStyle name="Normal 66" xfId="224"/>
    <cellStyle name="Normal 67" xfId="225"/>
    <cellStyle name="Normal 68" xfId="226"/>
    <cellStyle name="Normal 69" xfId="227"/>
    <cellStyle name="Normal 7" xfId="228"/>
    <cellStyle name="Normal 70" xfId="229"/>
    <cellStyle name="Normal 71" xfId="230"/>
    <cellStyle name="Normal 72" xfId="231"/>
    <cellStyle name="Normal 73" xfId="232"/>
    <cellStyle name="Normal 74" xfId="233"/>
    <cellStyle name="Normal 75" xfId="234"/>
    <cellStyle name="Normal 76" xfId="235"/>
    <cellStyle name="Normal 77" xfId="236"/>
    <cellStyle name="Normal 78" xfId="237"/>
    <cellStyle name="Normal 79" xfId="238"/>
    <cellStyle name="Normal 8" xfId="239"/>
    <cellStyle name="Normal 80" xfId="240"/>
    <cellStyle name="Normal 81" xfId="241"/>
    <cellStyle name="Normal 82" xfId="242"/>
    <cellStyle name="Normal 83" xfId="243"/>
    <cellStyle name="Normal 84" xfId="38"/>
    <cellStyle name="Normal 84 2" xfId="278"/>
    <cellStyle name="Normal 84 3" xfId="353"/>
    <cellStyle name="Normal 85" xfId="252"/>
    <cellStyle name="Normal 85 2" xfId="354"/>
    <cellStyle name="Normal 86" xfId="270"/>
    <cellStyle name="Normal 87" xfId="271"/>
    <cellStyle name="Normal 88" xfId="272"/>
    <cellStyle name="Normal 89" xfId="273"/>
    <cellStyle name="Normal 9" xfId="244"/>
    <cellStyle name="Normal 90" xfId="274"/>
    <cellStyle name="Normal 91" xfId="279"/>
    <cellStyle name="Normal 92" xfId="299"/>
    <cellStyle name="Normal 93" xfId="373"/>
    <cellStyle name="Normal 94" xfId="374"/>
    <cellStyle name="Normal_Price out" xfId="4"/>
    <cellStyle name="Note 2" xfId="246"/>
    <cellStyle name="Note 2 2" xfId="355"/>
    <cellStyle name="Note 3" xfId="245"/>
    <cellStyle name="Note 3 2" xfId="356"/>
    <cellStyle name="Notes" xfId="247"/>
    <cellStyle name="Output 2" xfId="249"/>
    <cellStyle name="Output 3" xfId="248"/>
    <cellStyle name="Percent" xfId="3" builtinId="5"/>
    <cellStyle name="Percent 2" xfId="24"/>
    <cellStyle name="Percent 2 2" xfId="25"/>
    <cellStyle name="Percent 2 2 2" xfId="251"/>
    <cellStyle name="Percent 2 3" xfId="357"/>
    <cellStyle name="Percent 2 6" xfId="26"/>
    <cellStyle name="Percent 3" xfId="27"/>
    <cellStyle name="Percent 3 2" xfId="28"/>
    <cellStyle name="Percent 4" xfId="29"/>
    <cellStyle name="Percent 4 2" xfId="358"/>
    <cellStyle name="Percent 4 3" xfId="359"/>
    <cellStyle name="Percent 5" xfId="253"/>
    <cellStyle name="Percent 6" xfId="254"/>
    <cellStyle name="Percent 7" xfId="250"/>
    <cellStyle name="Percent 7 2" xfId="275"/>
    <cellStyle name="Percent 7 3" xfId="360"/>
    <cellStyle name="Percent 8" xfId="361"/>
    <cellStyle name="Percent(1)" xfId="255"/>
    <cellStyle name="Percent(2)" xfId="256"/>
    <cellStyle name="PRM" xfId="257"/>
    <cellStyle name="PRM 2" xfId="258"/>
    <cellStyle name="PRM 3" xfId="259"/>
    <cellStyle name="PRM_2011-11" xfId="260"/>
    <cellStyle name="PS_Comma" xfId="30"/>
    <cellStyle name="PSChar" xfId="31"/>
    <cellStyle name="PSDate" xfId="32"/>
    <cellStyle name="PSDec" xfId="33"/>
    <cellStyle name="PSHeading" xfId="34"/>
    <cellStyle name="PSInt" xfId="35"/>
    <cellStyle name="PSSpacer" xfId="36"/>
    <cellStyle name="STYL0 - Style1" xfId="362"/>
    <cellStyle name="STYL1 - Style2" xfId="363"/>
    <cellStyle name="STYL2 - Style3" xfId="364"/>
    <cellStyle name="STYL3 - Style4" xfId="365"/>
    <cellStyle name="STYL4 - Style5" xfId="366"/>
    <cellStyle name="STYL5 - Style6" xfId="367"/>
    <cellStyle name="STYL6 - Style7" xfId="368"/>
    <cellStyle name="STYL7 - Style8" xfId="369"/>
    <cellStyle name="Style 1" xfId="261"/>
    <cellStyle name="Style 1 2" xfId="262"/>
    <cellStyle name="STYLE1" xfId="263"/>
    <cellStyle name="sub heading" xfId="370"/>
    <cellStyle name="Title 2" xfId="265"/>
    <cellStyle name="Title 3" xfId="264"/>
    <cellStyle name="Total 2" xfId="267"/>
    <cellStyle name="Total 2 2" xfId="371"/>
    <cellStyle name="Total 3" xfId="266"/>
    <cellStyle name="Total 3 2" xfId="372"/>
    <cellStyle name="Warning Text 2" xfId="269"/>
    <cellStyle name="Warning Text 3" xfId="268"/>
    <cellStyle name="WM_STANDARD" xfId="3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13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1:H74"/>
  <sheetViews>
    <sheetView tabSelected="1" view="pageBreakPreview" zoomScale="85" zoomScaleNormal="85" zoomScaleSheetLayoutView="85" workbookViewId="0">
      <selection activeCell="B47" sqref="B47"/>
    </sheetView>
  </sheetViews>
  <sheetFormatPr defaultRowHeight="15"/>
  <cols>
    <col min="1" max="1" width="36.28515625" style="15" bestFit="1" customWidth="1"/>
    <col min="2" max="2" width="19.42578125" style="15" bestFit="1" customWidth="1"/>
    <col min="3" max="3" width="16" style="15" bestFit="1" customWidth="1"/>
    <col min="4" max="4" width="10.5703125" style="15" bestFit="1" customWidth="1"/>
    <col min="5" max="5" width="7" style="15" bestFit="1" customWidth="1"/>
    <col min="6" max="6" width="11.42578125" style="15" bestFit="1" customWidth="1"/>
    <col min="7" max="7" width="10" style="15" bestFit="1" customWidth="1"/>
    <col min="8" max="8" width="8" style="15" bestFit="1" customWidth="1"/>
    <col min="9" max="9" width="15.85546875" style="15" bestFit="1" customWidth="1"/>
    <col min="10" max="10" width="12" style="15" bestFit="1" customWidth="1"/>
    <col min="11" max="16384" width="9.140625" style="15"/>
  </cols>
  <sheetData>
    <row r="1" spans="1:8">
      <c r="A1" s="154" t="s">
        <v>367</v>
      </c>
    </row>
    <row r="2" spans="1:8">
      <c r="A2" s="154" t="s">
        <v>464</v>
      </c>
    </row>
    <row r="3" spans="1:8">
      <c r="A3" s="154" t="s">
        <v>465</v>
      </c>
    </row>
    <row r="4" spans="1:8" ht="30.75" customHeight="1">
      <c r="A4" s="190" t="s">
        <v>478</v>
      </c>
      <c r="B4" s="190"/>
      <c r="C4" s="190"/>
      <c r="D4" s="190"/>
      <c r="E4" s="190"/>
      <c r="F4" s="190"/>
      <c r="G4" s="190"/>
      <c r="H4" s="190"/>
    </row>
    <row r="6" spans="1:8">
      <c r="A6" s="187" t="s">
        <v>17</v>
      </c>
      <c r="B6" s="187"/>
      <c r="C6" s="187"/>
      <c r="D6" s="187"/>
      <c r="E6" s="187"/>
      <c r="F6" s="187"/>
      <c r="G6" s="187"/>
      <c r="H6" s="187"/>
    </row>
    <row r="7" spans="1:8">
      <c r="A7" s="15" t="s">
        <v>59</v>
      </c>
      <c r="B7" s="39" t="s">
        <v>45</v>
      </c>
      <c r="C7" s="39" t="s">
        <v>46</v>
      </c>
      <c r="D7" s="39" t="s">
        <v>47</v>
      </c>
      <c r="E7" s="8" t="s">
        <v>50</v>
      </c>
      <c r="F7" s="8" t="s">
        <v>51</v>
      </c>
      <c r="G7" s="8" t="s">
        <v>52</v>
      </c>
      <c r="H7" s="39" t="s">
        <v>55</v>
      </c>
    </row>
    <row r="8" spans="1:8">
      <c r="A8" s="15" t="s">
        <v>56</v>
      </c>
      <c r="B8" s="1">
        <f>52*5/12</f>
        <v>21.666666666666668</v>
      </c>
      <c r="C8" s="9">
        <f>$B$8*2</f>
        <v>43.333333333333336</v>
      </c>
      <c r="D8" s="9">
        <f>$B$8*3</f>
        <v>65</v>
      </c>
      <c r="E8" s="9">
        <f>$B$8*4</f>
        <v>86.666666666666671</v>
      </c>
      <c r="F8" s="9">
        <f>$B$8*5</f>
        <v>108.33333333333334</v>
      </c>
      <c r="G8" s="9">
        <f>$B$8*6</f>
        <v>130</v>
      </c>
      <c r="H8" s="9">
        <f>$B$8*7</f>
        <v>151.66666666666669</v>
      </c>
    </row>
    <row r="9" spans="1:8">
      <c r="A9" s="15" t="s">
        <v>95</v>
      </c>
      <c r="B9" s="1">
        <f>52*4/12</f>
        <v>17.333333333333332</v>
      </c>
      <c r="C9" s="9">
        <f>$B$9*2</f>
        <v>34.666666666666664</v>
      </c>
      <c r="D9" s="9">
        <f>$B$9*3</f>
        <v>52</v>
      </c>
      <c r="E9" s="9">
        <f>$B$9*4</f>
        <v>69.333333333333329</v>
      </c>
      <c r="F9" s="9">
        <f>$B$9*5</f>
        <v>86.666666666666657</v>
      </c>
      <c r="G9" s="9">
        <f>$B$9*6</f>
        <v>104</v>
      </c>
      <c r="H9" s="9">
        <f>$B$9*7</f>
        <v>121.33333333333333</v>
      </c>
    </row>
    <row r="10" spans="1:8">
      <c r="A10" s="15" t="s">
        <v>57</v>
      </c>
      <c r="B10" s="1">
        <f>52*3/12</f>
        <v>13</v>
      </c>
      <c r="C10" s="9">
        <f>$B$10*2</f>
        <v>26</v>
      </c>
      <c r="D10" s="9">
        <f>$B$10*3</f>
        <v>39</v>
      </c>
      <c r="E10" s="9">
        <f>$B$10*4</f>
        <v>52</v>
      </c>
      <c r="F10" s="9">
        <f>$B$10*5</f>
        <v>65</v>
      </c>
      <c r="G10" s="9">
        <f>$B$10*6</f>
        <v>78</v>
      </c>
      <c r="H10" s="9">
        <f>$B$10*7</f>
        <v>91</v>
      </c>
    </row>
    <row r="11" spans="1:8">
      <c r="A11" s="15" t="s">
        <v>58</v>
      </c>
      <c r="B11" s="1">
        <f>52*2/12</f>
        <v>8.6666666666666661</v>
      </c>
      <c r="C11" s="40">
        <f>$B$11*2</f>
        <v>17.333333333333332</v>
      </c>
      <c r="D11" s="40">
        <f>$B$11*3</f>
        <v>26</v>
      </c>
      <c r="E11" s="40">
        <f>$B$11*4</f>
        <v>34.666666666666664</v>
      </c>
      <c r="F11" s="40">
        <f>$B$11*5</f>
        <v>43.333333333333329</v>
      </c>
      <c r="G11" s="40">
        <f>$B$11*6</f>
        <v>52</v>
      </c>
      <c r="H11" s="40">
        <f>$B$11*7</f>
        <v>60.666666666666664</v>
      </c>
    </row>
    <row r="12" spans="1:8">
      <c r="A12" s="15" t="s">
        <v>20</v>
      </c>
      <c r="B12" s="1">
        <f>52/12</f>
        <v>4.333333333333333</v>
      </c>
      <c r="C12" s="40">
        <f>$B$12*2</f>
        <v>8.6666666666666661</v>
      </c>
      <c r="D12" s="40">
        <f>$B$12*3</f>
        <v>13</v>
      </c>
      <c r="E12" s="40">
        <f>$B$12*4</f>
        <v>17.333333333333332</v>
      </c>
      <c r="F12" s="40">
        <f>$B$12*5</f>
        <v>21.666666666666664</v>
      </c>
      <c r="G12" s="40">
        <f>$B$12*6</f>
        <v>26</v>
      </c>
      <c r="H12" s="40">
        <f>$B$12*7</f>
        <v>30.333333333333332</v>
      </c>
    </row>
    <row r="13" spans="1:8">
      <c r="A13" s="15" t="s">
        <v>22</v>
      </c>
      <c r="B13" s="1">
        <f>26/12</f>
        <v>2.1666666666666665</v>
      </c>
      <c r="C13" s="40">
        <f>$B$13*2</f>
        <v>4.333333333333333</v>
      </c>
      <c r="D13" s="40">
        <f>$B$13*3</f>
        <v>6.5</v>
      </c>
      <c r="E13" s="40">
        <f>$B$13*4</f>
        <v>8.6666666666666661</v>
      </c>
      <c r="F13" s="40">
        <f>$B$13*5</f>
        <v>10.833333333333332</v>
      </c>
      <c r="G13" s="40">
        <f>$B$13*6</f>
        <v>13</v>
      </c>
      <c r="H13" s="40">
        <f>$B$13*7</f>
        <v>15.166666666666666</v>
      </c>
    </row>
    <row r="14" spans="1:8">
      <c r="A14" s="15" t="s">
        <v>21</v>
      </c>
      <c r="B14" s="1">
        <f>12/12</f>
        <v>1</v>
      </c>
      <c r="C14" s="40">
        <f>$B$14*2</f>
        <v>2</v>
      </c>
      <c r="D14" s="40">
        <f>$B$14*3</f>
        <v>3</v>
      </c>
      <c r="E14" s="40">
        <f>$B$14*4</f>
        <v>4</v>
      </c>
      <c r="F14" s="40">
        <f>$B$14*5</f>
        <v>5</v>
      </c>
      <c r="G14" s="40">
        <f>$B$14*6</f>
        <v>6</v>
      </c>
      <c r="H14" s="40">
        <f>$B$14*7</f>
        <v>7</v>
      </c>
    </row>
    <row r="15" spans="1:8">
      <c r="B15" s="1"/>
      <c r="C15" s="40"/>
      <c r="D15" s="40"/>
      <c r="E15" s="40"/>
      <c r="F15" s="40"/>
      <c r="G15" s="40"/>
      <c r="H15" s="40"/>
    </row>
    <row r="16" spans="1:8">
      <c r="A16" s="187" t="s">
        <v>9</v>
      </c>
      <c r="B16" s="187"/>
      <c r="C16" s="40"/>
      <c r="D16" s="40"/>
      <c r="E16" s="40"/>
      <c r="F16" s="40"/>
      <c r="G16" s="40"/>
      <c r="H16" s="40"/>
    </row>
    <row r="17" spans="1:8">
      <c r="A17" s="16" t="s">
        <v>54</v>
      </c>
      <c r="B17" s="17" t="s">
        <v>84</v>
      </c>
      <c r="C17" s="40"/>
      <c r="D17" s="40"/>
      <c r="E17" s="40"/>
      <c r="F17" s="40"/>
      <c r="G17" s="40"/>
      <c r="H17" s="40"/>
    </row>
    <row r="18" spans="1:8">
      <c r="A18" s="41" t="s">
        <v>85</v>
      </c>
      <c r="B18" s="29">
        <v>20</v>
      </c>
      <c r="C18" s="40"/>
      <c r="D18" s="40"/>
      <c r="E18" s="40"/>
      <c r="F18" s="40"/>
      <c r="G18" s="40"/>
      <c r="H18" s="40"/>
    </row>
    <row r="19" spans="1:8">
      <c r="A19" s="41" t="s">
        <v>60</v>
      </c>
      <c r="B19" s="29">
        <v>34</v>
      </c>
      <c r="C19" s="40"/>
      <c r="D19" s="40"/>
      <c r="E19" s="40"/>
      <c r="F19" s="40"/>
      <c r="G19" s="40"/>
      <c r="H19" s="40"/>
    </row>
    <row r="20" spans="1:8">
      <c r="A20" s="41" t="s">
        <v>61</v>
      </c>
      <c r="B20" s="29">
        <v>51</v>
      </c>
      <c r="C20" s="40"/>
      <c r="D20" s="40"/>
      <c r="E20" s="40"/>
      <c r="F20" s="40"/>
      <c r="G20" s="40"/>
      <c r="H20" s="40"/>
    </row>
    <row r="21" spans="1:8">
      <c r="A21" s="41" t="s">
        <v>62</v>
      </c>
      <c r="B21" s="29">
        <v>77</v>
      </c>
      <c r="C21" s="40"/>
      <c r="D21" s="40"/>
      <c r="E21" s="40"/>
      <c r="F21" s="15" t="s">
        <v>18</v>
      </c>
      <c r="G21" s="29">
        <v>2000</v>
      </c>
      <c r="H21" s="40"/>
    </row>
    <row r="22" spans="1:8">
      <c r="A22" s="41" t="s">
        <v>63</v>
      </c>
      <c r="B22" s="29">
        <v>97</v>
      </c>
      <c r="C22" s="40"/>
      <c r="D22" s="40"/>
      <c r="E22" s="40"/>
      <c r="F22" s="15" t="s">
        <v>19</v>
      </c>
      <c r="G22" s="10" t="s">
        <v>48</v>
      </c>
      <c r="H22" s="40"/>
    </row>
    <row r="23" spans="1:8">
      <c r="A23" s="41" t="s">
        <v>64</v>
      </c>
      <c r="B23" s="29">
        <v>117</v>
      </c>
      <c r="C23" s="40"/>
      <c r="D23" s="40"/>
      <c r="E23" s="40"/>
      <c r="H23" s="40"/>
    </row>
    <row r="24" spans="1:8">
      <c r="A24" s="41" t="s">
        <v>65</v>
      </c>
      <c r="B24" s="29">
        <v>157</v>
      </c>
      <c r="C24" s="40"/>
      <c r="D24" s="40"/>
      <c r="E24" s="40"/>
      <c r="F24" s="6"/>
      <c r="G24" s="7"/>
      <c r="H24" s="40"/>
    </row>
    <row r="25" spans="1:8">
      <c r="A25" s="41" t="s">
        <v>437</v>
      </c>
      <c r="B25" s="29">
        <v>37</v>
      </c>
      <c r="C25" s="40" t="s">
        <v>474</v>
      </c>
      <c r="D25" s="40"/>
      <c r="E25" s="40"/>
      <c r="F25" s="6"/>
      <c r="G25" s="7"/>
      <c r="H25" s="40"/>
    </row>
    <row r="26" spans="1:8">
      <c r="A26" s="41" t="s">
        <v>66</v>
      </c>
      <c r="B26" s="29">
        <v>47</v>
      </c>
      <c r="C26" s="40"/>
      <c r="D26" s="40"/>
      <c r="E26" s="40"/>
      <c r="F26" s="40"/>
      <c r="G26" s="40"/>
      <c r="H26" s="40"/>
    </row>
    <row r="27" spans="1:8">
      <c r="A27" s="41" t="s">
        <v>67</v>
      </c>
      <c r="B27" s="29">
        <v>68</v>
      </c>
      <c r="C27" s="40"/>
      <c r="D27" s="40"/>
      <c r="E27" s="40"/>
      <c r="F27" s="40"/>
      <c r="G27" s="40"/>
      <c r="H27" s="40"/>
    </row>
    <row r="28" spans="1:8">
      <c r="A28" s="41" t="s">
        <v>68</v>
      </c>
      <c r="B28" s="29">
        <v>34</v>
      </c>
      <c r="C28" s="40"/>
      <c r="D28" s="40"/>
      <c r="E28" s="40"/>
      <c r="F28" s="40"/>
      <c r="G28" s="40"/>
      <c r="H28" s="40"/>
    </row>
    <row r="29" spans="1:8">
      <c r="A29" s="41" t="s">
        <v>30</v>
      </c>
      <c r="B29" s="29">
        <v>34</v>
      </c>
      <c r="C29" s="40"/>
      <c r="D29" s="40"/>
      <c r="E29" s="40"/>
      <c r="F29" s="40"/>
      <c r="G29" s="40"/>
      <c r="H29" s="40"/>
    </row>
    <row r="30" spans="1:8">
      <c r="A30" s="16" t="s">
        <v>69</v>
      </c>
      <c r="B30" s="29"/>
      <c r="C30" s="40"/>
      <c r="D30" s="40"/>
      <c r="E30" s="40"/>
      <c r="F30" s="40"/>
      <c r="G30" s="40"/>
      <c r="H30" s="40"/>
    </row>
    <row r="31" spans="1:8">
      <c r="A31" s="41" t="s">
        <v>70</v>
      </c>
      <c r="B31" s="29">
        <v>29</v>
      </c>
      <c r="C31" s="40"/>
      <c r="D31" s="40"/>
      <c r="E31" s="40"/>
      <c r="F31" s="40"/>
      <c r="G31" s="40"/>
      <c r="H31" s="40"/>
    </row>
    <row r="32" spans="1:8">
      <c r="A32" s="41" t="s">
        <v>71</v>
      </c>
      <c r="B32" s="29">
        <v>175</v>
      </c>
      <c r="C32" s="40"/>
      <c r="D32" s="40"/>
      <c r="E32" s="40"/>
      <c r="F32" s="40"/>
      <c r="G32" s="40"/>
      <c r="H32" s="40"/>
    </row>
    <row r="33" spans="1:8">
      <c r="A33" s="41" t="s">
        <v>72</v>
      </c>
      <c r="B33" s="29">
        <v>250</v>
      </c>
      <c r="C33" s="40"/>
      <c r="D33" s="40"/>
      <c r="E33" s="40"/>
      <c r="F33" s="40"/>
      <c r="G33" s="40"/>
      <c r="H33" s="40"/>
    </row>
    <row r="34" spans="1:8">
      <c r="A34" s="41" t="s">
        <v>108</v>
      </c>
      <c r="B34" s="29">
        <v>375</v>
      </c>
      <c r="C34" s="40" t="s">
        <v>86</v>
      </c>
      <c r="D34" s="40"/>
      <c r="E34" s="40"/>
      <c r="F34" s="40"/>
      <c r="G34" s="40"/>
      <c r="H34" s="40"/>
    </row>
    <row r="35" spans="1:8">
      <c r="A35" s="41" t="s">
        <v>73</v>
      </c>
      <c r="B35" s="29">
        <v>324</v>
      </c>
      <c r="C35" s="40"/>
      <c r="D35" s="40"/>
      <c r="E35" s="40"/>
      <c r="F35" s="40"/>
      <c r="G35" s="40"/>
      <c r="H35" s="40"/>
    </row>
    <row r="36" spans="1:8">
      <c r="A36" s="41" t="s">
        <v>74</v>
      </c>
      <c r="B36" s="29">
        <v>473</v>
      </c>
      <c r="C36" s="40"/>
      <c r="D36" s="40"/>
      <c r="E36" s="40"/>
      <c r="F36" s="40"/>
      <c r="G36" s="40"/>
      <c r="H36" s="40"/>
    </row>
    <row r="37" spans="1:8">
      <c r="A37" s="41" t="s">
        <v>107</v>
      </c>
      <c r="B37" s="29">
        <v>710</v>
      </c>
      <c r="C37" s="40" t="s">
        <v>86</v>
      </c>
      <c r="D37" s="40"/>
      <c r="E37" s="40"/>
      <c r="F37" s="40"/>
      <c r="G37" s="40"/>
      <c r="H37" s="40"/>
    </row>
    <row r="38" spans="1:8">
      <c r="A38" s="41" t="s">
        <v>75</v>
      </c>
      <c r="B38" s="29">
        <v>613</v>
      </c>
      <c r="C38" s="40"/>
      <c r="D38" s="40"/>
      <c r="E38" s="40"/>
      <c r="F38" s="40"/>
      <c r="G38" s="40"/>
      <c r="H38" s="40"/>
    </row>
    <row r="39" spans="1:8">
      <c r="A39" s="41" t="s">
        <v>106</v>
      </c>
      <c r="B39" s="29">
        <v>920</v>
      </c>
      <c r="C39" s="40" t="s">
        <v>86</v>
      </c>
      <c r="D39" s="40"/>
      <c r="E39" s="40"/>
      <c r="F39" s="40"/>
      <c r="G39" s="40"/>
      <c r="H39" s="40"/>
    </row>
    <row r="40" spans="1:8">
      <c r="A40" s="41" t="s">
        <v>76</v>
      </c>
      <c r="B40" s="29">
        <v>840</v>
      </c>
      <c r="C40" s="40"/>
      <c r="D40" s="40"/>
      <c r="E40" s="40"/>
      <c r="F40" s="40"/>
      <c r="G40" s="40"/>
      <c r="H40" s="40"/>
    </row>
    <row r="41" spans="1:8">
      <c r="A41" s="41" t="s">
        <v>105</v>
      </c>
      <c r="B41" s="29">
        <v>1260</v>
      </c>
      <c r="C41" s="40" t="s">
        <v>86</v>
      </c>
      <c r="D41" s="40"/>
      <c r="E41" s="40"/>
      <c r="F41" s="40"/>
      <c r="G41" s="40"/>
      <c r="H41" s="40"/>
    </row>
    <row r="42" spans="1:8">
      <c r="A42" s="41" t="s">
        <v>77</v>
      </c>
      <c r="B42" s="29">
        <v>980</v>
      </c>
      <c r="C42" s="40"/>
      <c r="D42" s="40"/>
      <c r="E42" s="40"/>
      <c r="F42" s="40"/>
      <c r="G42" s="40"/>
      <c r="H42" s="40"/>
    </row>
    <row r="43" spans="1:8">
      <c r="A43" s="41" t="s">
        <v>96</v>
      </c>
      <c r="B43" s="29">
        <v>482</v>
      </c>
      <c r="C43" s="40" t="s">
        <v>86</v>
      </c>
      <c r="D43" s="40"/>
      <c r="E43" s="40"/>
      <c r="F43" s="40"/>
      <c r="G43" s="40"/>
      <c r="H43" s="40"/>
    </row>
    <row r="44" spans="1:8">
      <c r="A44" s="41" t="s">
        <v>97</v>
      </c>
      <c r="B44" s="29">
        <v>689</v>
      </c>
      <c r="C44" s="40" t="s">
        <v>86</v>
      </c>
      <c r="D44" s="40"/>
      <c r="E44" s="40"/>
      <c r="F44" s="40"/>
      <c r="G44" s="40"/>
      <c r="H44" s="40"/>
    </row>
    <row r="45" spans="1:8">
      <c r="A45" s="41" t="s">
        <v>79</v>
      </c>
      <c r="B45" s="29">
        <v>892</v>
      </c>
      <c r="C45" s="40" t="s">
        <v>86</v>
      </c>
      <c r="D45" s="40"/>
      <c r="E45" s="40"/>
      <c r="F45" s="40"/>
      <c r="G45" s="40"/>
      <c r="H45" s="40"/>
    </row>
    <row r="46" spans="1:8">
      <c r="A46" s="41" t="s">
        <v>78</v>
      </c>
      <c r="B46" s="29">
        <v>1301</v>
      </c>
      <c r="C46" s="40"/>
      <c r="D46" s="40"/>
      <c r="E46" s="40"/>
      <c r="F46" s="40"/>
      <c r="G46" s="40"/>
      <c r="H46" s="40"/>
    </row>
    <row r="47" spans="1:8">
      <c r="A47" s="41" t="s">
        <v>80</v>
      </c>
      <c r="B47" s="29">
        <v>1686</v>
      </c>
      <c r="C47" s="40"/>
      <c r="D47" s="40"/>
      <c r="E47" s="40"/>
      <c r="F47" s="40"/>
      <c r="G47" s="40"/>
      <c r="H47" s="40"/>
    </row>
    <row r="48" spans="1:8">
      <c r="A48" s="41" t="s">
        <v>81</v>
      </c>
      <c r="B48" s="29">
        <v>2046</v>
      </c>
      <c r="C48" s="40"/>
      <c r="D48" s="40"/>
      <c r="E48" s="40"/>
      <c r="F48" s="40"/>
      <c r="G48" s="40"/>
      <c r="H48" s="40"/>
    </row>
    <row r="49" spans="1:8">
      <c r="A49" s="41" t="s">
        <v>82</v>
      </c>
      <c r="B49" s="29">
        <v>2310</v>
      </c>
      <c r="C49" s="40"/>
      <c r="D49" s="40"/>
      <c r="E49" s="40"/>
      <c r="F49" s="40"/>
      <c r="G49" s="40"/>
      <c r="H49" s="40"/>
    </row>
    <row r="50" spans="1:8">
      <c r="A50" s="41" t="s">
        <v>98</v>
      </c>
      <c r="B50" s="29">
        <v>2800</v>
      </c>
      <c r="C50" s="40" t="s">
        <v>86</v>
      </c>
      <c r="D50" s="40"/>
      <c r="E50" s="40"/>
      <c r="F50" s="40"/>
      <c r="G50" s="40"/>
      <c r="H50" s="40"/>
    </row>
    <row r="51" spans="1:8">
      <c r="A51" s="41" t="s">
        <v>83</v>
      </c>
      <c r="B51" s="29">
        <v>125</v>
      </c>
      <c r="C51" s="40"/>
      <c r="D51" s="40"/>
      <c r="E51" s="40"/>
      <c r="F51" s="40"/>
      <c r="G51" s="40"/>
      <c r="H51" s="40"/>
    </row>
    <row r="52" spans="1:8">
      <c r="B52" s="189" t="s">
        <v>104</v>
      </c>
      <c r="C52" s="189"/>
    </row>
    <row r="55" spans="1:8">
      <c r="A55" s="45" t="s">
        <v>451</v>
      </c>
      <c r="B55" s="44" t="s">
        <v>5</v>
      </c>
      <c r="C55" s="44" t="s">
        <v>6</v>
      </c>
      <c r="F55" s="188" t="s">
        <v>25</v>
      </c>
      <c r="G55" s="188"/>
    </row>
    <row r="56" spans="1:8">
      <c r="A56" s="122" t="s">
        <v>7</v>
      </c>
      <c r="B56" s="173">
        <v>148.16999999999999</v>
      </c>
      <c r="C56" s="175">
        <f>B56/2000</f>
        <v>7.4084999999999998E-2</v>
      </c>
      <c r="F56" s="15" t="s">
        <v>26</v>
      </c>
      <c r="G56" s="3">
        <f>0.015</f>
        <v>1.4999999999999999E-2</v>
      </c>
    </row>
    <row r="57" spans="1:8">
      <c r="A57" s="122" t="s">
        <v>477</v>
      </c>
      <c r="B57" s="174">
        <v>144.99</v>
      </c>
      <c r="C57" s="176">
        <f>B57/2000</f>
        <v>7.2495000000000004E-2</v>
      </c>
      <c r="F57" s="15" t="s">
        <v>27</v>
      </c>
      <c r="G57" s="4">
        <v>5.1000000000000004E-3</v>
      </c>
    </row>
    <row r="58" spans="1:8">
      <c r="A58" s="41" t="s">
        <v>8</v>
      </c>
      <c r="B58" s="173">
        <f>B57-B56</f>
        <v>-3.1799999999999784</v>
      </c>
      <c r="C58" s="177">
        <f>C57-C56</f>
        <v>-1.5899999999999942E-3</v>
      </c>
      <c r="D58" s="117">
        <f>B58/B56</f>
        <v>-2.146183437942889E-2</v>
      </c>
      <c r="F58" s="15" t="s">
        <v>53</v>
      </c>
      <c r="G58" s="5"/>
    </row>
    <row r="59" spans="1:8">
      <c r="F59" s="15" t="s">
        <v>15</v>
      </c>
      <c r="G59" s="11">
        <f>SUM(G56:G58)</f>
        <v>2.01E-2</v>
      </c>
    </row>
    <row r="60" spans="1:8">
      <c r="B60" s="14" t="s">
        <v>109</v>
      </c>
      <c r="D60" s="12"/>
    </row>
    <row r="61" spans="1:8">
      <c r="A61" s="15" t="s">
        <v>468</v>
      </c>
      <c r="B61" s="12">
        <f>B58</f>
        <v>-3.1799999999999784</v>
      </c>
      <c r="F61" s="15" t="s">
        <v>28</v>
      </c>
      <c r="G61" s="13">
        <f>1-G59</f>
        <v>0.97989999999999999</v>
      </c>
    </row>
    <row r="62" spans="1:8">
      <c r="A62" s="15" t="s">
        <v>24</v>
      </c>
      <c r="B62" s="12">
        <f>B61/$G$61</f>
        <v>-3.2452291050106932</v>
      </c>
      <c r="C62" s="12"/>
    </row>
    <row r="63" spans="1:8">
      <c r="A63" s="15" t="s">
        <v>23</v>
      </c>
      <c r="B63" s="32">
        <f>'Company Calc'!D110</f>
        <v>8873.5300000000007</v>
      </c>
      <c r="C63" s="12"/>
    </row>
    <row r="64" spans="1:8">
      <c r="A64" s="16" t="s">
        <v>29</v>
      </c>
      <c r="B64" s="2">
        <f>B62*B63</f>
        <v>-28796.637820185537</v>
      </c>
    </row>
    <row r="66" spans="1:6">
      <c r="F66" s="12"/>
    </row>
    <row r="67" spans="1:6" ht="15.75" thickBot="1"/>
    <row r="68" spans="1:6">
      <c r="A68" s="100" t="s">
        <v>92</v>
      </c>
      <c r="B68" s="101" t="s">
        <v>90</v>
      </c>
      <c r="D68" s="12"/>
    </row>
    <row r="69" spans="1:6">
      <c r="A69" s="102" t="s">
        <v>91</v>
      </c>
      <c r="B69" s="103">
        <f>'Company Calc'!W81</f>
        <v>-28796.637820185813</v>
      </c>
    </row>
    <row r="70" spans="1:6">
      <c r="A70" s="102" t="s">
        <v>11</v>
      </c>
      <c r="B70" s="103">
        <f>B69-B64</f>
        <v>-2.7648638933897018E-10</v>
      </c>
    </row>
    <row r="71" spans="1:6">
      <c r="A71" s="102"/>
      <c r="B71" s="104"/>
    </row>
    <row r="72" spans="1:6">
      <c r="A72" s="105" t="s">
        <v>93</v>
      </c>
      <c r="B72" s="106" t="s">
        <v>90</v>
      </c>
    </row>
    <row r="73" spans="1:6">
      <c r="A73" s="102" t="s">
        <v>49</v>
      </c>
      <c r="B73" s="103">
        <f>'Company Calc'!W81</f>
        <v>-28796.637820185813</v>
      </c>
    </row>
    <row r="74" spans="1:6" ht="15.75" thickBot="1">
      <c r="A74" s="107" t="s">
        <v>11</v>
      </c>
      <c r="B74" s="108">
        <f>B73-B64</f>
        <v>-2.7648638933897018E-10</v>
      </c>
    </row>
  </sheetData>
  <mergeCells count="5">
    <mergeCell ref="A6:H6"/>
    <mergeCell ref="F55:G55"/>
    <mergeCell ref="A16:B16"/>
    <mergeCell ref="B52:C52"/>
    <mergeCell ref="A4:H4"/>
  </mergeCells>
  <pageMargins left="0.7" right="0.7" top="0.75" bottom="0.75" header="0.3" footer="0.3"/>
  <pageSetup scale="61" orientation="portrait" r:id="rId1"/>
  <headerFooter>
    <oddFooter>&amp;L&amp;F - &amp;A&amp;R&amp;P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59999389629810485"/>
  </sheetPr>
  <dimension ref="A1:AA126"/>
  <sheetViews>
    <sheetView view="pageBreakPreview" zoomScale="90" zoomScaleNormal="85" zoomScaleSheetLayoutView="90" workbookViewId="0">
      <pane xSplit="1" ySplit="6" topLeftCell="B90" activePane="bottomRight" state="frozen"/>
      <selection activeCell="B47" sqref="B47"/>
      <selection pane="topRight" activeCell="B47" sqref="B47"/>
      <selection pane="bottomLeft" activeCell="B47" sqref="B47"/>
      <selection pane="bottomRight" activeCell="B47" sqref="B47"/>
    </sheetView>
  </sheetViews>
  <sheetFormatPr defaultColWidth="8.85546875" defaultRowHeight="15"/>
  <cols>
    <col min="1" max="1" width="4.5703125" style="151" customWidth="1"/>
    <col min="2" max="2" width="8.140625" style="153" customWidth="1"/>
    <col min="3" max="3" width="27.5703125" style="151" bestFit="1" customWidth="1"/>
    <col min="4" max="4" width="12.85546875" style="152" customWidth="1"/>
    <col min="5" max="5" width="10.7109375" style="151" customWidth="1"/>
    <col min="6" max="6" width="9.5703125" style="151" bestFit="1" customWidth="1"/>
    <col min="7" max="7" width="12.140625" style="151" customWidth="1"/>
    <col min="8" max="8" width="15.140625" style="151" customWidth="1"/>
    <col min="9" max="9" width="13.5703125" style="150" customWidth="1"/>
    <col min="10" max="11" width="12.85546875" style="151" bestFit="1" customWidth="1"/>
    <col min="12" max="12" width="10.7109375" style="151" bestFit="1" customWidth="1"/>
    <col min="13" max="13" width="12" style="151" customWidth="1"/>
    <col min="14" max="14" width="14.42578125" style="151" customWidth="1"/>
    <col min="15" max="15" width="13.28515625" style="151" customWidth="1"/>
    <col min="16" max="16" width="16.5703125" style="151" bestFit="1" customWidth="1"/>
    <col min="17" max="18" width="18.42578125" style="151" bestFit="1" customWidth="1"/>
    <col min="19" max="19" width="16.5703125" style="151" customWidth="1"/>
    <col min="20" max="20" width="18.7109375" style="151" customWidth="1"/>
    <col min="21" max="21" width="13.28515625" style="151" bestFit="1" customWidth="1"/>
    <col min="22" max="23" width="16.42578125" style="151" bestFit="1" customWidth="1"/>
    <col min="24" max="16384" width="8.85546875" style="151"/>
  </cols>
  <sheetData>
    <row r="1" spans="1:26">
      <c r="A1" s="156" t="s">
        <v>367</v>
      </c>
    </row>
    <row r="2" spans="1:26">
      <c r="A2" s="156" t="s">
        <v>464</v>
      </c>
      <c r="K2" s="183"/>
    </row>
    <row r="3" spans="1:26">
      <c r="A3" s="156" t="s">
        <v>466</v>
      </c>
      <c r="K3" s="183"/>
      <c r="L3" s="183"/>
    </row>
    <row r="4" spans="1:26">
      <c r="A4" s="156" t="s">
        <v>476</v>
      </c>
      <c r="L4" s="183"/>
    </row>
    <row r="5" spans="1:26" ht="30" customHeight="1">
      <c r="A5" s="192" t="s">
        <v>453</v>
      </c>
      <c r="B5" s="192"/>
      <c r="C5" s="192"/>
      <c r="D5" s="192"/>
      <c r="E5" s="192"/>
      <c r="F5" s="192"/>
      <c r="G5" s="192"/>
      <c r="H5" s="192"/>
      <c r="I5" s="192"/>
      <c r="J5" s="192"/>
      <c r="K5" s="192"/>
      <c r="M5" s="96"/>
    </row>
    <row r="6" spans="1:26" ht="45">
      <c r="A6" s="45"/>
      <c r="B6" s="80" t="s">
        <v>14</v>
      </c>
      <c r="C6" s="167" t="s">
        <v>16</v>
      </c>
      <c r="D6" s="80" t="s">
        <v>41</v>
      </c>
      <c r="E6" s="80" t="s">
        <v>0</v>
      </c>
      <c r="F6" s="80" t="s">
        <v>1</v>
      </c>
      <c r="G6" s="80" t="s">
        <v>9</v>
      </c>
      <c r="H6" s="80" t="s">
        <v>33</v>
      </c>
      <c r="I6" s="159" t="s">
        <v>34</v>
      </c>
      <c r="J6" s="159" t="s">
        <v>469</v>
      </c>
      <c r="K6" s="80" t="s">
        <v>2</v>
      </c>
      <c r="L6" s="80" t="s">
        <v>470</v>
      </c>
      <c r="M6" s="160" t="s">
        <v>38</v>
      </c>
      <c r="N6" s="80" t="s">
        <v>35</v>
      </c>
      <c r="O6" s="80" t="s">
        <v>36</v>
      </c>
      <c r="P6" s="80" t="s">
        <v>39</v>
      </c>
      <c r="Q6" s="80" t="s">
        <v>37</v>
      </c>
      <c r="R6" s="80" t="s">
        <v>471</v>
      </c>
      <c r="S6" s="80" t="s">
        <v>40</v>
      </c>
      <c r="T6" s="80" t="s">
        <v>42</v>
      </c>
      <c r="U6" s="80" t="s">
        <v>43</v>
      </c>
      <c r="V6" s="80" t="s">
        <v>44</v>
      </c>
      <c r="W6" s="80" t="s">
        <v>472</v>
      </c>
    </row>
    <row r="7" spans="1:26" s="56" customFormat="1" ht="15" customHeight="1">
      <c r="A7" s="193" t="s">
        <v>12</v>
      </c>
      <c r="B7" s="43">
        <v>22</v>
      </c>
      <c r="C7" s="151" t="s">
        <v>110</v>
      </c>
      <c r="D7" s="28">
        <v>7.5919999999999996</v>
      </c>
      <c r="E7" s="65">
        <f>References!B12</f>
        <v>4.333333333333333</v>
      </c>
      <c r="F7" s="64">
        <f>D7*E7*12</f>
        <v>394.78399999999999</v>
      </c>
      <c r="G7" s="64">
        <f>References!B18</f>
        <v>20</v>
      </c>
      <c r="H7" s="64">
        <f>F7*G7</f>
        <v>7895.68</v>
      </c>
      <c r="I7" s="42">
        <f t="shared" ref="I7:I25" si="0">$D$113*H7</f>
        <v>6203.9705846203269</v>
      </c>
      <c r="J7" s="63">
        <f>(References!$C$58*I7)</f>
        <v>-9.8643132295462834</v>
      </c>
      <c r="K7" s="63">
        <f>J7/References!$G$61</f>
        <v>-10.066652953920077</v>
      </c>
      <c r="L7" s="63">
        <f>K7/F7*E7</f>
        <v>-0.11049627847207671</v>
      </c>
      <c r="M7" s="26">
        <f>'Proposed Rates'!C11</f>
        <v>16.87</v>
      </c>
      <c r="N7" s="63">
        <f>L7+M7</f>
        <v>16.759503721527924</v>
      </c>
      <c r="O7" s="63">
        <f>'Proposed Rates'!E11</f>
        <v>16.759503721527924</v>
      </c>
      <c r="P7" s="63">
        <f>D7*M7*12</f>
        <v>1536.9244800000001</v>
      </c>
      <c r="Q7" s="63">
        <f>D7*O7*12</f>
        <v>1526.85782704608</v>
      </c>
      <c r="R7" s="63">
        <f>Q7-P7</f>
        <v>-10.066652953920084</v>
      </c>
      <c r="S7" s="63">
        <f>D7*N7*12</f>
        <v>1526.85782704608</v>
      </c>
      <c r="T7" s="63">
        <f t="shared" ref="T7:T25" si="1">Q7-S7</f>
        <v>0</v>
      </c>
      <c r="U7" s="66">
        <f t="shared" ref="U7:U25" si="2">N7</f>
        <v>16.759503721527924</v>
      </c>
      <c r="V7" s="66">
        <f>D7*U7*12</f>
        <v>1526.85782704608</v>
      </c>
      <c r="W7" s="66">
        <f>V7-P7</f>
        <v>-10.066652953920084</v>
      </c>
      <c r="X7" s="112">
        <f>R7-W7</f>
        <v>0</v>
      </c>
      <c r="Y7" s="110">
        <f>O7-U7</f>
        <v>0</v>
      </c>
      <c r="Z7" s="110">
        <f>((G7*$D$113*E7*References!$C$58)/References!$G$61)-'Company Calc'!L7</f>
        <v>0</v>
      </c>
    </row>
    <row r="8" spans="1:26" s="56" customFormat="1" ht="15" customHeight="1">
      <c r="A8" s="193"/>
      <c r="B8" s="43">
        <v>22</v>
      </c>
      <c r="C8" s="151" t="s">
        <v>111</v>
      </c>
      <c r="D8" s="28">
        <v>819.16700000000003</v>
      </c>
      <c r="E8" s="65">
        <f>References!B12</f>
        <v>4.333333333333333</v>
      </c>
      <c r="F8" s="64">
        <f t="shared" ref="F8:F22" si="3">D8*E8*12</f>
        <v>42596.684000000001</v>
      </c>
      <c r="G8" s="64">
        <f>References!B19</f>
        <v>34</v>
      </c>
      <c r="H8" s="64">
        <f t="shared" ref="H8:H25" si="4">F8*G8</f>
        <v>1448287.2560000001</v>
      </c>
      <c r="I8" s="42">
        <f t="shared" si="0"/>
        <v>1137980.7102497176</v>
      </c>
      <c r="J8" s="63">
        <f>(References!$C$58*I8)</f>
        <v>-1809.3893292970442</v>
      </c>
      <c r="K8" s="63">
        <f>J8/References!$G$61</f>
        <v>-1846.5040609215678</v>
      </c>
      <c r="L8" s="63">
        <f t="shared" ref="L8:L22" si="5">K8/F8*E8</f>
        <v>-0.18784367340253041</v>
      </c>
      <c r="M8" s="26">
        <f>'Proposed Rates'!C12</f>
        <v>22.06</v>
      </c>
      <c r="N8" s="63">
        <f t="shared" ref="N8:N71" si="6">L8+M8</f>
        <v>21.872156326597469</v>
      </c>
      <c r="O8" s="63">
        <f>'Proposed Rates'!E12</f>
        <v>21.872156326597469</v>
      </c>
      <c r="P8" s="63">
        <f t="shared" ref="P8:P22" si="7">D8*M8*12</f>
        <v>216849.88824</v>
      </c>
      <c r="Q8" s="63">
        <f t="shared" ref="Q8:Q22" si="8">D8*O8*12</f>
        <v>215003.38417907845</v>
      </c>
      <c r="R8" s="63">
        <f>Q8-P8</f>
        <v>-1846.5040609215503</v>
      </c>
      <c r="S8" s="63">
        <f t="shared" ref="S8:S22" si="9">D8*N8*12</f>
        <v>215003.38417907845</v>
      </c>
      <c r="T8" s="63">
        <f t="shared" si="1"/>
        <v>0</v>
      </c>
      <c r="U8" s="66">
        <f t="shared" si="2"/>
        <v>21.872156326597469</v>
      </c>
      <c r="V8" s="66">
        <f>D8*U8*12</f>
        <v>215003.38417907845</v>
      </c>
      <c r="W8" s="66">
        <f>V8-P8</f>
        <v>-1846.5040609215503</v>
      </c>
      <c r="X8" s="112">
        <f t="shared" ref="X8:X71" si="10">R8-W8</f>
        <v>0</v>
      </c>
      <c r="Y8" s="110">
        <f t="shared" ref="Y8:Y71" si="11">O8-U8</f>
        <v>0</v>
      </c>
      <c r="Z8" s="110">
        <f>((G8*$D$113*E8*References!$C$58)/References!$G$61)-'Company Calc'!L8</f>
        <v>0</v>
      </c>
    </row>
    <row r="9" spans="1:26" s="56" customFormat="1">
      <c r="A9" s="193"/>
      <c r="B9" s="43">
        <v>22</v>
      </c>
      <c r="C9" s="151" t="s">
        <v>112</v>
      </c>
      <c r="D9" s="28">
        <v>93.537000000000006</v>
      </c>
      <c r="E9" s="65">
        <f>References!B12</f>
        <v>4.333333333333333</v>
      </c>
      <c r="F9" s="64">
        <f t="shared" si="3"/>
        <v>4863.924</v>
      </c>
      <c r="G9" s="64">
        <f>References!B20</f>
        <v>51</v>
      </c>
      <c r="H9" s="64">
        <f t="shared" si="4"/>
        <v>248060.12400000001</v>
      </c>
      <c r="I9" s="42">
        <f t="shared" si="0"/>
        <v>194911.35817475771</v>
      </c>
      <c r="J9" s="63">
        <f>(References!$C$58*I9)</f>
        <v>-309.90905949786361</v>
      </c>
      <c r="K9" s="63">
        <f>J9/References!$G$61</f>
        <v>-316.26600622294478</v>
      </c>
      <c r="L9" s="63">
        <f t="shared" si="5"/>
        <v>-0.28176551010379564</v>
      </c>
      <c r="M9" s="26">
        <f>'Proposed Rates'!C13</f>
        <v>33.770000000000003</v>
      </c>
      <c r="N9" s="63">
        <f t="shared" si="6"/>
        <v>33.488234489896207</v>
      </c>
      <c r="O9" s="63">
        <f>'Proposed Rates'!E13</f>
        <v>33.488234489896207</v>
      </c>
      <c r="P9" s="63">
        <f t="shared" si="7"/>
        <v>37904.933880000004</v>
      </c>
      <c r="Q9" s="63">
        <f t="shared" si="8"/>
        <v>37588.667873777064</v>
      </c>
      <c r="R9" s="63">
        <f t="shared" ref="R9:R25" si="12">Q9-P9</f>
        <v>-316.26600622294063</v>
      </c>
      <c r="S9" s="63">
        <f t="shared" si="9"/>
        <v>37588.667873777064</v>
      </c>
      <c r="T9" s="63">
        <f t="shared" si="1"/>
        <v>0</v>
      </c>
      <c r="U9" s="66">
        <f t="shared" si="2"/>
        <v>33.488234489896207</v>
      </c>
      <c r="V9" s="66">
        <f t="shared" ref="V9:V22" si="13">D9*U9*12</f>
        <v>37588.667873777064</v>
      </c>
      <c r="W9" s="66">
        <f t="shared" ref="W9:W25" si="14">V9-P9</f>
        <v>-316.26600622294063</v>
      </c>
      <c r="X9" s="112">
        <f t="shared" si="10"/>
        <v>0</v>
      </c>
      <c r="Y9" s="110">
        <f t="shared" si="11"/>
        <v>0</v>
      </c>
      <c r="Z9" s="110">
        <f>((G9*$D$113*E9*References!$C$58)/References!$G$61)-'Company Calc'!L9</f>
        <v>0</v>
      </c>
    </row>
    <row r="10" spans="1:26" s="56" customFormat="1">
      <c r="A10" s="193"/>
      <c r="B10" s="43">
        <v>22</v>
      </c>
      <c r="C10" s="151" t="s">
        <v>113</v>
      </c>
      <c r="D10" s="28">
        <v>6.3849999999999998</v>
      </c>
      <c r="E10" s="65">
        <f>References!B12</f>
        <v>4.333333333333333</v>
      </c>
      <c r="F10" s="64">
        <f t="shared" si="3"/>
        <v>332.02</v>
      </c>
      <c r="G10" s="64">
        <f>References!B21</f>
        <v>77</v>
      </c>
      <c r="H10" s="64">
        <f t="shared" si="4"/>
        <v>25565.539999999997</v>
      </c>
      <c r="I10" s="42">
        <f t="shared" si="0"/>
        <v>20087.928859823896</v>
      </c>
      <c r="J10" s="63">
        <f>(References!$C$58*I10)</f>
        <v>-31.939806887119879</v>
      </c>
      <c r="K10" s="63">
        <f>J10/References!$G$61</f>
        <v>-32.594965697642493</v>
      </c>
      <c r="L10" s="63">
        <f t="shared" si="5"/>
        <v>-0.42541067211749534</v>
      </c>
      <c r="M10" s="26">
        <f>'Proposed Rates'!C14</f>
        <v>46.47</v>
      </c>
      <c r="N10" s="63">
        <f t="shared" si="6"/>
        <v>46.044589327882505</v>
      </c>
      <c r="O10" s="63">
        <f>'Proposed Rates'!E14</f>
        <v>46.044589327882505</v>
      </c>
      <c r="P10" s="63">
        <f t="shared" si="7"/>
        <v>3560.5313999999998</v>
      </c>
      <c r="Q10" s="63">
        <f t="shared" si="8"/>
        <v>3527.9364343023572</v>
      </c>
      <c r="R10" s="63">
        <f t="shared" si="12"/>
        <v>-32.594965697642692</v>
      </c>
      <c r="S10" s="63">
        <f t="shared" si="9"/>
        <v>3527.9364343023572</v>
      </c>
      <c r="T10" s="63">
        <f t="shared" si="1"/>
        <v>0</v>
      </c>
      <c r="U10" s="66">
        <f t="shared" si="2"/>
        <v>46.044589327882505</v>
      </c>
      <c r="V10" s="66">
        <f t="shared" si="13"/>
        <v>3527.9364343023572</v>
      </c>
      <c r="W10" s="66">
        <f t="shared" si="14"/>
        <v>-32.594965697642692</v>
      </c>
      <c r="X10" s="112">
        <f t="shared" si="10"/>
        <v>0</v>
      </c>
      <c r="Y10" s="110">
        <f t="shared" si="11"/>
        <v>0</v>
      </c>
      <c r="Z10" s="110">
        <f>((G10*$D$113*E10*References!$C$58)/References!$G$61)-'Company Calc'!L10</f>
        <v>0</v>
      </c>
    </row>
    <row r="11" spans="1:26" s="56" customFormat="1">
      <c r="A11" s="193"/>
      <c r="B11" s="43">
        <v>22</v>
      </c>
      <c r="C11" s="151" t="s">
        <v>114</v>
      </c>
      <c r="D11" s="28">
        <v>945.32600000000002</v>
      </c>
      <c r="E11" s="65">
        <f>References!B12</f>
        <v>4.333333333333333</v>
      </c>
      <c r="F11" s="64">
        <f t="shared" si="3"/>
        <v>49156.95199999999</v>
      </c>
      <c r="G11" s="87">
        <f>References!B25</f>
        <v>37</v>
      </c>
      <c r="H11" s="64">
        <f t="shared" si="4"/>
        <v>1818807.2239999997</v>
      </c>
      <c r="I11" s="42">
        <f t="shared" si="0"/>
        <v>1429113.9606456889</v>
      </c>
      <c r="J11" s="63">
        <f>(References!$C$58*I11)</f>
        <v>-2272.2911974266372</v>
      </c>
      <c r="K11" s="63">
        <f>J11/References!$G$61</f>
        <v>-2318.9011097322555</v>
      </c>
      <c r="L11" s="63">
        <f t="shared" si="5"/>
        <v>-0.20441811517334194</v>
      </c>
      <c r="M11" s="26">
        <f>'Proposed Rates'!C17</f>
        <v>24.48</v>
      </c>
      <c r="N11" s="63">
        <f t="shared" si="6"/>
        <v>24.275581884826657</v>
      </c>
      <c r="O11" s="63">
        <f>'Proposed Rates'!E17</f>
        <v>24.275581884826657</v>
      </c>
      <c r="P11" s="63">
        <f t="shared" si="7"/>
        <v>277698.96575999999</v>
      </c>
      <c r="Q11" s="63">
        <f t="shared" si="8"/>
        <v>275380.06465026771</v>
      </c>
      <c r="R11" s="63">
        <f t="shared" si="12"/>
        <v>-2318.90110973228</v>
      </c>
      <c r="S11" s="63">
        <f t="shared" si="9"/>
        <v>275380.06465026771</v>
      </c>
      <c r="T11" s="63">
        <f t="shared" si="1"/>
        <v>0</v>
      </c>
      <c r="U11" s="66">
        <f t="shared" si="2"/>
        <v>24.275581884826657</v>
      </c>
      <c r="V11" s="66">
        <f t="shared" si="13"/>
        <v>275380.06465026771</v>
      </c>
      <c r="W11" s="66">
        <f t="shared" si="14"/>
        <v>-2318.90110973228</v>
      </c>
      <c r="X11" s="112">
        <f t="shared" si="10"/>
        <v>0</v>
      </c>
      <c r="Y11" s="110">
        <f t="shared" si="11"/>
        <v>0</v>
      </c>
      <c r="Z11" s="110">
        <f>((G11*$D$113*E11*References!$C$58)/References!$G$61)-'Company Calc'!L11</f>
        <v>0</v>
      </c>
    </row>
    <row r="12" spans="1:26" s="56" customFormat="1">
      <c r="A12" s="193"/>
      <c r="B12" s="43">
        <v>22</v>
      </c>
      <c r="C12" s="151" t="s">
        <v>115</v>
      </c>
      <c r="D12" s="28">
        <v>2955.2570000000001</v>
      </c>
      <c r="E12" s="65">
        <f>References!B12</f>
        <v>4.333333333333333</v>
      </c>
      <c r="F12" s="64">
        <f t="shared" si="3"/>
        <v>153673.364</v>
      </c>
      <c r="G12" s="64">
        <f>References!B26</f>
        <v>47</v>
      </c>
      <c r="H12" s="64">
        <f t="shared" si="4"/>
        <v>7222648.108</v>
      </c>
      <c r="I12" s="42">
        <f t="shared" si="0"/>
        <v>5675140.8878140524</v>
      </c>
      <c r="J12" s="63">
        <f>(References!$C$58*I12)</f>
        <v>-9023.4740116243102</v>
      </c>
      <c r="K12" s="63">
        <f>J12/References!$G$61</f>
        <v>-9208.5661920852235</v>
      </c>
      <c r="L12" s="63">
        <f t="shared" si="5"/>
        <v>-0.25966625440938024</v>
      </c>
      <c r="M12" s="26">
        <f>'Proposed Rates'!C18</f>
        <v>31.92</v>
      </c>
      <c r="N12" s="119">
        <f t="shared" si="6"/>
        <v>31.66033374559062</v>
      </c>
      <c r="O12" s="118">
        <f>'Proposed Rates'!E18</f>
        <v>31.66033374559062</v>
      </c>
      <c r="P12" s="63">
        <f t="shared" si="7"/>
        <v>1131981.6412800001</v>
      </c>
      <c r="Q12" s="63">
        <f t="shared" si="8"/>
        <v>1122773.0750879147</v>
      </c>
      <c r="R12" s="63">
        <f t="shared" si="12"/>
        <v>-9208.566192085389</v>
      </c>
      <c r="S12" s="63">
        <f t="shared" si="9"/>
        <v>1122773.0750879147</v>
      </c>
      <c r="T12" s="63">
        <f t="shared" si="1"/>
        <v>0</v>
      </c>
      <c r="U12" s="66">
        <f t="shared" si="2"/>
        <v>31.66033374559062</v>
      </c>
      <c r="V12" s="66">
        <f t="shared" si="13"/>
        <v>1122773.0750879147</v>
      </c>
      <c r="W12" s="66">
        <f t="shared" si="14"/>
        <v>-9208.566192085389</v>
      </c>
      <c r="X12" s="112">
        <f t="shared" si="10"/>
        <v>0</v>
      </c>
      <c r="Y12" s="110">
        <f t="shared" si="11"/>
        <v>0</v>
      </c>
      <c r="Z12" s="110">
        <f>((G12*$D$113*E12*References!$C$58)/References!$G$61)-'Company Calc'!L12</f>
        <v>0</v>
      </c>
    </row>
    <row r="13" spans="1:26" s="56" customFormat="1">
      <c r="A13" s="193"/>
      <c r="B13" s="43"/>
      <c r="C13" s="151" t="s">
        <v>116</v>
      </c>
      <c r="D13" s="28">
        <v>37.89</v>
      </c>
      <c r="E13" s="21">
        <f>References!B11</f>
        <v>8.6666666666666661</v>
      </c>
      <c r="F13" s="64">
        <f t="shared" si="3"/>
        <v>3940.56</v>
      </c>
      <c r="G13" s="109">
        <f>References!B26</f>
        <v>47</v>
      </c>
      <c r="H13" s="64">
        <f t="shared" si="4"/>
        <v>185206.32</v>
      </c>
      <c r="I13" s="42">
        <f t="shared" si="0"/>
        <v>145524.45911761615</v>
      </c>
      <c r="J13" s="63">
        <f>(References!$C$58*I13)</f>
        <v>-231.38388999700882</v>
      </c>
      <c r="K13" s="63">
        <f>J13/References!$G$61</f>
        <v>-236.13010510971407</v>
      </c>
      <c r="L13" s="63">
        <f t="shared" si="5"/>
        <v>-0.51933250881876059</v>
      </c>
      <c r="M13" s="26">
        <f>M12*2</f>
        <v>63.84</v>
      </c>
      <c r="N13" s="63">
        <f t="shared" si="6"/>
        <v>63.32066749118124</v>
      </c>
      <c r="O13" s="63">
        <f>O12*2</f>
        <v>63.32066749118124</v>
      </c>
      <c r="P13" s="63">
        <f t="shared" si="7"/>
        <v>29026.771200000003</v>
      </c>
      <c r="Q13" s="63">
        <f t="shared" si="8"/>
        <v>28790.641094890285</v>
      </c>
      <c r="R13" s="63">
        <f t="shared" si="12"/>
        <v>-236.13010510971799</v>
      </c>
      <c r="S13" s="63">
        <f t="shared" si="9"/>
        <v>28790.641094890285</v>
      </c>
      <c r="T13" s="63">
        <f t="shared" si="1"/>
        <v>0</v>
      </c>
      <c r="U13" s="66">
        <f t="shared" si="2"/>
        <v>63.32066749118124</v>
      </c>
      <c r="V13" s="66">
        <f t="shared" si="13"/>
        <v>28790.641094890285</v>
      </c>
      <c r="W13" s="66">
        <f t="shared" si="14"/>
        <v>-236.13010510971799</v>
      </c>
      <c r="X13" s="112">
        <f t="shared" si="10"/>
        <v>0</v>
      </c>
      <c r="Y13" s="110">
        <f t="shared" si="11"/>
        <v>0</v>
      </c>
      <c r="Z13" s="110">
        <f>((G13*$D$113*E13*References!$C$58)/References!$G$61)-'Company Calc'!L13</f>
        <v>0</v>
      </c>
    </row>
    <row r="14" spans="1:26" s="56" customFormat="1">
      <c r="A14" s="193"/>
      <c r="B14" s="43">
        <v>22</v>
      </c>
      <c r="C14" s="151" t="s">
        <v>117</v>
      </c>
      <c r="D14" s="28">
        <v>426.88799999999998</v>
      </c>
      <c r="E14" s="65">
        <f>References!B13</f>
        <v>2.1666666666666665</v>
      </c>
      <c r="F14" s="64">
        <f t="shared" si="3"/>
        <v>11099.087999999998</v>
      </c>
      <c r="G14" s="64">
        <f>References!B19</f>
        <v>34</v>
      </c>
      <c r="H14" s="64">
        <f t="shared" si="4"/>
        <v>377368.99199999991</v>
      </c>
      <c r="I14" s="42">
        <f t="shared" si="0"/>
        <v>296514.81897896354</v>
      </c>
      <c r="J14" s="63">
        <f>(References!$C$58*I14)</f>
        <v>-471.45856217655029</v>
      </c>
      <c r="K14" s="63">
        <f>J14/References!$G$61</f>
        <v>-481.12926030875627</v>
      </c>
      <c r="L14" s="63">
        <f t="shared" si="5"/>
        <v>-9.3921836701265193E-2</v>
      </c>
      <c r="M14" s="26">
        <f>'Proposed Rates'!C20</f>
        <v>12.73</v>
      </c>
      <c r="N14" s="63">
        <f t="shared" si="6"/>
        <v>12.636078163298736</v>
      </c>
      <c r="O14" s="63">
        <f>'Proposed Rates'!E20</f>
        <v>12.636078163298736</v>
      </c>
      <c r="P14" s="63">
        <f t="shared" si="7"/>
        <v>65211.410879999996</v>
      </c>
      <c r="Q14" s="63">
        <f t="shared" si="8"/>
        <v>64730.281619691246</v>
      </c>
      <c r="R14" s="63">
        <f t="shared" si="12"/>
        <v>-481.12926030874951</v>
      </c>
      <c r="S14" s="63">
        <f t="shared" si="9"/>
        <v>64730.281619691246</v>
      </c>
      <c r="T14" s="63">
        <f t="shared" si="1"/>
        <v>0</v>
      </c>
      <c r="U14" s="66">
        <f t="shared" si="2"/>
        <v>12.636078163298736</v>
      </c>
      <c r="V14" s="66">
        <f t="shared" si="13"/>
        <v>64730.281619691246</v>
      </c>
      <c r="W14" s="66">
        <f t="shared" si="14"/>
        <v>-481.12926030874951</v>
      </c>
      <c r="X14" s="112">
        <f t="shared" si="10"/>
        <v>0</v>
      </c>
      <c r="Y14" s="110">
        <f t="shared" si="11"/>
        <v>0</v>
      </c>
      <c r="Z14" s="110">
        <f>((G14*$D$113*E14*References!$C$58)/References!$G$61)-'Company Calc'!L14</f>
        <v>0</v>
      </c>
    </row>
    <row r="15" spans="1:26" s="56" customFormat="1">
      <c r="A15" s="193"/>
      <c r="B15" s="43"/>
      <c r="C15" s="151" t="s">
        <v>118</v>
      </c>
      <c r="D15" s="28">
        <v>2.2949999999999999</v>
      </c>
      <c r="E15" s="21">
        <f>References!C13</f>
        <v>4.333333333333333</v>
      </c>
      <c r="F15" s="64">
        <f>D15*E15*12</f>
        <v>119.33999999999997</v>
      </c>
      <c r="G15" s="89">
        <f>References!B19</f>
        <v>34</v>
      </c>
      <c r="H15" s="19">
        <f>F15*G15</f>
        <v>4057.559999999999</v>
      </c>
      <c r="I15" s="42">
        <f t="shared" si="0"/>
        <v>3188.1969488799</v>
      </c>
      <c r="J15" s="63">
        <f>(References!$C$58*I15)</f>
        <v>-5.0692331487190225</v>
      </c>
      <c r="K15" s="63">
        <f>J15/References!$G$61</f>
        <v>-5.173214765505687</v>
      </c>
      <c r="L15" s="63">
        <f t="shared" si="5"/>
        <v>-0.18784367340253044</v>
      </c>
      <c r="M15" s="26">
        <f>M14*2</f>
        <v>25.46</v>
      </c>
      <c r="N15" s="63">
        <f t="shared" si="6"/>
        <v>25.272156326597472</v>
      </c>
      <c r="O15" s="63">
        <f>O14*2</f>
        <v>25.272156326597472</v>
      </c>
      <c r="P15" s="63">
        <f t="shared" si="7"/>
        <v>701.16840000000002</v>
      </c>
      <c r="Q15" s="63">
        <f t="shared" si="8"/>
        <v>695.99518523449433</v>
      </c>
      <c r="R15" s="63">
        <f t="shared" si="12"/>
        <v>-5.1732147655056906</v>
      </c>
      <c r="S15" s="63">
        <f t="shared" si="9"/>
        <v>695.99518523449433</v>
      </c>
      <c r="T15" s="63">
        <f t="shared" si="1"/>
        <v>0</v>
      </c>
      <c r="U15" s="66">
        <f t="shared" si="2"/>
        <v>25.272156326597472</v>
      </c>
      <c r="V15" s="66">
        <f t="shared" si="13"/>
        <v>695.99518523449433</v>
      </c>
      <c r="W15" s="66">
        <f t="shared" si="14"/>
        <v>-5.1732147655056906</v>
      </c>
      <c r="X15" s="112">
        <f t="shared" si="10"/>
        <v>0</v>
      </c>
      <c r="Y15" s="110">
        <f t="shared" si="11"/>
        <v>0</v>
      </c>
      <c r="Z15" s="110">
        <f>((G15*$D$113*E15*References!$C$58)/References!$G$61)-'Company Calc'!L15</f>
        <v>0</v>
      </c>
    </row>
    <row r="16" spans="1:26" s="56" customFormat="1" ht="14.45" customHeight="1">
      <c r="A16" s="193"/>
      <c r="B16" s="43">
        <v>22</v>
      </c>
      <c r="C16" s="151" t="s">
        <v>119</v>
      </c>
      <c r="D16" s="150">
        <v>548.04700000000003</v>
      </c>
      <c r="E16" s="65">
        <f>References!B13</f>
        <v>2.1666666666666665</v>
      </c>
      <c r="F16" s="64">
        <f t="shared" si="3"/>
        <v>14249.222</v>
      </c>
      <c r="G16" s="87">
        <v>37</v>
      </c>
      <c r="H16" s="64">
        <f t="shared" si="4"/>
        <v>527221.21400000004</v>
      </c>
      <c r="I16" s="42">
        <f t="shared" si="0"/>
        <v>414260.06414188759</v>
      </c>
      <c r="J16" s="63">
        <f>(References!$C$58*I16)</f>
        <v>-658.67350198559882</v>
      </c>
      <c r="K16" s="63">
        <f>J16/References!$G$61</f>
        <v>-672.18440859842724</v>
      </c>
      <c r="L16" s="63">
        <f t="shared" si="5"/>
        <v>-0.10220905758667097</v>
      </c>
      <c r="M16" s="26">
        <f>'Proposed Rates'!C21</f>
        <v>14.11</v>
      </c>
      <c r="N16" s="63">
        <f t="shared" si="6"/>
        <v>14.007790942413328</v>
      </c>
      <c r="O16" s="63">
        <f>'Proposed Rates'!E21</f>
        <v>14.007790942413328</v>
      </c>
      <c r="P16" s="63">
        <f t="shared" si="7"/>
        <v>92795.318040000013</v>
      </c>
      <c r="Q16" s="63">
        <f t="shared" si="8"/>
        <v>92123.133631401579</v>
      </c>
      <c r="R16" s="63">
        <f t="shared" si="12"/>
        <v>-672.18440859843395</v>
      </c>
      <c r="S16" s="63">
        <f t="shared" si="9"/>
        <v>92123.133631401579</v>
      </c>
      <c r="T16" s="63">
        <f t="shared" si="1"/>
        <v>0</v>
      </c>
      <c r="U16" s="66">
        <f t="shared" si="2"/>
        <v>14.007790942413328</v>
      </c>
      <c r="V16" s="66">
        <f t="shared" si="13"/>
        <v>92123.133631401579</v>
      </c>
      <c r="W16" s="66">
        <f t="shared" si="14"/>
        <v>-672.18440859843395</v>
      </c>
      <c r="X16" s="112">
        <f t="shared" si="10"/>
        <v>0</v>
      </c>
      <c r="Y16" s="110">
        <f t="shared" si="11"/>
        <v>0</v>
      </c>
      <c r="Z16" s="110">
        <f>((G16*$D$113*E16*References!$C$58)/References!$G$61)-'Company Calc'!L16</f>
        <v>0</v>
      </c>
    </row>
    <row r="17" spans="1:26" s="56" customFormat="1">
      <c r="A17" s="193"/>
      <c r="B17" s="43">
        <v>22</v>
      </c>
      <c r="C17" s="151" t="s">
        <v>120</v>
      </c>
      <c r="D17" s="150">
        <v>1695.5630000000001</v>
      </c>
      <c r="E17" s="65">
        <f>References!B13</f>
        <v>2.1666666666666665</v>
      </c>
      <c r="F17" s="64">
        <f t="shared" si="3"/>
        <v>44084.637999999999</v>
      </c>
      <c r="G17" s="64">
        <f>References!B26</f>
        <v>47</v>
      </c>
      <c r="H17" s="64">
        <f t="shared" si="4"/>
        <v>2071977.986</v>
      </c>
      <c r="I17" s="42">
        <f t="shared" si="0"/>
        <v>1628040.9638086737</v>
      </c>
      <c r="J17" s="63">
        <f>(References!$C$58*I17)</f>
        <v>-2588.5851324557816</v>
      </c>
      <c r="K17" s="63">
        <f>J17/References!$G$61</f>
        <v>-2641.6829599507923</v>
      </c>
      <c r="L17" s="63">
        <f t="shared" si="5"/>
        <v>-0.12983312720469012</v>
      </c>
      <c r="M17" s="26">
        <f>'Proposed Rates'!C22</f>
        <v>18.27</v>
      </c>
      <c r="N17" s="63">
        <f t="shared" si="6"/>
        <v>18.140166872795309</v>
      </c>
      <c r="O17" s="63">
        <f>'Proposed Rates'!E22</f>
        <v>18.140166872795309</v>
      </c>
      <c r="P17" s="63">
        <f t="shared" si="7"/>
        <v>371735.23212</v>
      </c>
      <c r="Q17" s="63">
        <f t="shared" si="8"/>
        <v>369093.54916004924</v>
      </c>
      <c r="R17" s="63">
        <f t="shared" si="12"/>
        <v>-2641.6829599507619</v>
      </c>
      <c r="S17" s="63">
        <f t="shared" si="9"/>
        <v>369093.54916004924</v>
      </c>
      <c r="T17" s="63">
        <f t="shared" si="1"/>
        <v>0</v>
      </c>
      <c r="U17" s="66">
        <f t="shared" si="2"/>
        <v>18.140166872795309</v>
      </c>
      <c r="V17" s="66">
        <f t="shared" si="13"/>
        <v>369093.54916004924</v>
      </c>
      <c r="W17" s="66">
        <f t="shared" si="14"/>
        <v>-2641.6829599507619</v>
      </c>
      <c r="X17" s="112">
        <f t="shared" si="10"/>
        <v>0</v>
      </c>
      <c r="Y17" s="110">
        <f t="shared" si="11"/>
        <v>0</v>
      </c>
      <c r="Z17" s="110">
        <f>((G17*$D$113*E17*References!$C$58)/References!$G$61)-'Company Calc'!L17</f>
        <v>0</v>
      </c>
    </row>
    <row r="18" spans="1:26" s="56" customFormat="1">
      <c r="A18" s="193"/>
      <c r="B18" s="43"/>
      <c r="C18" s="151" t="s">
        <v>121</v>
      </c>
      <c r="D18" s="150">
        <v>2.2949999999999999</v>
      </c>
      <c r="E18" s="65">
        <f>References!C13</f>
        <v>4.333333333333333</v>
      </c>
      <c r="F18" s="64">
        <f t="shared" si="3"/>
        <v>119.33999999999997</v>
      </c>
      <c r="G18" s="64">
        <f>References!B26</f>
        <v>47</v>
      </c>
      <c r="H18" s="64">
        <f t="shared" si="4"/>
        <v>5608.9799999999987</v>
      </c>
      <c r="I18" s="42">
        <f t="shared" si="0"/>
        <v>4407.2134293339795</v>
      </c>
      <c r="J18" s="63">
        <f>(References!$C$58*I18)</f>
        <v>-7.0074693526410021</v>
      </c>
      <c r="K18" s="63">
        <f>J18/References!$G$61</f>
        <v>-7.1512086464343323</v>
      </c>
      <c r="L18" s="63">
        <f t="shared" si="5"/>
        <v>-0.25966625440938029</v>
      </c>
      <c r="M18" s="26">
        <f>M17*2</f>
        <v>36.54</v>
      </c>
      <c r="N18" s="63">
        <f t="shared" si="6"/>
        <v>36.280333745590617</v>
      </c>
      <c r="O18" s="63">
        <f>O17*2</f>
        <v>36.280333745590617</v>
      </c>
      <c r="P18" s="63">
        <f t="shared" si="7"/>
        <v>1006.3115999999999</v>
      </c>
      <c r="Q18" s="63">
        <f t="shared" si="8"/>
        <v>999.1603913535655</v>
      </c>
      <c r="R18" s="63">
        <f t="shared" si="12"/>
        <v>-7.1512086464343838</v>
      </c>
      <c r="S18" s="63">
        <f t="shared" si="9"/>
        <v>999.1603913535655</v>
      </c>
      <c r="T18" s="63">
        <f t="shared" si="1"/>
        <v>0</v>
      </c>
      <c r="U18" s="66">
        <f t="shared" si="2"/>
        <v>36.280333745590617</v>
      </c>
      <c r="V18" s="66">
        <f t="shared" si="13"/>
        <v>999.1603913535655</v>
      </c>
      <c r="W18" s="66">
        <f t="shared" si="14"/>
        <v>-7.1512086464343838</v>
      </c>
      <c r="X18" s="112">
        <f t="shared" si="10"/>
        <v>0</v>
      </c>
      <c r="Y18" s="110">
        <f t="shared" si="11"/>
        <v>0</v>
      </c>
      <c r="Z18" s="110">
        <f>((G18*$D$113*E18*References!$C$58)/References!$G$61)-'Company Calc'!L18</f>
        <v>0</v>
      </c>
    </row>
    <row r="19" spans="1:26" s="56" customFormat="1">
      <c r="A19" s="193"/>
      <c r="B19" s="43">
        <v>22</v>
      </c>
      <c r="C19" s="151" t="s">
        <v>122</v>
      </c>
      <c r="D19" s="150">
        <v>83.825000000000003</v>
      </c>
      <c r="E19" s="65">
        <f>References!$B$14</f>
        <v>1</v>
      </c>
      <c r="F19" s="64">
        <f t="shared" si="3"/>
        <v>1005.9000000000001</v>
      </c>
      <c r="G19" s="64">
        <f>References!B19</f>
        <v>34</v>
      </c>
      <c r="H19" s="64">
        <f t="shared" si="4"/>
        <v>34200.600000000006</v>
      </c>
      <c r="I19" s="42">
        <f t="shared" si="0"/>
        <v>26872.861663133004</v>
      </c>
      <c r="J19" s="63">
        <f>(References!$C$58*I19)</f>
        <v>-42.72785004438132</v>
      </c>
      <c r="K19" s="63">
        <f>J19/References!$G$61</f>
        <v>-43.604296402062779</v>
      </c>
      <c r="L19" s="63">
        <f t="shared" si="5"/>
        <v>-4.3348540015968558E-2</v>
      </c>
      <c r="M19" s="26">
        <f>'Proposed Rates'!C24</f>
        <v>7.52</v>
      </c>
      <c r="N19" s="63">
        <f t="shared" si="6"/>
        <v>7.4766514599840308</v>
      </c>
      <c r="O19" s="63">
        <f>'Proposed Rates'!E24</f>
        <v>7.4766514599840308</v>
      </c>
      <c r="P19" s="63">
        <f t="shared" si="7"/>
        <v>7564.3680000000004</v>
      </c>
      <c r="Q19" s="63">
        <f t="shared" si="8"/>
        <v>7520.7637035979369</v>
      </c>
      <c r="R19" s="63">
        <f t="shared" si="12"/>
        <v>-43.604296402063483</v>
      </c>
      <c r="S19" s="63">
        <f t="shared" si="9"/>
        <v>7520.7637035979369</v>
      </c>
      <c r="T19" s="63">
        <f t="shared" si="1"/>
        <v>0</v>
      </c>
      <c r="U19" s="66">
        <f t="shared" si="2"/>
        <v>7.4766514599840308</v>
      </c>
      <c r="V19" s="66">
        <f t="shared" si="13"/>
        <v>7520.7637035979369</v>
      </c>
      <c r="W19" s="66">
        <f t="shared" si="14"/>
        <v>-43.604296402063483</v>
      </c>
      <c r="X19" s="112">
        <f t="shared" si="10"/>
        <v>0</v>
      </c>
      <c r="Y19" s="110">
        <f t="shared" si="11"/>
        <v>0</v>
      </c>
      <c r="Z19" s="110">
        <f>((G19*$D$113*E19*References!$C$58)/References!$G$61)-'Company Calc'!L19</f>
        <v>0</v>
      </c>
    </row>
    <row r="20" spans="1:26" s="56" customFormat="1">
      <c r="A20" s="193"/>
      <c r="B20" s="43"/>
      <c r="C20" s="151" t="s">
        <v>123</v>
      </c>
      <c r="D20" s="150">
        <v>3.0030000000000001</v>
      </c>
      <c r="E20" s="21">
        <f>References!C14</f>
        <v>2</v>
      </c>
      <c r="F20" s="64">
        <f t="shared" si="3"/>
        <v>72.072000000000003</v>
      </c>
      <c r="G20" s="89">
        <f>References!B19</f>
        <v>34</v>
      </c>
      <c r="H20" s="19">
        <f t="shared" si="4"/>
        <v>2450.4480000000003</v>
      </c>
      <c r="I20" s="42">
        <f t="shared" si="0"/>
        <v>1925.4209024608031</v>
      </c>
      <c r="J20" s="63">
        <f>(References!$C$58*I20)</f>
        <v>-3.0614192349126657</v>
      </c>
      <c r="K20" s="63">
        <f>J20/References!$G$61</f>
        <v>-3.1242159760308863</v>
      </c>
      <c r="L20" s="63">
        <f t="shared" si="5"/>
        <v>-8.6697080031937129E-2</v>
      </c>
      <c r="M20" s="26">
        <f>M19*2</f>
        <v>15.04</v>
      </c>
      <c r="N20" s="63">
        <f t="shared" si="6"/>
        <v>14.953302919968062</v>
      </c>
      <c r="O20" s="63">
        <f>O19*2</f>
        <v>14.953302919968062</v>
      </c>
      <c r="P20" s="63">
        <f t="shared" si="7"/>
        <v>541.98144000000002</v>
      </c>
      <c r="Q20" s="63">
        <f t="shared" si="8"/>
        <v>538.85722402396914</v>
      </c>
      <c r="R20" s="63">
        <f t="shared" si="12"/>
        <v>-3.1242159760308823</v>
      </c>
      <c r="S20" s="63">
        <f t="shared" si="9"/>
        <v>538.85722402396914</v>
      </c>
      <c r="T20" s="63">
        <f t="shared" si="1"/>
        <v>0</v>
      </c>
      <c r="U20" s="66">
        <f t="shared" si="2"/>
        <v>14.953302919968062</v>
      </c>
      <c r="V20" s="66">
        <f t="shared" si="13"/>
        <v>538.85722402396914</v>
      </c>
      <c r="W20" s="66">
        <f t="shared" si="14"/>
        <v>-3.1242159760308823</v>
      </c>
      <c r="X20" s="112">
        <f t="shared" si="10"/>
        <v>0</v>
      </c>
      <c r="Y20" s="110">
        <f t="shared" si="11"/>
        <v>0</v>
      </c>
      <c r="Z20" s="110">
        <f>((G20*$D$113*E20*References!$C$58)/References!$G$61)-'Company Calc'!L20</f>
        <v>0</v>
      </c>
    </row>
    <row r="21" spans="1:26" s="56" customFormat="1">
      <c r="A21" s="193"/>
      <c r="B21" s="43">
        <v>22</v>
      </c>
      <c r="C21" s="151" t="s">
        <v>124</v>
      </c>
      <c r="D21" s="150">
        <v>81.870999999999995</v>
      </c>
      <c r="E21" s="65">
        <f>References!$B$14</f>
        <v>1</v>
      </c>
      <c r="F21" s="64">
        <f t="shared" si="3"/>
        <v>982.452</v>
      </c>
      <c r="G21" s="87">
        <f>References!B25</f>
        <v>37</v>
      </c>
      <c r="H21" s="64">
        <f t="shared" si="4"/>
        <v>36350.724000000002</v>
      </c>
      <c r="I21" s="42">
        <f t="shared" si="0"/>
        <v>28562.305263847087</v>
      </c>
      <c r="J21" s="63">
        <f>(References!$C$58*I21)</f>
        <v>-45.414065369516706</v>
      </c>
      <c r="K21" s="63">
        <f>J21/References!$G$61</f>
        <v>-46.345612174218495</v>
      </c>
      <c r="L21" s="63">
        <f t="shared" si="5"/>
        <v>-4.7173411193848144E-2</v>
      </c>
      <c r="M21" s="26">
        <f>'Proposed Rates'!C25</f>
        <v>8.6300000000000008</v>
      </c>
      <c r="N21" s="63">
        <f t="shared" si="6"/>
        <v>8.582826588806153</v>
      </c>
      <c r="O21" s="63">
        <f>'Proposed Rates'!E25</f>
        <v>8.582826588806153</v>
      </c>
      <c r="P21" s="63">
        <f t="shared" si="7"/>
        <v>8478.5607600000003</v>
      </c>
      <c r="Q21" s="63">
        <f t="shared" si="8"/>
        <v>8432.215147825782</v>
      </c>
      <c r="R21" s="63">
        <f t="shared" si="12"/>
        <v>-46.345612174218331</v>
      </c>
      <c r="S21" s="63">
        <f t="shared" si="9"/>
        <v>8432.215147825782</v>
      </c>
      <c r="T21" s="63">
        <f t="shared" si="1"/>
        <v>0</v>
      </c>
      <c r="U21" s="66">
        <f t="shared" si="2"/>
        <v>8.582826588806153</v>
      </c>
      <c r="V21" s="66">
        <f t="shared" si="13"/>
        <v>8432.215147825782</v>
      </c>
      <c r="W21" s="66">
        <f t="shared" si="14"/>
        <v>-46.345612174218331</v>
      </c>
      <c r="X21" s="112">
        <f t="shared" si="10"/>
        <v>0</v>
      </c>
      <c r="Y21" s="110">
        <f t="shared" si="11"/>
        <v>0</v>
      </c>
      <c r="Z21" s="110">
        <f>((G21*$D$113*E21*References!$C$58)/References!$G$61)-'Company Calc'!L21</f>
        <v>0</v>
      </c>
    </row>
    <row r="22" spans="1:26" s="56" customFormat="1">
      <c r="A22" s="193"/>
      <c r="B22" s="43">
        <v>22</v>
      </c>
      <c r="C22" s="151" t="s">
        <v>125</v>
      </c>
      <c r="D22" s="150">
        <v>160.21799999999999</v>
      </c>
      <c r="E22" s="65">
        <f>References!$B$14</f>
        <v>1</v>
      </c>
      <c r="F22" s="64">
        <f t="shared" si="3"/>
        <v>1922.616</v>
      </c>
      <c r="G22" s="64">
        <f>References!B26</f>
        <v>47</v>
      </c>
      <c r="H22" s="64">
        <f t="shared" si="4"/>
        <v>90362.952000000005</v>
      </c>
      <c r="I22" s="42">
        <f t="shared" si="0"/>
        <v>71002.003139369699</v>
      </c>
      <c r="J22" s="63">
        <f>(References!$C$58*I22)</f>
        <v>-112.89318499159741</v>
      </c>
      <c r="K22" s="63">
        <f>J22/References!$G$61</f>
        <v>-115.20888355097195</v>
      </c>
      <c r="L22" s="63">
        <f t="shared" si="5"/>
        <v>-5.9922981786780072E-2</v>
      </c>
      <c r="M22" s="26">
        <f>'Proposed Rates'!C26</f>
        <v>12.36</v>
      </c>
      <c r="N22" s="63">
        <f t="shared" si="6"/>
        <v>12.300077018213219</v>
      </c>
      <c r="O22" s="63">
        <f>'Proposed Rates'!E26</f>
        <v>12.300077018213219</v>
      </c>
      <c r="P22" s="63">
        <f t="shared" si="7"/>
        <v>23763.533759999998</v>
      </c>
      <c r="Q22" s="63">
        <f t="shared" si="8"/>
        <v>23648.324876449024</v>
      </c>
      <c r="R22" s="63">
        <f t="shared" si="12"/>
        <v>-115.20888355097486</v>
      </c>
      <c r="S22" s="63">
        <f t="shared" si="9"/>
        <v>23648.324876449024</v>
      </c>
      <c r="T22" s="63">
        <f t="shared" si="1"/>
        <v>0</v>
      </c>
      <c r="U22" s="66">
        <f t="shared" si="2"/>
        <v>12.300077018213219</v>
      </c>
      <c r="V22" s="66">
        <f t="shared" si="13"/>
        <v>23648.324876449024</v>
      </c>
      <c r="W22" s="66">
        <f t="shared" si="14"/>
        <v>-115.20888355097486</v>
      </c>
      <c r="X22" s="112">
        <f t="shared" si="10"/>
        <v>0</v>
      </c>
      <c r="Y22" s="110">
        <f t="shared" si="11"/>
        <v>0</v>
      </c>
      <c r="Z22" s="110">
        <f>((G22*$D$113*E22*References!$C$58)/References!$G$61)-'Company Calc'!L22</f>
        <v>0</v>
      </c>
    </row>
    <row r="23" spans="1:26" s="56" customFormat="1">
      <c r="A23" s="193"/>
      <c r="B23" s="43" t="s">
        <v>129</v>
      </c>
      <c r="C23" s="151" t="s">
        <v>126</v>
      </c>
      <c r="D23" s="150">
        <v>4.5819999999999999</v>
      </c>
      <c r="E23" s="65"/>
      <c r="F23" s="64">
        <v>55</v>
      </c>
      <c r="G23" s="64">
        <f>References!B19</f>
        <v>34</v>
      </c>
      <c r="H23" s="64">
        <f t="shared" si="4"/>
        <v>1870</v>
      </c>
      <c r="I23" s="42">
        <f t="shared" si="0"/>
        <v>1469.3382955286957</v>
      </c>
      <c r="J23" s="63">
        <f>(References!$C$58*I23)</f>
        <v>-2.3362478898906174</v>
      </c>
      <c r="K23" s="63">
        <f>J23/References!$G$61</f>
        <v>-2.3841697008782705</v>
      </c>
      <c r="L23" s="63">
        <f>K23/F23</f>
        <v>-4.3348540015968558E-2</v>
      </c>
      <c r="M23" s="26">
        <f>'Proposed Rates'!C34</f>
        <v>8.52</v>
      </c>
      <c r="N23" s="63">
        <f t="shared" si="6"/>
        <v>8.4766514599840317</v>
      </c>
      <c r="O23" s="63">
        <f>'Proposed Rates'!E34</f>
        <v>8.4766514599840317</v>
      </c>
      <c r="P23" s="63">
        <f>F23*M23</f>
        <v>468.59999999999997</v>
      </c>
      <c r="Q23" s="63">
        <f>F23*O23</f>
        <v>466.21583029912176</v>
      </c>
      <c r="R23" s="63">
        <f t="shared" si="12"/>
        <v>-2.3841697008782035</v>
      </c>
      <c r="S23" s="63">
        <f>F23*N23</f>
        <v>466.21583029912176</v>
      </c>
      <c r="T23" s="63">
        <f t="shared" si="1"/>
        <v>0</v>
      </c>
      <c r="U23" s="66">
        <f t="shared" si="2"/>
        <v>8.4766514599840317</v>
      </c>
      <c r="V23" s="66">
        <f>F23*U23</f>
        <v>466.21583029912176</v>
      </c>
      <c r="W23" s="66">
        <f t="shared" si="14"/>
        <v>-2.3841697008782035</v>
      </c>
      <c r="X23" s="112">
        <f t="shared" si="10"/>
        <v>0</v>
      </c>
      <c r="Y23" s="110">
        <f t="shared" si="11"/>
        <v>0</v>
      </c>
      <c r="Z23" s="110">
        <f>((G23*$D$113*1*References!$C$58)/References!$G$61)-'Company Calc'!L23</f>
        <v>0</v>
      </c>
    </row>
    <row r="24" spans="1:26" s="56" customFormat="1">
      <c r="A24" s="193"/>
      <c r="B24" s="43" t="s">
        <v>129</v>
      </c>
      <c r="C24" s="151" t="s">
        <v>127</v>
      </c>
      <c r="D24" s="150">
        <v>217.03100000000001</v>
      </c>
      <c r="E24" s="65"/>
      <c r="F24" s="64">
        <v>2604</v>
      </c>
      <c r="G24" s="64">
        <f>References!B29</f>
        <v>34</v>
      </c>
      <c r="H24" s="64">
        <f t="shared" si="4"/>
        <v>88536</v>
      </c>
      <c r="I24" s="42">
        <f t="shared" si="0"/>
        <v>69566.489482849516</v>
      </c>
      <c r="J24" s="63">
        <f>(References!$C$58*I24)</f>
        <v>-110.61071827773033</v>
      </c>
      <c r="K24" s="63">
        <f>J24/References!$G$61</f>
        <v>-112.87959820158213</v>
      </c>
      <c r="L24" s="63">
        <f t="shared" ref="L24:L25" si="15">K24/F24</f>
        <v>-4.3348540015968558E-2</v>
      </c>
      <c r="M24" s="26">
        <f>'Proposed Rates'!C30</f>
        <v>6.98</v>
      </c>
      <c r="N24" s="63">
        <f t="shared" si="6"/>
        <v>6.9366514599840317</v>
      </c>
      <c r="O24" s="63">
        <f>'Proposed Rates'!E30</f>
        <v>6.9366514599840317</v>
      </c>
      <c r="P24" s="63">
        <f t="shared" ref="P24:P25" si="16">F24*M24</f>
        <v>18175.920000000002</v>
      </c>
      <c r="Q24" s="63">
        <f t="shared" ref="Q24:Q25" si="17">F24*O24</f>
        <v>18063.040401798418</v>
      </c>
      <c r="R24" s="63">
        <f t="shared" si="12"/>
        <v>-112.87959820158358</v>
      </c>
      <c r="S24" s="63">
        <f t="shared" ref="S24:S25" si="18">F24*N24</f>
        <v>18063.040401798418</v>
      </c>
      <c r="T24" s="63">
        <f t="shared" si="1"/>
        <v>0</v>
      </c>
      <c r="U24" s="66">
        <f t="shared" si="2"/>
        <v>6.9366514599840317</v>
      </c>
      <c r="V24" s="66">
        <f t="shared" ref="V24:V25" si="19">F24*U24</f>
        <v>18063.040401798418</v>
      </c>
      <c r="W24" s="66">
        <f t="shared" si="14"/>
        <v>-112.87959820158358</v>
      </c>
      <c r="X24" s="112">
        <f t="shared" si="10"/>
        <v>0</v>
      </c>
      <c r="Y24" s="110">
        <f t="shared" si="11"/>
        <v>0</v>
      </c>
      <c r="Z24" s="110">
        <f>((G24*$D$113*1*References!$C$58)/References!$G$61)-'Company Calc'!L24</f>
        <v>0</v>
      </c>
    </row>
    <row r="25" spans="1:26" s="56" customFormat="1">
      <c r="A25" s="193"/>
      <c r="B25" s="43" t="s">
        <v>130</v>
      </c>
      <c r="C25" s="151" t="s">
        <v>128</v>
      </c>
      <c r="D25" s="150">
        <v>24.661000000000001</v>
      </c>
      <c r="E25" s="65"/>
      <c r="F25" s="64">
        <v>296</v>
      </c>
      <c r="G25" s="64">
        <f>References!B29</f>
        <v>34</v>
      </c>
      <c r="H25" s="64">
        <f t="shared" si="4"/>
        <v>10064</v>
      </c>
      <c r="I25" s="42">
        <f t="shared" si="0"/>
        <v>7907.711554118071</v>
      </c>
      <c r="J25" s="63">
        <f>(References!$C$58*I25)</f>
        <v>-12.573261371047687</v>
      </c>
      <c r="K25" s="63">
        <f>J25/References!$G$61</f>
        <v>-12.831167844726695</v>
      </c>
      <c r="L25" s="63">
        <f t="shared" si="15"/>
        <v>-4.3348540015968565E-2</v>
      </c>
      <c r="M25" s="26">
        <f>'Proposed Rates'!C8</f>
        <v>6.55</v>
      </c>
      <c r="N25" s="63">
        <f t="shared" si="6"/>
        <v>6.506651459984031</v>
      </c>
      <c r="O25" s="63">
        <f>'Proposed Rates'!E8</f>
        <v>6.506651459984031</v>
      </c>
      <c r="P25" s="63">
        <f t="shared" si="16"/>
        <v>1938.8</v>
      </c>
      <c r="Q25" s="63">
        <f t="shared" si="17"/>
        <v>1925.9688321552733</v>
      </c>
      <c r="R25" s="63">
        <f t="shared" si="12"/>
        <v>-12.831167844726679</v>
      </c>
      <c r="S25" s="63">
        <f t="shared" si="18"/>
        <v>1925.9688321552733</v>
      </c>
      <c r="T25" s="63">
        <f t="shared" si="1"/>
        <v>0</v>
      </c>
      <c r="U25" s="66">
        <f t="shared" si="2"/>
        <v>6.506651459984031</v>
      </c>
      <c r="V25" s="66">
        <f t="shared" si="19"/>
        <v>1925.9688321552733</v>
      </c>
      <c r="W25" s="66">
        <f t="shared" si="14"/>
        <v>-12.831167844726679</v>
      </c>
      <c r="X25" s="112">
        <f t="shared" si="10"/>
        <v>0</v>
      </c>
      <c r="Y25" s="110">
        <f t="shared" si="11"/>
        <v>0</v>
      </c>
      <c r="Z25" s="110">
        <f>((G25*$D$113*1*References!$C$58)/References!$G$61)-'Company Calc'!L25</f>
        <v>0</v>
      </c>
    </row>
    <row r="26" spans="1:26" s="56" customFormat="1">
      <c r="A26" s="46"/>
      <c r="B26" s="81"/>
      <c r="C26" s="47" t="s">
        <v>15</v>
      </c>
      <c r="D26" s="48">
        <f>SUM(D7:D25)</f>
        <v>8115.433</v>
      </c>
      <c r="E26" s="49"/>
      <c r="F26" s="50">
        <f>SUM(F7:F25)</f>
        <v>331567.95600000001</v>
      </c>
      <c r="G26" s="51"/>
      <c r="H26" s="82">
        <f>SUM(H7:H25)</f>
        <v>14206539.708000001</v>
      </c>
      <c r="I26" s="52">
        <f>SUM(I7:I25)</f>
        <v>11162680.663055321</v>
      </c>
      <c r="J26" s="52">
        <f t="shared" ref="J26:K26" si="20">SUM(J7:J25)</f>
        <v>-17748.662254257895</v>
      </c>
      <c r="K26" s="52">
        <f t="shared" si="20"/>
        <v>-18112.728088843662</v>
      </c>
      <c r="L26" s="69"/>
      <c r="M26" s="69"/>
      <c r="N26" s="69"/>
      <c r="O26" s="69"/>
      <c r="P26" s="68">
        <f>SUM(P7:P25)</f>
        <v>2290940.8612399995</v>
      </c>
      <c r="Q26" s="68">
        <f>SUM(Q7:Q25)</f>
        <v>2272828.1331511559</v>
      </c>
      <c r="R26" s="68">
        <f>SUM(R7:R25)</f>
        <v>-18112.728088843807</v>
      </c>
      <c r="S26" s="68">
        <f>SUM(S7:S25)</f>
        <v>2272828.1331511559</v>
      </c>
      <c r="T26" s="68">
        <f>SUM(T7:T25)</f>
        <v>0</v>
      </c>
      <c r="U26" s="68"/>
      <c r="V26" s="68">
        <f>SUM(V7:V25)</f>
        <v>2272828.1331511559</v>
      </c>
      <c r="W26" s="68">
        <f>SUM(W7:W25)</f>
        <v>-18112.728088843807</v>
      </c>
      <c r="X26" s="112">
        <f t="shared" si="10"/>
        <v>0</v>
      </c>
      <c r="Z26" s="110">
        <f>((G26*$D$113*1*References!$C$58)/References!$G$61)-'Company Calc'!L26</f>
        <v>0</v>
      </c>
    </row>
    <row r="27" spans="1:26" s="56" customFormat="1" ht="14.45" customHeight="1">
      <c r="A27" s="193" t="s">
        <v>13</v>
      </c>
      <c r="B27" s="43" t="s">
        <v>180</v>
      </c>
      <c r="C27" s="151" t="s">
        <v>131</v>
      </c>
      <c r="D27" s="150"/>
      <c r="E27" s="65"/>
      <c r="F27" s="20">
        <v>6596.7680295036625</v>
      </c>
      <c r="G27" s="64">
        <f>References!B32</f>
        <v>175</v>
      </c>
      <c r="H27" s="64">
        <f>F27*G27</f>
        <v>1154434.405163141</v>
      </c>
      <c r="I27" s="42">
        <f t="shared" ref="I27:I79" si="21">$D$113*H27</f>
        <v>907088.0648032584</v>
      </c>
      <c r="J27" s="63">
        <f>(References!$C$58*I27)</f>
        <v>-1442.2700230371756</v>
      </c>
      <c r="K27" s="63">
        <f>J27/References!$G$61</f>
        <v>-1471.8542943536847</v>
      </c>
      <c r="L27" s="63">
        <f>K27/F27</f>
        <v>-0.22311748537630879</v>
      </c>
      <c r="M27" s="63">
        <f>'Proposed Rates'!C48</f>
        <v>21.85</v>
      </c>
      <c r="N27" s="63">
        <f t="shared" si="6"/>
        <v>21.626882514623691</v>
      </c>
      <c r="O27" s="63">
        <f>'Proposed Rates'!E48</f>
        <v>21.626882514623691</v>
      </c>
      <c r="P27" s="63">
        <f>F27*M27</f>
        <v>144139.38144465504</v>
      </c>
      <c r="Q27" s="63">
        <f>F27*O27</f>
        <v>142667.52715030135</v>
      </c>
      <c r="R27" s="63">
        <f t="shared" ref="R27:R79" si="22">Q27-P27</f>
        <v>-1471.8542943536886</v>
      </c>
      <c r="S27" s="63">
        <f>F27*N27</f>
        <v>142667.52715030135</v>
      </c>
      <c r="T27" s="63">
        <f t="shared" ref="T27:T79" si="23">Q27-S27</f>
        <v>0</v>
      </c>
      <c r="U27" s="66">
        <f>N27</f>
        <v>21.626882514623691</v>
      </c>
      <c r="V27" s="66">
        <f>F27*U27</f>
        <v>142667.52715030135</v>
      </c>
      <c r="W27" s="66">
        <f t="shared" ref="W27:W79" si="24">V27-P27</f>
        <v>-1471.8542943536886</v>
      </c>
      <c r="X27" s="112">
        <f t="shared" si="10"/>
        <v>0</v>
      </c>
      <c r="Y27" s="110">
        <f t="shared" si="11"/>
        <v>0</v>
      </c>
      <c r="Z27" s="110">
        <f>((G27*$D$113*1*References!$C$58)/References!$G$61)-'Company Calc'!L27</f>
        <v>0</v>
      </c>
    </row>
    <row r="28" spans="1:26" s="56" customFormat="1" ht="14.45" customHeight="1">
      <c r="A28" s="193"/>
      <c r="B28" s="43" t="s">
        <v>180</v>
      </c>
      <c r="C28" s="151" t="s">
        <v>132</v>
      </c>
      <c r="D28" s="150"/>
      <c r="E28" s="65"/>
      <c r="F28" s="20">
        <v>482.79524856063847</v>
      </c>
      <c r="G28" s="64">
        <f>References!B32</f>
        <v>175</v>
      </c>
      <c r="H28" s="64">
        <f t="shared" ref="H28:H79" si="25">F28*G28</f>
        <v>84489.168498111729</v>
      </c>
      <c r="I28" s="42">
        <f t="shared" si="21"/>
        <v>66386.722369867523</v>
      </c>
      <c r="J28" s="63">
        <f>(References!$C$58*I28)</f>
        <v>-105.55488856808897</v>
      </c>
      <c r="K28" s="63">
        <f>J28/References!$G$61</f>
        <v>-107.72006181047961</v>
      </c>
      <c r="L28" s="63">
        <f t="shared" ref="L28:L78" si="26">K28/F28</f>
        <v>-0.22311748537630877</v>
      </c>
      <c r="M28" s="63">
        <f>M27</f>
        <v>21.85</v>
      </c>
      <c r="N28" s="63">
        <f t="shared" si="6"/>
        <v>21.626882514623691</v>
      </c>
      <c r="O28" s="63">
        <f>'Proposed Rates'!E48</f>
        <v>21.626882514623691</v>
      </c>
      <c r="P28" s="63">
        <f t="shared" ref="P28:P78" si="27">F28*M28</f>
        <v>10549.076181049952</v>
      </c>
      <c r="Q28" s="63">
        <f t="shared" ref="Q28:Q78" si="28">F28*O28</f>
        <v>10441.356119239472</v>
      </c>
      <c r="R28" s="63">
        <f t="shared" si="22"/>
        <v>-107.72006181047982</v>
      </c>
      <c r="S28" s="63">
        <f t="shared" ref="S28:S78" si="29">F28*N28</f>
        <v>10441.356119239472</v>
      </c>
      <c r="T28" s="63">
        <f t="shared" si="23"/>
        <v>0</v>
      </c>
      <c r="U28" s="66">
        <f>N28</f>
        <v>21.626882514623691</v>
      </c>
      <c r="V28" s="66">
        <f t="shared" ref="V28:V78" si="30">F28*U28</f>
        <v>10441.356119239472</v>
      </c>
      <c r="W28" s="66">
        <f t="shared" si="24"/>
        <v>-107.72006181047982</v>
      </c>
      <c r="X28" s="112">
        <f t="shared" si="10"/>
        <v>0</v>
      </c>
      <c r="Y28" s="110">
        <f t="shared" si="11"/>
        <v>0</v>
      </c>
      <c r="Z28" s="110">
        <f>((G28*$D$113*1*References!$C$58)/References!$G$61)-'Company Calc'!L28</f>
        <v>0</v>
      </c>
    </row>
    <row r="29" spans="1:26" s="56" customFormat="1" ht="14.45" customHeight="1">
      <c r="A29" s="193"/>
      <c r="B29" s="43" t="s">
        <v>180</v>
      </c>
      <c r="C29" s="151" t="s">
        <v>133</v>
      </c>
      <c r="D29" s="150"/>
      <c r="E29" s="65"/>
      <c r="F29" s="20">
        <v>2231.0739149076517</v>
      </c>
      <c r="G29" s="64">
        <f>References!$B$33</f>
        <v>250</v>
      </c>
      <c r="H29" s="64">
        <f t="shared" si="25"/>
        <v>557768.47872691287</v>
      </c>
      <c r="I29" s="42">
        <f t="shared" si="21"/>
        <v>438262.34536483191</v>
      </c>
      <c r="J29" s="63">
        <f>(References!$C$58*I29)</f>
        <v>-696.83712913008014</v>
      </c>
      <c r="K29" s="63">
        <f>J29/References!$G$61</f>
        <v>-711.13085940410258</v>
      </c>
      <c r="L29" s="63">
        <f t="shared" si="26"/>
        <v>-0.31873926482329817</v>
      </c>
      <c r="M29" s="63">
        <f>'Proposed Rates'!C49</f>
        <v>31.23</v>
      </c>
      <c r="N29" s="63">
        <f t="shared" si="6"/>
        <v>30.911260735176704</v>
      </c>
      <c r="O29" s="63">
        <f>'Proposed Rates'!E49</f>
        <v>30.911260735176704</v>
      </c>
      <c r="P29" s="63">
        <f t="shared" si="27"/>
        <v>69676.438362565968</v>
      </c>
      <c r="Q29" s="63">
        <f t="shared" si="28"/>
        <v>68965.307503161865</v>
      </c>
      <c r="R29" s="63">
        <f t="shared" si="22"/>
        <v>-711.13085940410383</v>
      </c>
      <c r="S29" s="63">
        <f t="shared" si="29"/>
        <v>68965.307503161865</v>
      </c>
      <c r="T29" s="63">
        <f t="shared" si="23"/>
        <v>0</v>
      </c>
      <c r="U29" s="66">
        <f t="shared" ref="U29:U79" si="31">N29</f>
        <v>30.911260735176704</v>
      </c>
      <c r="V29" s="66">
        <f t="shared" si="30"/>
        <v>68965.307503161865</v>
      </c>
      <c r="W29" s="66">
        <f t="shared" si="24"/>
        <v>-711.13085940410383</v>
      </c>
      <c r="X29" s="112">
        <f t="shared" si="10"/>
        <v>0</v>
      </c>
      <c r="Y29" s="110">
        <f t="shared" si="11"/>
        <v>0</v>
      </c>
      <c r="Z29" s="110">
        <f>((G29*$D$113*1*References!$C$58)/References!$G$61)-'Company Calc'!L29</f>
        <v>0</v>
      </c>
    </row>
    <row r="30" spans="1:26" s="56" customFormat="1" ht="14.45" customHeight="1">
      <c r="A30" s="193"/>
      <c r="B30" s="43" t="s">
        <v>180</v>
      </c>
      <c r="C30" s="151" t="s">
        <v>134</v>
      </c>
      <c r="D30" s="150"/>
      <c r="E30" s="65"/>
      <c r="F30" s="20">
        <v>53.042499999999997</v>
      </c>
      <c r="G30" s="64">
        <f>References!$B$33</f>
        <v>250</v>
      </c>
      <c r="H30" s="64">
        <f t="shared" si="25"/>
        <v>13260.625</v>
      </c>
      <c r="I30" s="42">
        <f t="shared" si="21"/>
        <v>10419.435366387812</v>
      </c>
      <c r="J30" s="63">
        <f>(References!$C$58*I30)</f>
        <v>-16.566902232556561</v>
      </c>
      <c r="K30" s="63">
        <f>J30/References!$G$61</f>
        <v>-16.906727454389795</v>
      </c>
      <c r="L30" s="63">
        <f t="shared" si="26"/>
        <v>-0.31873926482329823</v>
      </c>
      <c r="M30" s="63">
        <f>M29</f>
        <v>31.23</v>
      </c>
      <c r="N30" s="63">
        <f t="shared" si="6"/>
        <v>30.911260735176704</v>
      </c>
      <c r="O30" s="63">
        <f>'Proposed Rates'!E49</f>
        <v>30.911260735176704</v>
      </c>
      <c r="P30" s="63">
        <f t="shared" si="27"/>
        <v>1656.5172749999999</v>
      </c>
      <c r="Q30" s="63">
        <f t="shared" si="28"/>
        <v>1639.6105475456102</v>
      </c>
      <c r="R30" s="63">
        <f t="shared" si="22"/>
        <v>-16.906727454389738</v>
      </c>
      <c r="S30" s="63">
        <f t="shared" si="29"/>
        <v>1639.6105475456102</v>
      </c>
      <c r="T30" s="63">
        <f t="shared" si="23"/>
        <v>0</v>
      </c>
      <c r="U30" s="66">
        <f t="shared" si="31"/>
        <v>30.911260735176704</v>
      </c>
      <c r="V30" s="66">
        <f t="shared" si="30"/>
        <v>1639.6105475456102</v>
      </c>
      <c r="W30" s="66">
        <f t="shared" si="24"/>
        <v>-16.906727454389738</v>
      </c>
      <c r="X30" s="112">
        <f t="shared" si="10"/>
        <v>0</v>
      </c>
      <c r="Y30" s="110">
        <f t="shared" si="11"/>
        <v>0</v>
      </c>
      <c r="Z30" s="110">
        <f>((G30*$D$113*1*References!$C$58)/References!$G$61)-'Company Calc'!L30</f>
        <v>0</v>
      </c>
    </row>
    <row r="31" spans="1:26" s="56" customFormat="1" ht="14.45" customHeight="1">
      <c r="A31" s="193"/>
      <c r="B31" s="43" t="s">
        <v>180</v>
      </c>
      <c r="C31" s="151" t="s">
        <v>135</v>
      </c>
      <c r="D31" s="150"/>
      <c r="E31" s="65"/>
      <c r="F31" s="20">
        <v>10.824910747413117</v>
      </c>
      <c r="G31" s="64">
        <f>References!$B$33</f>
        <v>250</v>
      </c>
      <c r="H31" s="64">
        <f t="shared" si="25"/>
        <v>2706.2276868532795</v>
      </c>
      <c r="I31" s="42">
        <f t="shared" si="21"/>
        <v>2126.3978485099265</v>
      </c>
      <c r="J31" s="63">
        <f>(References!$C$58*I31)</f>
        <v>-3.3809725791307708</v>
      </c>
      <c r="K31" s="63">
        <f>J31/References!$G$61</f>
        <v>-3.4503240934082773</v>
      </c>
      <c r="L31" s="63">
        <f t="shared" si="26"/>
        <v>-0.31873926482329829</v>
      </c>
      <c r="M31" s="63">
        <f>M29</f>
        <v>31.23</v>
      </c>
      <c r="N31" s="63">
        <f t="shared" si="6"/>
        <v>30.911260735176704</v>
      </c>
      <c r="O31" s="63">
        <f>'Proposed Rates'!E49</f>
        <v>30.911260735176704</v>
      </c>
      <c r="P31" s="63">
        <f t="shared" si="27"/>
        <v>338.06196264171166</v>
      </c>
      <c r="Q31" s="63">
        <f t="shared" si="28"/>
        <v>334.6116385483034</v>
      </c>
      <c r="R31" s="63">
        <f t="shared" si="22"/>
        <v>-3.4503240934082555</v>
      </c>
      <c r="S31" s="63">
        <f t="shared" si="29"/>
        <v>334.6116385483034</v>
      </c>
      <c r="T31" s="63">
        <f t="shared" si="23"/>
        <v>0</v>
      </c>
      <c r="U31" s="66">
        <f t="shared" si="31"/>
        <v>30.911260735176704</v>
      </c>
      <c r="V31" s="66">
        <f t="shared" si="30"/>
        <v>334.6116385483034</v>
      </c>
      <c r="W31" s="66">
        <f t="shared" si="24"/>
        <v>-3.4503240934082555</v>
      </c>
      <c r="X31" s="112">
        <f t="shared" si="10"/>
        <v>0</v>
      </c>
      <c r="Y31" s="110">
        <f t="shared" si="11"/>
        <v>0</v>
      </c>
      <c r="Z31" s="110">
        <f>((G31*$D$113*1*References!$C$58)/References!$G$61)-'Company Calc'!L31</f>
        <v>0</v>
      </c>
    </row>
    <row r="32" spans="1:26" s="56" customFormat="1" ht="14.45" customHeight="1">
      <c r="A32" s="193"/>
      <c r="B32" s="43" t="s">
        <v>180</v>
      </c>
      <c r="C32" s="151" t="s">
        <v>136</v>
      </c>
      <c r="D32" s="150"/>
      <c r="E32" s="65"/>
      <c r="F32" s="20">
        <v>3798.0030161577233</v>
      </c>
      <c r="G32" s="64">
        <f>References!$B$35</f>
        <v>324</v>
      </c>
      <c r="H32" s="64">
        <f t="shared" si="25"/>
        <v>1230552.9772351023</v>
      </c>
      <c r="I32" s="42">
        <f t="shared" si="21"/>
        <v>966897.65461411071</v>
      </c>
      <c r="J32" s="63">
        <f>(References!$C$58*I32)</f>
        <v>-1537.3672708364304</v>
      </c>
      <c r="K32" s="63">
        <f>J32/References!$G$61</f>
        <v>-1568.9022051601494</v>
      </c>
      <c r="L32" s="63">
        <f t="shared" si="26"/>
        <v>-0.41308608721099449</v>
      </c>
      <c r="M32" s="63">
        <f>'Proposed Rates'!C50</f>
        <v>43.11</v>
      </c>
      <c r="N32" s="63">
        <f>L32+M32</f>
        <v>42.696913912789007</v>
      </c>
      <c r="O32" s="63">
        <f>'Proposed Rates'!E50</f>
        <v>42.696913912789007</v>
      </c>
      <c r="P32" s="63">
        <f t="shared" si="27"/>
        <v>163731.91002655946</v>
      </c>
      <c r="Q32" s="63">
        <f t="shared" si="28"/>
        <v>162163.00782139931</v>
      </c>
      <c r="R32" s="63">
        <f t="shared" si="22"/>
        <v>-1568.9022051601496</v>
      </c>
      <c r="S32" s="63">
        <f t="shared" si="29"/>
        <v>162163.00782139931</v>
      </c>
      <c r="T32" s="63">
        <f t="shared" si="23"/>
        <v>0</v>
      </c>
      <c r="U32" s="66">
        <f t="shared" si="31"/>
        <v>42.696913912789007</v>
      </c>
      <c r="V32" s="66">
        <f t="shared" si="30"/>
        <v>162163.00782139931</v>
      </c>
      <c r="W32" s="66">
        <f t="shared" si="24"/>
        <v>-1568.9022051601496</v>
      </c>
      <c r="X32" s="112">
        <f t="shared" si="10"/>
        <v>0</v>
      </c>
      <c r="Y32" s="110">
        <f t="shared" si="11"/>
        <v>0</v>
      </c>
      <c r="Z32" s="110">
        <f>((G32*$D$113*1*References!$C$58)/References!$G$61)-'Company Calc'!L32</f>
        <v>0</v>
      </c>
    </row>
    <row r="33" spans="1:26" s="56" customFormat="1" ht="14.45" customHeight="1">
      <c r="A33" s="193"/>
      <c r="B33" s="43" t="s">
        <v>180</v>
      </c>
      <c r="C33" s="151" t="s">
        <v>137</v>
      </c>
      <c r="D33" s="150"/>
      <c r="E33" s="65"/>
      <c r="F33" s="20">
        <v>664.65577023421292</v>
      </c>
      <c r="G33" s="64">
        <f>References!$B$35</f>
        <v>324</v>
      </c>
      <c r="H33" s="64">
        <f t="shared" si="25"/>
        <v>215348.46955588498</v>
      </c>
      <c r="I33" s="42">
        <f t="shared" si="21"/>
        <v>169208.42417216965</v>
      </c>
      <c r="J33" s="63">
        <f>(References!$C$58*I33)</f>
        <v>-269.04139443374874</v>
      </c>
      <c r="K33" s="63">
        <f>J33/References!$G$61</f>
        <v>-274.56005146826078</v>
      </c>
      <c r="L33" s="63">
        <f t="shared" si="26"/>
        <v>-0.41308608721099449</v>
      </c>
      <c r="M33" s="63">
        <f>M32</f>
        <v>43.11</v>
      </c>
      <c r="N33" s="63">
        <f t="shared" si="6"/>
        <v>42.696913912789007</v>
      </c>
      <c r="O33" s="63">
        <f>'Proposed Rates'!E50</f>
        <v>42.696913912789007</v>
      </c>
      <c r="P33" s="63">
        <f t="shared" si="27"/>
        <v>28653.310254796917</v>
      </c>
      <c r="Q33" s="63">
        <f t="shared" si="28"/>
        <v>28378.750203328658</v>
      </c>
      <c r="R33" s="63">
        <f t="shared" si="22"/>
        <v>-274.56005146825919</v>
      </c>
      <c r="S33" s="63">
        <f t="shared" si="29"/>
        <v>28378.750203328658</v>
      </c>
      <c r="T33" s="63">
        <f t="shared" si="23"/>
        <v>0</v>
      </c>
      <c r="U33" s="66">
        <f t="shared" si="31"/>
        <v>42.696913912789007</v>
      </c>
      <c r="V33" s="66">
        <f t="shared" si="30"/>
        <v>28378.750203328658</v>
      </c>
      <c r="W33" s="66">
        <f t="shared" si="24"/>
        <v>-274.56005146825919</v>
      </c>
      <c r="X33" s="112">
        <f t="shared" si="10"/>
        <v>0</v>
      </c>
      <c r="Y33" s="110">
        <f t="shared" si="11"/>
        <v>0</v>
      </c>
      <c r="Z33" s="110">
        <f>((G33*$D$113*1*References!$C$58)/References!$G$61)-'Company Calc'!L33</f>
        <v>0</v>
      </c>
    </row>
    <row r="34" spans="1:26" s="56" customFormat="1" ht="14.45" customHeight="1">
      <c r="A34" s="193"/>
      <c r="B34" s="43"/>
      <c r="C34" s="151" t="s">
        <v>138</v>
      </c>
      <c r="D34" s="150"/>
      <c r="E34" s="65"/>
      <c r="F34" s="20">
        <v>54.12506418428152</v>
      </c>
      <c r="G34" s="64">
        <f>References!$B$35</f>
        <v>324</v>
      </c>
      <c r="H34" s="64">
        <f>F34*G34</f>
        <v>17536.520795707213</v>
      </c>
      <c r="I34" s="42">
        <f t="shared" si="21"/>
        <v>13779.188008271636</v>
      </c>
      <c r="J34" s="63">
        <f>(References!$C$58*I34)</f>
        <v>-21.908908933151821</v>
      </c>
      <c r="K34" s="63">
        <f>J34/References!$G$61</f>
        <v>-22.358310983928789</v>
      </c>
      <c r="L34" s="63">
        <f t="shared" si="26"/>
        <v>-0.41308608721099443</v>
      </c>
      <c r="M34" s="63">
        <f>M33</f>
        <v>43.11</v>
      </c>
      <c r="N34" s="63">
        <f t="shared" si="6"/>
        <v>42.696913912789007</v>
      </c>
      <c r="O34" s="63">
        <f>'Proposed Rates'!E50</f>
        <v>42.696913912789007</v>
      </c>
      <c r="P34" s="63">
        <f t="shared" si="27"/>
        <v>2333.3315169843763</v>
      </c>
      <c r="Q34" s="63">
        <f t="shared" si="28"/>
        <v>2310.9732060004476</v>
      </c>
      <c r="R34" s="63">
        <f t="shared" si="22"/>
        <v>-22.358310983928732</v>
      </c>
      <c r="S34" s="63">
        <f t="shared" si="29"/>
        <v>2310.9732060004476</v>
      </c>
      <c r="T34" s="63">
        <f t="shared" si="23"/>
        <v>0</v>
      </c>
      <c r="U34" s="66">
        <f t="shared" si="31"/>
        <v>42.696913912789007</v>
      </c>
      <c r="V34" s="66">
        <f t="shared" si="30"/>
        <v>2310.9732060004476</v>
      </c>
      <c r="W34" s="66">
        <f t="shared" si="24"/>
        <v>-22.358310983928732</v>
      </c>
      <c r="X34" s="112">
        <f t="shared" si="10"/>
        <v>0</v>
      </c>
      <c r="Y34" s="110">
        <f t="shared" si="11"/>
        <v>0</v>
      </c>
      <c r="Z34" s="110">
        <f>((G34*$D$113*1*References!$C$58)/References!$G$61)-'Company Calc'!L34</f>
        <v>0</v>
      </c>
    </row>
    <row r="35" spans="1:26" s="56" customFormat="1" ht="14.45" customHeight="1">
      <c r="A35" s="193"/>
      <c r="B35" s="43"/>
      <c r="C35" s="151" t="s">
        <v>139</v>
      </c>
      <c r="D35" s="150"/>
      <c r="E35" s="65"/>
      <c r="F35" s="20">
        <v>259.79999999999995</v>
      </c>
      <c r="G35" s="64">
        <f>References!$B$35</f>
        <v>324</v>
      </c>
      <c r="H35" s="64">
        <f t="shared" si="25"/>
        <v>84175.199999999983</v>
      </c>
      <c r="I35" s="42">
        <f t="shared" si="21"/>
        <v>66140.024007372747</v>
      </c>
      <c r="J35" s="63">
        <f>(References!$C$58*I35)</f>
        <v>-105.16263817172228</v>
      </c>
      <c r="K35" s="63">
        <f>J35/References!$G$61</f>
        <v>-107.31976545741635</v>
      </c>
      <c r="L35" s="63">
        <f t="shared" si="26"/>
        <v>-0.41308608721099449</v>
      </c>
      <c r="M35" s="63">
        <f>M34</f>
        <v>43.11</v>
      </c>
      <c r="N35" s="63">
        <f t="shared" si="6"/>
        <v>42.696913912789007</v>
      </c>
      <c r="O35" s="63">
        <f>'Proposed Rates'!E50</f>
        <v>42.696913912789007</v>
      </c>
      <c r="P35" s="63">
        <f t="shared" si="27"/>
        <v>11199.977999999997</v>
      </c>
      <c r="Q35" s="63">
        <f t="shared" si="28"/>
        <v>11092.658234542581</v>
      </c>
      <c r="R35" s="63">
        <f t="shared" si="22"/>
        <v>-107.319765457416</v>
      </c>
      <c r="S35" s="63">
        <f t="shared" si="29"/>
        <v>11092.658234542581</v>
      </c>
      <c r="T35" s="63">
        <f t="shared" si="23"/>
        <v>0</v>
      </c>
      <c r="U35" s="66">
        <f t="shared" si="31"/>
        <v>42.696913912789007</v>
      </c>
      <c r="V35" s="66">
        <f t="shared" si="30"/>
        <v>11092.658234542581</v>
      </c>
      <c r="W35" s="66">
        <f t="shared" si="24"/>
        <v>-107.319765457416</v>
      </c>
      <c r="X35" s="112">
        <f t="shared" si="10"/>
        <v>0</v>
      </c>
      <c r="Y35" s="110">
        <f t="shared" si="11"/>
        <v>0</v>
      </c>
      <c r="Z35" s="110">
        <f>((G35*$D$113*1*References!$C$58)/References!$G$61)-'Company Calc'!L35</f>
        <v>0</v>
      </c>
    </row>
    <row r="36" spans="1:26" s="56" customFormat="1" ht="14.45" customHeight="1">
      <c r="A36" s="193"/>
      <c r="B36" s="43" t="s">
        <v>180</v>
      </c>
      <c r="C36" s="151" t="s">
        <v>140</v>
      </c>
      <c r="D36" s="150"/>
      <c r="E36" s="65"/>
      <c r="F36" s="20">
        <v>916.87804120858766</v>
      </c>
      <c r="G36" s="64">
        <f>References!B36</f>
        <v>473</v>
      </c>
      <c r="H36" s="64">
        <f t="shared" si="25"/>
        <v>433683.31349166197</v>
      </c>
      <c r="I36" s="42">
        <f t="shared" si="21"/>
        <v>340763.36932891741</v>
      </c>
      <c r="J36" s="63">
        <f>(References!$C$58*I36)</f>
        <v>-541.81375723297674</v>
      </c>
      <c r="K36" s="63">
        <f>J36/References!$G$61</f>
        <v>-552.92760203385728</v>
      </c>
      <c r="L36" s="63">
        <f t="shared" si="26"/>
        <v>-0.60305468904568027</v>
      </c>
      <c r="M36" s="63">
        <f>'Proposed Rates'!C51</f>
        <v>57.29</v>
      </c>
      <c r="N36" s="63">
        <f t="shared" si="6"/>
        <v>56.686945310954322</v>
      </c>
      <c r="O36" s="63">
        <f>'Proposed Rates'!E51</f>
        <v>56.686945310954322</v>
      </c>
      <c r="P36" s="63">
        <f t="shared" si="27"/>
        <v>52527.942980839987</v>
      </c>
      <c r="Q36" s="63">
        <f t="shared" si="28"/>
        <v>51975.015378806129</v>
      </c>
      <c r="R36" s="63">
        <f t="shared" si="22"/>
        <v>-552.92760203385842</v>
      </c>
      <c r="S36" s="63">
        <f t="shared" si="29"/>
        <v>51975.015378806129</v>
      </c>
      <c r="T36" s="63">
        <f t="shared" si="23"/>
        <v>0</v>
      </c>
      <c r="U36" s="66">
        <f t="shared" si="31"/>
        <v>56.686945310954322</v>
      </c>
      <c r="V36" s="66">
        <f t="shared" si="30"/>
        <v>51975.015378806129</v>
      </c>
      <c r="W36" s="66">
        <f t="shared" si="24"/>
        <v>-552.92760203385842</v>
      </c>
      <c r="X36" s="112">
        <f t="shared" si="10"/>
        <v>0</v>
      </c>
      <c r="Y36" s="110">
        <f t="shared" si="11"/>
        <v>0</v>
      </c>
      <c r="Z36" s="110">
        <f>((G36*$D$113*1*References!$C$58)/References!$G$61)-'Company Calc'!L36</f>
        <v>0</v>
      </c>
    </row>
    <row r="37" spans="1:26" s="56" customFormat="1" ht="14.45" customHeight="1">
      <c r="A37" s="193"/>
      <c r="B37" s="43" t="s">
        <v>180</v>
      </c>
      <c r="C37" s="151" t="s">
        <v>141</v>
      </c>
      <c r="D37" s="150"/>
      <c r="E37" s="65"/>
      <c r="F37" s="20">
        <v>18.402597636872017</v>
      </c>
      <c r="G37" s="64">
        <f>References!B36</f>
        <v>473</v>
      </c>
      <c r="H37" s="64">
        <f t="shared" si="25"/>
        <v>8704.4286822404647</v>
      </c>
      <c r="I37" s="42">
        <f t="shared" si="21"/>
        <v>6839.4387184568423</v>
      </c>
      <c r="J37" s="63">
        <f>(References!$C$58*I37)</f>
        <v>-10.874707562346339</v>
      </c>
      <c r="K37" s="63">
        <f>J37/References!$G$61</f>
        <v>-11.097772795536626</v>
      </c>
      <c r="L37" s="63">
        <f t="shared" si="26"/>
        <v>-0.60305468904568038</v>
      </c>
      <c r="M37" s="63">
        <f>M36</f>
        <v>57.29</v>
      </c>
      <c r="N37" s="63">
        <f t="shared" si="6"/>
        <v>56.686945310954322</v>
      </c>
      <c r="O37" s="63">
        <f>'Proposed Rates'!E51</f>
        <v>56.686945310954322</v>
      </c>
      <c r="P37" s="63">
        <f t="shared" si="27"/>
        <v>1054.2848186163978</v>
      </c>
      <c r="Q37" s="63">
        <f t="shared" si="28"/>
        <v>1043.1870458208612</v>
      </c>
      <c r="R37" s="63">
        <f t="shared" si="22"/>
        <v>-11.097772795536684</v>
      </c>
      <c r="S37" s="63">
        <f t="shared" si="29"/>
        <v>1043.1870458208612</v>
      </c>
      <c r="T37" s="63">
        <f t="shared" si="23"/>
        <v>0</v>
      </c>
      <c r="U37" s="66">
        <f t="shared" si="31"/>
        <v>56.686945310954322</v>
      </c>
      <c r="V37" s="66">
        <f t="shared" si="30"/>
        <v>1043.1870458208612</v>
      </c>
      <c r="W37" s="66">
        <f t="shared" si="24"/>
        <v>-11.097772795536684</v>
      </c>
      <c r="X37" s="112">
        <f t="shared" si="10"/>
        <v>0</v>
      </c>
      <c r="Y37" s="110">
        <f t="shared" si="11"/>
        <v>0</v>
      </c>
      <c r="Z37" s="110">
        <f>((G37*$D$113*1*References!$C$58)/References!$G$61)-'Company Calc'!L37</f>
        <v>0</v>
      </c>
    </row>
    <row r="38" spans="1:26" s="56" customFormat="1" ht="14.45" customHeight="1">
      <c r="A38" s="193"/>
      <c r="B38" s="43" t="s">
        <v>180</v>
      </c>
      <c r="C38" s="151" t="s">
        <v>142</v>
      </c>
      <c r="D38" s="150"/>
      <c r="E38" s="65"/>
      <c r="F38" s="20">
        <v>2363.747980248696</v>
      </c>
      <c r="G38" s="64">
        <f>References!B38</f>
        <v>613</v>
      </c>
      <c r="H38" s="64">
        <f t="shared" si="25"/>
        <v>1448977.5118924507</v>
      </c>
      <c r="I38" s="42">
        <f t="shared" si="21"/>
        <v>1138523.073574045</v>
      </c>
      <c r="J38" s="63">
        <f>(References!$C$58*I38)</f>
        <v>-1810.251686982725</v>
      </c>
      <c r="K38" s="63">
        <f>J38/References!$G$61</f>
        <v>-1847.3841075443668</v>
      </c>
      <c r="L38" s="63">
        <f t="shared" si="26"/>
        <v>-0.78154867734672739</v>
      </c>
      <c r="M38" s="63">
        <f>'Proposed Rates'!C52</f>
        <v>78.27</v>
      </c>
      <c r="N38" s="63">
        <f t="shared" si="6"/>
        <v>77.488451322653262</v>
      </c>
      <c r="O38" s="63">
        <f>'Proposed Rates'!E52</f>
        <v>77.488451322653262</v>
      </c>
      <c r="P38" s="63">
        <f t="shared" si="27"/>
        <v>185010.55441406544</v>
      </c>
      <c r="Q38" s="63">
        <f t="shared" si="28"/>
        <v>183163.17030652103</v>
      </c>
      <c r="R38" s="63">
        <f t="shared" si="22"/>
        <v>-1847.384107544407</v>
      </c>
      <c r="S38" s="63">
        <f t="shared" si="29"/>
        <v>183163.17030652103</v>
      </c>
      <c r="T38" s="63">
        <f t="shared" si="23"/>
        <v>0</v>
      </c>
      <c r="U38" s="66">
        <f t="shared" si="31"/>
        <v>77.488451322653262</v>
      </c>
      <c r="V38" s="66">
        <f t="shared" si="30"/>
        <v>183163.17030652103</v>
      </c>
      <c r="W38" s="66">
        <f t="shared" si="24"/>
        <v>-1847.384107544407</v>
      </c>
      <c r="X38" s="112">
        <f t="shared" si="10"/>
        <v>0</v>
      </c>
      <c r="Y38" s="110">
        <f t="shared" si="11"/>
        <v>0</v>
      </c>
      <c r="Z38" s="110">
        <f>((G38*$D$113*1*References!$C$58)/References!$G$61)-'Company Calc'!L38</f>
        <v>0</v>
      </c>
    </row>
    <row r="39" spans="1:26" s="56" customFormat="1" ht="14.45" customHeight="1">
      <c r="A39" s="193"/>
      <c r="B39" s="43" t="s">
        <v>180</v>
      </c>
      <c r="C39" s="151" t="s">
        <v>143</v>
      </c>
      <c r="D39" s="150"/>
      <c r="E39" s="65"/>
      <c r="F39" s="20">
        <v>8.66</v>
      </c>
      <c r="G39" s="64">
        <f>References!$B$40</f>
        <v>840</v>
      </c>
      <c r="H39" s="64">
        <f t="shared" si="25"/>
        <v>7274.4000000000005</v>
      </c>
      <c r="I39" s="42">
        <f t="shared" si="21"/>
        <v>5715.804543847029</v>
      </c>
      <c r="J39" s="63">
        <f>(References!$C$58*I39)</f>
        <v>-9.0881292247167433</v>
      </c>
      <c r="K39" s="63">
        <f>J39/References!$G$61</f>
        <v>-9.2745476321224043</v>
      </c>
      <c r="L39" s="63">
        <f t="shared" si="26"/>
        <v>-1.0709639298062823</v>
      </c>
      <c r="M39" s="63">
        <f>'Proposed Rates'!C53</f>
        <v>109.42</v>
      </c>
      <c r="N39" s="63">
        <f t="shared" si="6"/>
        <v>108.34903607019372</v>
      </c>
      <c r="O39" s="63">
        <f>'Proposed Rates'!E53</f>
        <v>108.34903607019372</v>
      </c>
      <c r="P39" s="63">
        <f t="shared" si="27"/>
        <v>947.57720000000006</v>
      </c>
      <c r="Q39" s="63">
        <f t="shared" si="28"/>
        <v>938.30265236787761</v>
      </c>
      <c r="R39" s="63">
        <f t="shared" si="22"/>
        <v>-9.2745476321224487</v>
      </c>
      <c r="S39" s="63">
        <f t="shared" si="29"/>
        <v>938.30265236787761</v>
      </c>
      <c r="T39" s="63">
        <f t="shared" si="23"/>
        <v>0</v>
      </c>
      <c r="U39" s="66">
        <f t="shared" si="31"/>
        <v>108.34903607019372</v>
      </c>
      <c r="V39" s="66">
        <f t="shared" si="30"/>
        <v>938.30265236787761</v>
      </c>
      <c r="W39" s="66">
        <f t="shared" si="24"/>
        <v>-9.2745476321224487</v>
      </c>
      <c r="X39" s="112">
        <f t="shared" si="10"/>
        <v>0</v>
      </c>
      <c r="Y39" s="110">
        <f t="shared" si="11"/>
        <v>0</v>
      </c>
      <c r="Z39" s="110">
        <f>((G39*$D$113*1*References!$C$58)/References!$G$61)-'Company Calc'!L39</f>
        <v>0</v>
      </c>
    </row>
    <row r="40" spans="1:26" s="56" customFormat="1" ht="14.45" customHeight="1">
      <c r="A40" s="193"/>
      <c r="B40" s="43" t="s">
        <v>180</v>
      </c>
      <c r="C40" s="151" t="s">
        <v>144</v>
      </c>
      <c r="D40" s="150"/>
      <c r="E40" s="65"/>
      <c r="F40" s="20">
        <v>155.88</v>
      </c>
      <c r="G40" s="64">
        <f>References!$B$40</f>
        <v>840</v>
      </c>
      <c r="H40" s="64">
        <f t="shared" si="25"/>
        <v>130939.2</v>
      </c>
      <c r="I40" s="42">
        <f t="shared" si="21"/>
        <v>102884.48178924651</v>
      </c>
      <c r="J40" s="63">
        <f>(References!$C$58*I40)</f>
        <v>-163.58632604490134</v>
      </c>
      <c r="K40" s="63">
        <f>J40/References!$G$61</f>
        <v>-166.94185737820322</v>
      </c>
      <c r="L40" s="63">
        <f t="shared" si="26"/>
        <v>-1.0709639298062819</v>
      </c>
      <c r="M40" s="63">
        <f>M39</f>
        <v>109.42</v>
      </c>
      <c r="N40" s="63">
        <f t="shared" si="6"/>
        <v>108.34903607019372</v>
      </c>
      <c r="O40" s="63">
        <f>'Proposed Rates'!E53</f>
        <v>108.34903607019372</v>
      </c>
      <c r="P40" s="63">
        <f t="shared" si="27"/>
        <v>17056.389599999999</v>
      </c>
      <c r="Q40" s="63">
        <f t="shared" si="28"/>
        <v>16889.447742621796</v>
      </c>
      <c r="R40" s="63">
        <f t="shared" si="22"/>
        <v>-166.94185737820226</v>
      </c>
      <c r="S40" s="63">
        <f t="shared" si="29"/>
        <v>16889.447742621796</v>
      </c>
      <c r="T40" s="63">
        <f t="shared" si="23"/>
        <v>0</v>
      </c>
      <c r="U40" s="66">
        <f t="shared" si="31"/>
        <v>108.34903607019372</v>
      </c>
      <c r="V40" s="66">
        <f t="shared" si="30"/>
        <v>16889.447742621796</v>
      </c>
      <c r="W40" s="66">
        <f t="shared" si="24"/>
        <v>-166.94185737820226</v>
      </c>
      <c r="X40" s="112">
        <f t="shared" si="10"/>
        <v>0</v>
      </c>
      <c r="Y40" s="110">
        <f t="shared" si="11"/>
        <v>0</v>
      </c>
      <c r="Z40" s="110">
        <f>((G40*$D$113*1*References!$C$58)/References!$G$61)-'Company Calc'!L40</f>
        <v>0</v>
      </c>
    </row>
    <row r="41" spans="1:26" s="56" customFormat="1" ht="14.45" customHeight="1">
      <c r="A41" s="193"/>
      <c r="B41" s="43" t="s">
        <v>180</v>
      </c>
      <c r="C41" s="151" t="s">
        <v>144</v>
      </c>
      <c r="D41" s="150"/>
      <c r="E41" s="65"/>
      <c r="F41" s="20">
        <v>1073.2114189030958</v>
      </c>
      <c r="G41" s="64">
        <f>References!$B$40</f>
        <v>840</v>
      </c>
      <c r="H41" s="64">
        <f t="shared" si="25"/>
        <v>901497.59187860053</v>
      </c>
      <c r="I41" s="42">
        <f t="shared" si="21"/>
        <v>708344.88506637781</v>
      </c>
      <c r="J41" s="63">
        <f>(References!$C$58*I41)</f>
        <v>-1126.2683672555365</v>
      </c>
      <c r="K41" s="63">
        <f>J41/References!$G$61</f>
        <v>-1149.3707187014354</v>
      </c>
      <c r="L41" s="63">
        <f t="shared" si="26"/>
        <v>-1.0709639298062821</v>
      </c>
      <c r="M41" s="63">
        <f>M40</f>
        <v>109.42</v>
      </c>
      <c r="N41" s="63">
        <f t="shared" si="6"/>
        <v>108.34903607019372</v>
      </c>
      <c r="O41" s="63">
        <f>'Proposed Rates'!E53</f>
        <v>108.34903607019372</v>
      </c>
      <c r="P41" s="63">
        <f t="shared" si="27"/>
        <v>117430.79345637675</v>
      </c>
      <c r="Q41" s="63">
        <f t="shared" si="28"/>
        <v>116281.42273767531</v>
      </c>
      <c r="R41" s="63">
        <f t="shared" si="22"/>
        <v>-1149.370718701437</v>
      </c>
      <c r="S41" s="63">
        <f t="shared" si="29"/>
        <v>116281.42273767531</v>
      </c>
      <c r="T41" s="63">
        <f t="shared" si="23"/>
        <v>0</v>
      </c>
      <c r="U41" s="66">
        <f t="shared" si="31"/>
        <v>108.34903607019372</v>
      </c>
      <c r="V41" s="66">
        <f t="shared" si="30"/>
        <v>116281.42273767531</v>
      </c>
      <c r="W41" s="66">
        <f t="shared" si="24"/>
        <v>-1149.370718701437</v>
      </c>
      <c r="X41" s="112">
        <f t="shared" si="10"/>
        <v>0</v>
      </c>
      <c r="Y41" s="110">
        <f t="shared" si="11"/>
        <v>0</v>
      </c>
      <c r="Z41" s="110">
        <f>((G41*$D$113*1*References!$C$58)/References!$G$61)-'Company Calc'!L41</f>
        <v>0</v>
      </c>
    </row>
    <row r="42" spans="1:26" s="56" customFormat="1" ht="14.45" customHeight="1">
      <c r="A42" s="193"/>
      <c r="B42" s="43" t="s">
        <v>180</v>
      </c>
      <c r="C42" s="151" t="s">
        <v>145</v>
      </c>
      <c r="D42" s="150"/>
      <c r="E42" s="65"/>
      <c r="F42" s="20">
        <v>51.96</v>
      </c>
      <c r="G42" s="64">
        <f>References!B42</f>
        <v>980</v>
      </c>
      <c r="H42" s="64">
        <f t="shared" si="25"/>
        <v>50920.800000000003</v>
      </c>
      <c r="I42" s="42">
        <f t="shared" si="21"/>
        <v>40010.631806929203</v>
      </c>
      <c r="J42" s="63">
        <f>(References!$C$58*I42)</f>
        <v>-63.616904573017202</v>
      </c>
      <c r="K42" s="63">
        <f>J42/References!$G$61</f>
        <v>-64.921833424856828</v>
      </c>
      <c r="L42" s="63">
        <f t="shared" si="26"/>
        <v>-1.2494579181073293</v>
      </c>
      <c r="M42" s="63">
        <f>'Proposed Rates'!C54</f>
        <v>146.63</v>
      </c>
      <c r="N42" s="63">
        <f t="shared" si="6"/>
        <v>145.38054208189266</v>
      </c>
      <c r="O42" s="63">
        <f>'Proposed Rates'!E54</f>
        <v>145.38054208189266</v>
      </c>
      <c r="P42" s="63">
        <f t="shared" si="27"/>
        <v>7618.8948</v>
      </c>
      <c r="Q42" s="63">
        <f t="shared" si="28"/>
        <v>7553.9729665751429</v>
      </c>
      <c r="R42" s="63">
        <f t="shared" si="22"/>
        <v>-64.921833424857141</v>
      </c>
      <c r="S42" s="63">
        <f t="shared" si="29"/>
        <v>7553.9729665751429</v>
      </c>
      <c r="T42" s="63">
        <f t="shared" si="23"/>
        <v>0</v>
      </c>
      <c r="U42" s="66">
        <f t="shared" si="31"/>
        <v>145.38054208189266</v>
      </c>
      <c r="V42" s="66">
        <f t="shared" si="30"/>
        <v>7553.9729665751429</v>
      </c>
      <c r="W42" s="66">
        <f t="shared" si="24"/>
        <v>-64.921833424857141</v>
      </c>
      <c r="X42" s="112">
        <f t="shared" si="10"/>
        <v>0</v>
      </c>
      <c r="Y42" s="110">
        <f t="shared" si="11"/>
        <v>0</v>
      </c>
      <c r="Z42" s="110">
        <f>((G42*$D$113*1*References!$C$58)/References!$G$61)-'Company Calc'!L42</f>
        <v>0</v>
      </c>
    </row>
    <row r="43" spans="1:26" s="56" customFormat="1" ht="14.45" customHeight="1">
      <c r="A43" s="193"/>
      <c r="B43" s="43" t="s">
        <v>180</v>
      </c>
      <c r="C43" s="151" t="s">
        <v>146</v>
      </c>
      <c r="D43" s="150"/>
      <c r="E43" s="65"/>
      <c r="F43" s="20">
        <v>699.29552206414292</v>
      </c>
      <c r="G43" s="64">
        <f>References!B32</f>
        <v>175</v>
      </c>
      <c r="H43" s="64">
        <f t="shared" si="25"/>
        <v>122376.71636122502</v>
      </c>
      <c r="I43" s="42">
        <f t="shared" si="21"/>
        <v>96156.575310481814</v>
      </c>
      <c r="J43" s="63">
        <f>(References!$C$58*I43)</f>
        <v>-152.88895474366552</v>
      </c>
      <c r="K43" s="63">
        <f>J43/References!$G$61</f>
        <v>-156.02505841786461</v>
      </c>
      <c r="L43" s="63">
        <f t="shared" si="26"/>
        <v>-0.22311748537630877</v>
      </c>
      <c r="M43" s="63">
        <f>M27</f>
        <v>21.85</v>
      </c>
      <c r="N43" s="63">
        <f t="shared" si="6"/>
        <v>21.626882514623691</v>
      </c>
      <c r="O43" s="63">
        <f>'Proposed Rates'!E48</f>
        <v>21.626882514623691</v>
      </c>
      <c r="P43" s="63">
        <f t="shared" si="27"/>
        <v>15279.607157101524</v>
      </c>
      <c r="Q43" s="63">
        <f t="shared" si="28"/>
        <v>15123.582098683659</v>
      </c>
      <c r="R43" s="63">
        <f t="shared" si="22"/>
        <v>-156.02505841786478</v>
      </c>
      <c r="S43" s="63">
        <f t="shared" si="29"/>
        <v>15123.582098683659</v>
      </c>
      <c r="T43" s="63">
        <f t="shared" si="23"/>
        <v>0</v>
      </c>
      <c r="U43" s="66">
        <f t="shared" si="31"/>
        <v>21.626882514623691</v>
      </c>
      <c r="V43" s="66">
        <f t="shared" si="30"/>
        <v>15123.582098683659</v>
      </c>
      <c r="W43" s="66">
        <f t="shared" si="24"/>
        <v>-156.02505841786478</v>
      </c>
      <c r="X43" s="112">
        <f t="shared" si="10"/>
        <v>0</v>
      </c>
      <c r="Y43" s="110">
        <f t="shared" si="11"/>
        <v>0</v>
      </c>
      <c r="Z43" s="110">
        <f>((G43*$D$113*1*References!$C$58)/References!$G$61)-'Company Calc'!L43</f>
        <v>0</v>
      </c>
    </row>
    <row r="44" spans="1:26" s="56" customFormat="1" ht="14.45" customHeight="1">
      <c r="A44" s="193"/>
      <c r="B44" s="43" t="s">
        <v>180</v>
      </c>
      <c r="C44" s="151" t="s">
        <v>147</v>
      </c>
      <c r="D44" s="150"/>
      <c r="E44" s="65"/>
      <c r="F44" s="20">
        <v>3254.000625600188</v>
      </c>
      <c r="G44" s="64">
        <f>References!B32</f>
        <v>175</v>
      </c>
      <c r="H44" s="64">
        <f t="shared" si="25"/>
        <v>569450.10948003293</v>
      </c>
      <c r="I44" s="42">
        <f t="shared" si="21"/>
        <v>447441.09799573303</v>
      </c>
      <c r="J44" s="63">
        <f>(References!$C$58*I44)</f>
        <v>-711.43134581321294</v>
      </c>
      <c r="K44" s="63">
        <f>J44/References!$G$61</f>
        <v>-726.02443699684966</v>
      </c>
      <c r="L44" s="63">
        <f t="shared" si="26"/>
        <v>-0.22311748537630882</v>
      </c>
      <c r="M44" s="63">
        <f>M27</f>
        <v>21.85</v>
      </c>
      <c r="N44" s="63">
        <f t="shared" si="6"/>
        <v>21.626882514623691</v>
      </c>
      <c r="O44" s="63">
        <f>'Proposed Rates'!E48</f>
        <v>21.626882514623691</v>
      </c>
      <c r="P44" s="63">
        <f t="shared" si="27"/>
        <v>71099.913669364105</v>
      </c>
      <c r="Q44" s="63">
        <f t="shared" si="28"/>
        <v>70373.889232367263</v>
      </c>
      <c r="R44" s="63">
        <f t="shared" si="22"/>
        <v>-726.02443699684227</v>
      </c>
      <c r="S44" s="63">
        <f t="shared" si="29"/>
        <v>70373.889232367263</v>
      </c>
      <c r="T44" s="63">
        <f t="shared" si="23"/>
        <v>0</v>
      </c>
      <c r="U44" s="66">
        <f t="shared" si="31"/>
        <v>21.626882514623691</v>
      </c>
      <c r="V44" s="66">
        <f t="shared" si="30"/>
        <v>70373.889232367263</v>
      </c>
      <c r="W44" s="66">
        <f t="shared" si="24"/>
        <v>-726.02443699684227</v>
      </c>
      <c r="X44" s="112">
        <f t="shared" si="10"/>
        <v>0</v>
      </c>
      <c r="Y44" s="110">
        <f t="shared" si="11"/>
        <v>0</v>
      </c>
      <c r="Z44" s="110">
        <f>((G44*$D$113*1*References!$C$58)/References!$G$61)-'Company Calc'!L44</f>
        <v>0</v>
      </c>
    </row>
    <row r="45" spans="1:26" s="56" customFormat="1" ht="14.45" customHeight="1">
      <c r="A45" s="193"/>
      <c r="B45" s="43" t="s">
        <v>180</v>
      </c>
      <c r="C45" s="151" t="s">
        <v>148</v>
      </c>
      <c r="D45" s="150"/>
      <c r="E45" s="65"/>
      <c r="F45" s="20">
        <v>110.41499999999999</v>
      </c>
      <c r="G45" s="64">
        <f>References!B33</f>
        <v>250</v>
      </c>
      <c r="H45" s="64">
        <f t="shared" si="25"/>
        <v>27603.749999999996</v>
      </c>
      <c r="I45" s="42">
        <f t="shared" si="21"/>
        <v>21689.436885133811</v>
      </c>
      <c r="J45" s="63">
        <f>(References!$C$58*I45)</f>
        <v>-34.486204647362634</v>
      </c>
      <c r="K45" s="63">
        <f>J45/References!$G$61</f>
        <v>-35.193595925464471</v>
      </c>
      <c r="L45" s="63">
        <f t="shared" si="26"/>
        <v>-0.31873926482329823</v>
      </c>
      <c r="M45" s="63">
        <f>M29</f>
        <v>31.23</v>
      </c>
      <c r="N45" s="63">
        <f t="shared" si="6"/>
        <v>30.911260735176704</v>
      </c>
      <c r="O45" s="63">
        <f>'Proposed Rates'!E49</f>
        <v>30.911260735176704</v>
      </c>
      <c r="P45" s="63">
        <f t="shared" si="27"/>
        <v>3448.2604499999998</v>
      </c>
      <c r="Q45" s="63">
        <f t="shared" si="28"/>
        <v>3413.0668540745355</v>
      </c>
      <c r="R45" s="63">
        <f t="shared" si="22"/>
        <v>-35.193595925464251</v>
      </c>
      <c r="S45" s="63">
        <f t="shared" si="29"/>
        <v>3413.0668540745355</v>
      </c>
      <c r="T45" s="63">
        <f t="shared" si="23"/>
        <v>0</v>
      </c>
      <c r="U45" s="66">
        <f t="shared" si="31"/>
        <v>30.911260735176704</v>
      </c>
      <c r="V45" s="66">
        <f t="shared" si="30"/>
        <v>3413.0668540745355</v>
      </c>
      <c r="W45" s="66">
        <f t="shared" si="24"/>
        <v>-35.193595925464251</v>
      </c>
      <c r="X45" s="112">
        <f t="shared" si="10"/>
        <v>0</v>
      </c>
      <c r="Y45" s="110">
        <f t="shared" si="11"/>
        <v>0</v>
      </c>
      <c r="Z45" s="110">
        <f>((G45*$D$113*1*References!$C$58)/References!$G$61)-'Company Calc'!L45</f>
        <v>0</v>
      </c>
    </row>
    <row r="46" spans="1:26" s="56" customFormat="1" ht="14.45" customHeight="1">
      <c r="A46" s="193"/>
      <c r="B46" s="43" t="s">
        <v>180</v>
      </c>
      <c r="C46" s="151" t="s">
        <v>149</v>
      </c>
      <c r="D46" s="150"/>
      <c r="E46" s="65"/>
      <c r="F46" s="20">
        <v>676.56286601859665</v>
      </c>
      <c r="G46" s="64">
        <f>References!B33</f>
        <v>250</v>
      </c>
      <c r="H46" s="64">
        <f t="shared" si="25"/>
        <v>169140.71650464917</v>
      </c>
      <c r="I46" s="42">
        <f t="shared" si="21"/>
        <v>132901.03320505001</v>
      </c>
      <c r="J46" s="63">
        <f>(References!$C$58*I46)</f>
        <v>-211.31264279602874</v>
      </c>
      <c r="K46" s="63">
        <f>J46/References!$G$61</f>
        <v>-215.64715052151112</v>
      </c>
      <c r="L46" s="63">
        <f t="shared" si="26"/>
        <v>-0.31873926482329823</v>
      </c>
      <c r="M46" s="63">
        <f>M29</f>
        <v>31.23</v>
      </c>
      <c r="N46" s="63">
        <f t="shared" si="6"/>
        <v>30.911260735176704</v>
      </c>
      <c r="O46" s="63">
        <f>'Proposed Rates'!E49</f>
        <v>30.911260735176704</v>
      </c>
      <c r="P46" s="63">
        <f t="shared" si="27"/>
        <v>21129.058305760773</v>
      </c>
      <c r="Q46" s="63">
        <f t="shared" si="28"/>
        <v>20913.411155239264</v>
      </c>
      <c r="R46" s="63">
        <f t="shared" si="22"/>
        <v>-215.64715052150859</v>
      </c>
      <c r="S46" s="63">
        <f t="shared" si="29"/>
        <v>20913.411155239264</v>
      </c>
      <c r="T46" s="63">
        <f t="shared" si="23"/>
        <v>0</v>
      </c>
      <c r="U46" s="66">
        <f t="shared" si="31"/>
        <v>30.911260735176704</v>
      </c>
      <c r="V46" s="66">
        <f t="shared" si="30"/>
        <v>20913.411155239264</v>
      </c>
      <c r="W46" s="66">
        <f t="shared" si="24"/>
        <v>-215.64715052150859</v>
      </c>
      <c r="X46" s="112">
        <f t="shared" si="10"/>
        <v>0</v>
      </c>
      <c r="Y46" s="110">
        <f t="shared" si="11"/>
        <v>0</v>
      </c>
      <c r="Z46" s="110">
        <f>((G46*$D$113*1*References!$C$58)/References!$G$61)-'Company Calc'!L46</f>
        <v>0</v>
      </c>
    </row>
    <row r="47" spans="1:26" s="56" customFormat="1" ht="14.45" customHeight="1">
      <c r="A47" s="193"/>
      <c r="B47" s="43" t="s">
        <v>362</v>
      </c>
      <c r="C47" s="151" t="s">
        <v>150</v>
      </c>
      <c r="D47" s="150"/>
      <c r="E47" s="65"/>
      <c r="F47" s="20">
        <v>187.27263145112329</v>
      </c>
      <c r="G47" s="64">
        <f>References!B35</f>
        <v>324</v>
      </c>
      <c r="H47" s="64">
        <f t="shared" si="25"/>
        <v>60676.332590163947</v>
      </c>
      <c r="I47" s="42">
        <f t="shared" si="21"/>
        <v>47675.967436879007</v>
      </c>
      <c r="J47" s="63">
        <f>(References!$C$58*I47)</f>
        <v>-75.804788224637349</v>
      </c>
      <c r="K47" s="63">
        <f>J47/References!$G$61</f>
        <v>-77.359718567851161</v>
      </c>
      <c r="L47" s="63">
        <f t="shared" si="26"/>
        <v>-0.4130860872109946</v>
      </c>
      <c r="M47" s="63">
        <f>M32</f>
        <v>43.11</v>
      </c>
      <c r="N47" s="63">
        <f t="shared" si="6"/>
        <v>42.696913912789007</v>
      </c>
      <c r="O47" s="63">
        <f>'Proposed Rates'!E50</f>
        <v>42.696913912789007</v>
      </c>
      <c r="P47" s="63">
        <f t="shared" si="27"/>
        <v>8073.3231418579253</v>
      </c>
      <c r="Q47" s="63">
        <f t="shared" si="28"/>
        <v>7995.9634232900744</v>
      </c>
      <c r="R47" s="63">
        <f t="shared" si="22"/>
        <v>-77.359718567850905</v>
      </c>
      <c r="S47" s="63">
        <f t="shared" si="29"/>
        <v>7995.9634232900744</v>
      </c>
      <c r="T47" s="63">
        <f t="shared" si="23"/>
        <v>0</v>
      </c>
      <c r="U47" s="66">
        <f t="shared" si="31"/>
        <v>42.696913912789007</v>
      </c>
      <c r="V47" s="66">
        <f t="shared" si="30"/>
        <v>7995.9634232900744</v>
      </c>
      <c r="W47" s="66">
        <f t="shared" si="24"/>
        <v>-77.359718567850905</v>
      </c>
      <c r="X47" s="112">
        <f t="shared" si="10"/>
        <v>0</v>
      </c>
      <c r="Y47" s="110">
        <f t="shared" si="11"/>
        <v>0</v>
      </c>
      <c r="Z47" s="110">
        <f>((G47*$D$113*1*References!$C$58)/References!$G$61)-'Company Calc'!L47</f>
        <v>0</v>
      </c>
    </row>
    <row r="48" spans="1:26" s="56" customFormat="1" ht="14.45" customHeight="1">
      <c r="A48" s="193"/>
      <c r="B48" s="43" t="s">
        <v>362</v>
      </c>
      <c r="C48" s="151" t="s">
        <v>151</v>
      </c>
      <c r="D48" s="150"/>
      <c r="E48" s="65"/>
      <c r="F48" s="20">
        <v>832.82673763660137</v>
      </c>
      <c r="G48" s="64">
        <f>References!B35</f>
        <v>324</v>
      </c>
      <c r="H48" s="64">
        <f t="shared" si="25"/>
        <v>269835.86299425882</v>
      </c>
      <c r="I48" s="42">
        <f t="shared" si="21"/>
        <v>212021.4796815502</v>
      </c>
      <c r="J48" s="63">
        <f>(References!$C$58*I48)</f>
        <v>-337.11415269366358</v>
      </c>
      <c r="K48" s="63">
        <f>J48/References!$G$61</f>
        <v>-344.02913837500108</v>
      </c>
      <c r="L48" s="63">
        <f t="shared" si="26"/>
        <v>-0.41308608721099443</v>
      </c>
      <c r="M48" s="63">
        <f>M32</f>
        <v>43.11</v>
      </c>
      <c r="N48" s="63">
        <f t="shared" si="6"/>
        <v>42.696913912789007</v>
      </c>
      <c r="O48" s="63">
        <f>'Proposed Rates'!E50</f>
        <v>42.696913912789007</v>
      </c>
      <c r="P48" s="63">
        <f t="shared" si="27"/>
        <v>35903.160659513887</v>
      </c>
      <c r="Q48" s="63">
        <f t="shared" si="28"/>
        <v>35559.131521138886</v>
      </c>
      <c r="R48" s="63">
        <f t="shared" si="22"/>
        <v>-344.02913837500091</v>
      </c>
      <c r="S48" s="63">
        <f t="shared" si="29"/>
        <v>35559.131521138886</v>
      </c>
      <c r="T48" s="63">
        <f t="shared" si="23"/>
        <v>0</v>
      </c>
      <c r="U48" s="66">
        <f t="shared" si="31"/>
        <v>42.696913912789007</v>
      </c>
      <c r="V48" s="66">
        <f t="shared" si="30"/>
        <v>35559.131521138886</v>
      </c>
      <c r="W48" s="66">
        <f t="shared" si="24"/>
        <v>-344.02913837500091</v>
      </c>
      <c r="X48" s="112">
        <f t="shared" si="10"/>
        <v>0</v>
      </c>
      <c r="Y48" s="110">
        <f t="shared" si="11"/>
        <v>0</v>
      </c>
      <c r="Z48" s="110">
        <f>((G48*$D$113*1*References!$C$58)/References!$G$61)-'Company Calc'!L48</f>
        <v>0</v>
      </c>
    </row>
    <row r="49" spans="1:26" s="56" customFormat="1" ht="14.45" customHeight="1">
      <c r="A49" s="193"/>
      <c r="B49" s="43" t="s">
        <v>362</v>
      </c>
      <c r="C49" s="151" t="s">
        <v>152</v>
      </c>
      <c r="D49" s="150"/>
      <c r="E49" s="65"/>
      <c r="F49" s="20">
        <v>136.3951948168812</v>
      </c>
      <c r="G49" s="64">
        <f>References!B36</f>
        <v>473</v>
      </c>
      <c r="H49" s="64">
        <f t="shared" si="25"/>
        <v>64514.927148384806</v>
      </c>
      <c r="I49" s="42">
        <f t="shared" si="21"/>
        <v>50692.113953136737</v>
      </c>
      <c r="J49" s="63">
        <f>(References!$C$58*I49)</f>
        <v>-80.60046118548712</v>
      </c>
      <c r="K49" s="63">
        <f>J49/References!$G$61</f>
        <v>-82.253761797619262</v>
      </c>
      <c r="L49" s="63">
        <f t="shared" si="26"/>
        <v>-0.60305468904568016</v>
      </c>
      <c r="M49" s="63">
        <f>M36</f>
        <v>57.29</v>
      </c>
      <c r="N49" s="63">
        <f t="shared" si="6"/>
        <v>56.686945310954322</v>
      </c>
      <c r="O49" s="63">
        <f>'Proposed Rates'!E51</f>
        <v>56.686945310954322</v>
      </c>
      <c r="P49" s="63">
        <f t="shared" si="27"/>
        <v>7814.080711059124</v>
      </c>
      <c r="Q49" s="63">
        <f t="shared" si="28"/>
        <v>7731.8269492615045</v>
      </c>
      <c r="R49" s="63">
        <f t="shared" si="22"/>
        <v>-82.253761797619518</v>
      </c>
      <c r="S49" s="63">
        <f t="shared" si="29"/>
        <v>7731.8269492615045</v>
      </c>
      <c r="T49" s="63">
        <f t="shared" si="23"/>
        <v>0</v>
      </c>
      <c r="U49" s="66">
        <f t="shared" si="31"/>
        <v>56.686945310954322</v>
      </c>
      <c r="V49" s="66">
        <f t="shared" si="30"/>
        <v>7731.8269492615045</v>
      </c>
      <c r="W49" s="66">
        <f t="shared" si="24"/>
        <v>-82.253761797619518</v>
      </c>
      <c r="X49" s="112">
        <f t="shared" si="10"/>
        <v>0</v>
      </c>
      <c r="Y49" s="110">
        <f t="shared" si="11"/>
        <v>0</v>
      </c>
      <c r="Z49" s="110">
        <f>((G49*$D$113*1*References!$C$58)/References!$G$61)-'Company Calc'!L49</f>
        <v>0</v>
      </c>
    </row>
    <row r="50" spans="1:26" s="56" customFormat="1" ht="14.45" customHeight="1">
      <c r="A50" s="193"/>
      <c r="B50" s="43" t="s">
        <v>362</v>
      </c>
      <c r="C50" s="151" t="s">
        <v>153</v>
      </c>
      <c r="D50" s="150"/>
      <c r="E50" s="65"/>
      <c r="F50" s="20">
        <v>101.51064909983634</v>
      </c>
      <c r="G50" s="64">
        <f>References!B38</f>
        <v>613</v>
      </c>
      <c r="H50" s="64">
        <f t="shared" si="25"/>
        <v>62226.027898199682</v>
      </c>
      <c r="I50" s="42">
        <f t="shared" si="21"/>
        <v>48893.628753722878</v>
      </c>
      <c r="J50" s="63">
        <f>(References!$C$58*I50)</f>
        <v>-77.740869718419091</v>
      </c>
      <c r="K50" s="63">
        <f>J50/References!$G$61</f>
        <v>-79.335513540584842</v>
      </c>
      <c r="L50" s="63">
        <f t="shared" si="26"/>
        <v>-0.78154867734672728</v>
      </c>
      <c r="M50" s="63">
        <f>M38</f>
        <v>78.27</v>
      </c>
      <c r="N50" s="63">
        <f t="shared" si="6"/>
        <v>77.488451322653262</v>
      </c>
      <c r="O50" s="63">
        <f>'Proposed Rates'!E52</f>
        <v>77.488451322653262</v>
      </c>
      <c r="P50" s="63">
        <f t="shared" si="27"/>
        <v>7945.2385050441899</v>
      </c>
      <c r="Q50" s="63">
        <f t="shared" si="28"/>
        <v>7865.9029915036044</v>
      </c>
      <c r="R50" s="63">
        <f t="shared" si="22"/>
        <v>-79.335513540585453</v>
      </c>
      <c r="S50" s="63">
        <f t="shared" si="29"/>
        <v>7865.9029915036044</v>
      </c>
      <c r="T50" s="63">
        <f t="shared" si="23"/>
        <v>0</v>
      </c>
      <c r="U50" s="66">
        <f t="shared" si="31"/>
        <v>77.488451322653262</v>
      </c>
      <c r="V50" s="66">
        <f t="shared" si="30"/>
        <v>7865.9029915036044</v>
      </c>
      <c r="W50" s="66">
        <f t="shared" si="24"/>
        <v>-79.335513540585453</v>
      </c>
      <c r="X50" s="112">
        <f t="shared" si="10"/>
        <v>0</v>
      </c>
      <c r="Y50" s="110">
        <f t="shared" si="11"/>
        <v>0</v>
      </c>
      <c r="Z50" s="110">
        <f>((G50*$D$113*1*References!$C$58)/References!$G$61)-'Company Calc'!L50</f>
        <v>0</v>
      </c>
    </row>
    <row r="51" spans="1:26" s="56" customFormat="1" ht="14.45" customHeight="1">
      <c r="A51" s="193"/>
      <c r="B51" s="43" t="s">
        <v>362</v>
      </c>
      <c r="C51" s="151" t="s">
        <v>154</v>
      </c>
      <c r="D51" s="150"/>
      <c r="E51" s="65"/>
      <c r="F51" s="20">
        <v>48.712551940885746</v>
      </c>
      <c r="G51" s="64">
        <f>References!B40</f>
        <v>840</v>
      </c>
      <c r="H51" s="64">
        <f t="shared" si="25"/>
        <v>40918.543630344029</v>
      </c>
      <c r="I51" s="42">
        <f t="shared" si="21"/>
        <v>32151.434841350943</v>
      </c>
      <c r="J51" s="63">
        <f>(References!$C$58*I51)</f>
        <v>-51.120781397747812</v>
      </c>
      <c r="K51" s="63">
        <f>J51/References!$G$61</f>
        <v>-52.169386057503637</v>
      </c>
      <c r="L51" s="63">
        <f t="shared" si="26"/>
        <v>-1.0709639298062821</v>
      </c>
      <c r="M51" s="63">
        <f>M39</f>
        <v>109.42</v>
      </c>
      <c r="N51" s="63">
        <f t="shared" si="6"/>
        <v>108.34903607019372</v>
      </c>
      <c r="O51" s="63">
        <f>'Proposed Rates'!E53</f>
        <v>108.34903607019372</v>
      </c>
      <c r="P51" s="63">
        <f t="shared" si="27"/>
        <v>5330.1274333717183</v>
      </c>
      <c r="Q51" s="63">
        <f t="shared" si="28"/>
        <v>5277.958047314215</v>
      </c>
      <c r="R51" s="63">
        <f t="shared" si="22"/>
        <v>-52.169386057503289</v>
      </c>
      <c r="S51" s="63">
        <f t="shared" si="29"/>
        <v>5277.958047314215</v>
      </c>
      <c r="T51" s="63">
        <f t="shared" si="23"/>
        <v>0</v>
      </c>
      <c r="U51" s="66">
        <f t="shared" si="31"/>
        <v>108.34903607019372</v>
      </c>
      <c r="V51" s="66">
        <f t="shared" si="30"/>
        <v>5277.958047314215</v>
      </c>
      <c r="W51" s="66">
        <f t="shared" si="24"/>
        <v>-52.169386057503289</v>
      </c>
      <c r="X51" s="112">
        <f t="shared" si="10"/>
        <v>0</v>
      </c>
      <c r="Y51" s="110">
        <f t="shared" si="11"/>
        <v>0</v>
      </c>
      <c r="Z51" s="110">
        <f>((G51*$D$113*1*References!$C$58)/References!$G$61)-'Company Calc'!L51</f>
        <v>0</v>
      </c>
    </row>
    <row r="52" spans="1:26" s="56" customFormat="1" ht="14.45" customHeight="1">
      <c r="A52" s="193"/>
      <c r="B52" s="43" t="s">
        <v>180</v>
      </c>
      <c r="C52" s="151" t="s">
        <v>155</v>
      </c>
      <c r="D52" s="150"/>
      <c r="E52" s="65"/>
      <c r="F52" s="20">
        <v>58</v>
      </c>
      <c r="G52" s="64">
        <f>References!B32</f>
        <v>175</v>
      </c>
      <c r="H52" s="64">
        <f t="shared" si="25"/>
        <v>10150</v>
      </c>
      <c r="I52" s="42">
        <f t="shared" si="21"/>
        <v>7975.2854008643108</v>
      </c>
      <c r="J52" s="63">
        <f>(References!$C$58*I52)</f>
        <v>-12.680703787374208</v>
      </c>
      <c r="K52" s="63">
        <f>J52/References!$G$61</f>
        <v>-12.940814151825908</v>
      </c>
      <c r="L52" s="63">
        <f t="shared" si="26"/>
        <v>-0.22311748537630877</v>
      </c>
      <c r="M52" s="63">
        <f>$M$27</f>
        <v>21.85</v>
      </c>
      <c r="N52" s="63">
        <f t="shared" si="6"/>
        <v>21.626882514623691</v>
      </c>
      <c r="O52" s="63">
        <f>'Proposed Rates'!E48</f>
        <v>21.626882514623691</v>
      </c>
      <c r="P52" s="63">
        <f t="shared" si="27"/>
        <v>1267.3000000000002</v>
      </c>
      <c r="Q52" s="63">
        <f t="shared" si="28"/>
        <v>1254.3591858481741</v>
      </c>
      <c r="R52" s="63">
        <f t="shared" si="22"/>
        <v>-12.940814151826089</v>
      </c>
      <c r="S52" s="63">
        <f t="shared" si="29"/>
        <v>1254.3591858481741</v>
      </c>
      <c r="T52" s="63">
        <f t="shared" si="23"/>
        <v>0</v>
      </c>
      <c r="U52" s="66">
        <f t="shared" si="31"/>
        <v>21.626882514623691</v>
      </c>
      <c r="V52" s="66">
        <f t="shared" si="30"/>
        <v>1254.3591858481741</v>
      </c>
      <c r="W52" s="66">
        <f t="shared" si="24"/>
        <v>-12.940814151826089</v>
      </c>
      <c r="X52" s="112">
        <f t="shared" si="10"/>
        <v>0</v>
      </c>
      <c r="Y52" s="110">
        <f t="shared" si="11"/>
        <v>0</v>
      </c>
      <c r="Z52" s="110">
        <f>((G52*$D$113*1*References!$C$58)/References!$G$61)-'Company Calc'!L52</f>
        <v>0</v>
      </c>
    </row>
    <row r="53" spans="1:26" s="56" customFormat="1" ht="14.45" customHeight="1">
      <c r="A53" s="193"/>
      <c r="B53" s="43" t="s">
        <v>180</v>
      </c>
      <c r="C53" s="151" t="s">
        <v>156</v>
      </c>
      <c r="D53" s="150"/>
      <c r="E53" s="65"/>
      <c r="F53" s="20">
        <v>4</v>
      </c>
      <c r="G53" s="64">
        <f>References!B32</f>
        <v>175</v>
      </c>
      <c r="H53" s="64">
        <f t="shared" si="25"/>
        <v>700</v>
      </c>
      <c r="I53" s="42">
        <f t="shared" si="21"/>
        <v>550.01968281822826</v>
      </c>
      <c r="J53" s="63">
        <f>(References!$C$58*I53)</f>
        <v>-0.87453129568097976</v>
      </c>
      <c r="K53" s="63">
        <f>J53/References!$G$61</f>
        <v>-0.89246994150523495</v>
      </c>
      <c r="L53" s="63">
        <f t="shared" si="26"/>
        <v>-0.22311748537630874</v>
      </c>
      <c r="M53" s="63">
        <f>$M$27</f>
        <v>21.85</v>
      </c>
      <c r="N53" s="63">
        <f t="shared" si="6"/>
        <v>21.626882514623691</v>
      </c>
      <c r="O53" s="63">
        <f>'Proposed Rates'!E48</f>
        <v>21.626882514623691</v>
      </c>
      <c r="P53" s="63">
        <f t="shared" si="27"/>
        <v>87.4</v>
      </c>
      <c r="Q53" s="63">
        <f t="shared" si="28"/>
        <v>86.507530058494766</v>
      </c>
      <c r="R53" s="63">
        <f t="shared" si="22"/>
        <v>-0.89246994150524017</v>
      </c>
      <c r="S53" s="63">
        <f t="shared" si="29"/>
        <v>86.507530058494766</v>
      </c>
      <c r="T53" s="63">
        <f t="shared" si="23"/>
        <v>0</v>
      </c>
      <c r="U53" s="66">
        <f t="shared" si="31"/>
        <v>21.626882514623691</v>
      </c>
      <c r="V53" s="66">
        <f t="shared" si="30"/>
        <v>86.507530058494766</v>
      </c>
      <c r="W53" s="66">
        <f t="shared" si="24"/>
        <v>-0.89246994150524017</v>
      </c>
      <c r="X53" s="112">
        <f t="shared" si="10"/>
        <v>0</v>
      </c>
      <c r="Y53" s="110">
        <f t="shared" si="11"/>
        <v>0</v>
      </c>
      <c r="Z53" s="110">
        <f>((G53*$D$113*1*References!$C$58)/References!$G$61)-'Company Calc'!L53</f>
        <v>0</v>
      </c>
    </row>
    <row r="54" spans="1:26" s="56" customFormat="1" ht="14.45" customHeight="1">
      <c r="A54" s="193"/>
      <c r="B54" s="43" t="s">
        <v>180</v>
      </c>
      <c r="C54" s="151" t="s">
        <v>157</v>
      </c>
      <c r="D54" s="150"/>
      <c r="E54" s="65"/>
      <c r="F54" s="20">
        <v>3</v>
      </c>
      <c r="G54" s="89">
        <f>References!B35</f>
        <v>324</v>
      </c>
      <c r="H54" s="19">
        <f t="shared" si="25"/>
        <v>972</v>
      </c>
      <c r="I54" s="42">
        <f t="shared" si="21"/>
        <v>763.74161671331137</v>
      </c>
      <c r="J54" s="63">
        <f>(References!$C$58*I54)</f>
        <v>-1.2143491705741607</v>
      </c>
      <c r="K54" s="63">
        <f>J54/References!$G$61</f>
        <v>-1.2392582616329837</v>
      </c>
      <c r="L54" s="63">
        <f t="shared" si="26"/>
        <v>-0.41308608721099455</v>
      </c>
      <c r="M54" s="63">
        <f>$M$32</f>
        <v>43.11</v>
      </c>
      <c r="N54" s="63">
        <f t="shared" si="6"/>
        <v>42.696913912789007</v>
      </c>
      <c r="O54" s="63">
        <f>'Proposed Rates'!E50</f>
        <v>42.696913912789007</v>
      </c>
      <c r="P54" s="63">
        <f t="shared" si="27"/>
        <v>129.32999999999998</v>
      </c>
      <c r="Q54" s="63">
        <f t="shared" si="28"/>
        <v>128.09074173836703</v>
      </c>
      <c r="R54" s="63">
        <f t="shared" si="22"/>
        <v>-1.2392582616329548</v>
      </c>
      <c r="S54" s="63">
        <f t="shared" si="29"/>
        <v>128.09074173836703</v>
      </c>
      <c r="T54" s="63">
        <f t="shared" si="23"/>
        <v>0</v>
      </c>
      <c r="U54" s="66">
        <f t="shared" si="31"/>
        <v>42.696913912789007</v>
      </c>
      <c r="V54" s="66">
        <f t="shared" si="30"/>
        <v>128.09074173836703</v>
      </c>
      <c r="W54" s="66">
        <f t="shared" si="24"/>
        <v>-1.2392582616329548</v>
      </c>
      <c r="X54" s="112">
        <f t="shared" si="10"/>
        <v>0</v>
      </c>
      <c r="Y54" s="110">
        <f t="shared" si="11"/>
        <v>0</v>
      </c>
      <c r="Z54" s="110">
        <f>((G54*$D$113*1*References!$C$58)/References!$G$61)-'Company Calc'!L54</f>
        <v>0</v>
      </c>
    </row>
    <row r="55" spans="1:26" s="56" customFormat="1" ht="14.45" customHeight="1">
      <c r="A55" s="193"/>
      <c r="B55" s="43" t="s">
        <v>180</v>
      </c>
      <c r="C55" s="151" t="s">
        <v>157</v>
      </c>
      <c r="D55" s="150"/>
      <c r="E55" s="65"/>
      <c r="F55" s="20">
        <v>21</v>
      </c>
      <c r="G55" s="89">
        <f>References!B35</f>
        <v>324</v>
      </c>
      <c r="H55" s="19">
        <f t="shared" si="25"/>
        <v>6804</v>
      </c>
      <c r="I55" s="42">
        <f t="shared" si="21"/>
        <v>5346.1913169931795</v>
      </c>
      <c r="J55" s="63">
        <f>(References!$C$58*I55)</f>
        <v>-8.5004441940191242</v>
      </c>
      <c r="K55" s="63">
        <f>J55/References!$G$61</f>
        <v>-8.6748078314308845</v>
      </c>
      <c r="L55" s="63">
        <f t="shared" si="26"/>
        <v>-0.41308608721099449</v>
      </c>
      <c r="M55" s="63">
        <f>$M$32</f>
        <v>43.11</v>
      </c>
      <c r="N55" s="63">
        <f t="shared" si="6"/>
        <v>42.696913912789007</v>
      </c>
      <c r="O55" s="63">
        <f>'Proposed Rates'!E50</f>
        <v>42.696913912789007</v>
      </c>
      <c r="P55" s="63">
        <f t="shared" si="27"/>
        <v>905.31</v>
      </c>
      <c r="Q55" s="63">
        <f t="shared" si="28"/>
        <v>896.63519216856912</v>
      </c>
      <c r="R55" s="63">
        <f t="shared" si="22"/>
        <v>-8.6748078314308259</v>
      </c>
      <c r="S55" s="63">
        <f t="shared" si="29"/>
        <v>896.63519216856912</v>
      </c>
      <c r="T55" s="63">
        <f t="shared" si="23"/>
        <v>0</v>
      </c>
      <c r="U55" s="66">
        <f t="shared" si="31"/>
        <v>42.696913912789007</v>
      </c>
      <c r="V55" s="66">
        <f t="shared" si="30"/>
        <v>896.63519216856912</v>
      </c>
      <c r="W55" s="66">
        <f t="shared" si="24"/>
        <v>-8.6748078314308259</v>
      </c>
      <c r="X55" s="112">
        <f t="shared" si="10"/>
        <v>0</v>
      </c>
      <c r="Y55" s="110">
        <f t="shared" si="11"/>
        <v>0</v>
      </c>
      <c r="Z55" s="110">
        <f>((G55*$D$113*1*References!$C$58)/References!$G$61)-'Company Calc'!L55</f>
        <v>0</v>
      </c>
    </row>
    <row r="56" spans="1:26" s="56" customFormat="1" ht="14.45" customHeight="1">
      <c r="A56" s="193"/>
      <c r="B56" s="43" t="s">
        <v>180</v>
      </c>
      <c r="C56" s="151" t="s">
        <v>158</v>
      </c>
      <c r="D56" s="150"/>
      <c r="E56" s="65"/>
      <c r="F56" s="20">
        <v>5</v>
      </c>
      <c r="G56" s="64">
        <f>References!B38</f>
        <v>613</v>
      </c>
      <c r="H56" s="64">
        <f t="shared" si="25"/>
        <v>3065</v>
      </c>
      <c r="I56" s="42">
        <f t="shared" si="21"/>
        <v>2408.300468339814</v>
      </c>
      <c r="J56" s="63">
        <f>(References!$C$58*I56)</f>
        <v>-3.8291977446602901</v>
      </c>
      <c r="K56" s="63">
        <f>J56/References!$G$61</f>
        <v>-3.9077433867336362</v>
      </c>
      <c r="L56" s="63">
        <f t="shared" si="26"/>
        <v>-0.78154867734672728</v>
      </c>
      <c r="M56" s="63">
        <f>$M$38</f>
        <v>78.27</v>
      </c>
      <c r="N56" s="63">
        <f t="shared" si="6"/>
        <v>77.488451322653262</v>
      </c>
      <c r="O56" s="63">
        <f>'Proposed Rates'!E52</f>
        <v>77.488451322653262</v>
      </c>
      <c r="P56" s="63">
        <f t="shared" si="27"/>
        <v>391.34999999999997</v>
      </c>
      <c r="Q56" s="63">
        <f t="shared" si="28"/>
        <v>387.4422566132663</v>
      </c>
      <c r="R56" s="63">
        <f t="shared" si="22"/>
        <v>-3.9077433867336708</v>
      </c>
      <c r="S56" s="63">
        <f t="shared" si="29"/>
        <v>387.4422566132663</v>
      </c>
      <c r="T56" s="63">
        <f t="shared" si="23"/>
        <v>0</v>
      </c>
      <c r="U56" s="66">
        <f t="shared" si="31"/>
        <v>77.488451322653262</v>
      </c>
      <c r="V56" s="66">
        <f t="shared" si="30"/>
        <v>387.4422566132663</v>
      </c>
      <c r="W56" s="66">
        <f t="shared" si="24"/>
        <v>-3.9077433867336708</v>
      </c>
      <c r="X56" s="112">
        <f t="shared" si="10"/>
        <v>0</v>
      </c>
      <c r="Y56" s="110">
        <f t="shared" si="11"/>
        <v>0</v>
      </c>
      <c r="Z56" s="110">
        <f>((G56*$D$113*1*References!$C$58)/References!$G$61)-'Company Calc'!L56</f>
        <v>0</v>
      </c>
    </row>
    <row r="57" spans="1:26" s="56" customFormat="1" ht="14.45" customHeight="1">
      <c r="A57" s="193"/>
      <c r="B57" s="43" t="s">
        <v>180</v>
      </c>
      <c r="C57" s="151" t="s">
        <v>159</v>
      </c>
      <c r="D57" s="150"/>
      <c r="E57" s="65"/>
      <c r="F57" s="20">
        <v>7</v>
      </c>
      <c r="G57" s="64">
        <f>References!B40</f>
        <v>840</v>
      </c>
      <c r="H57" s="64">
        <f t="shared" si="25"/>
        <v>5880</v>
      </c>
      <c r="I57" s="42">
        <f t="shared" si="21"/>
        <v>4620.1653356731176</v>
      </c>
      <c r="J57" s="63">
        <f>(References!$C$58*I57)</f>
        <v>-7.3460628837202302</v>
      </c>
      <c r="K57" s="63">
        <f>J57/References!$G$61</f>
        <v>-7.4967475086439741</v>
      </c>
      <c r="L57" s="63">
        <f t="shared" si="26"/>
        <v>-1.0709639298062821</v>
      </c>
      <c r="M57" s="63">
        <f>M39</f>
        <v>109.42</v>
      </c>
      <c r="N57" s="63">
        <f t="shared" si="6"/>
        <v>108.34903607019372</v>
      </c>
      <c r="O57" s="63">
        <f>'Proposed Rates'!E53</f>
        <v>108.34903607019372</v>
      </c>
      <c r="P57" s="63">
        <f t="shared" si="27"/>
        <v>765.94</v>
      </c>
      <c r="Q57" s="63">
        <f t="shared" si="28"/>
        <v>758.44325249135602</v>
      </c>
      <c r="R57" s="63">
        <f t="shared" si="22"/>
        <v>-7.4967475086440345</v>
      </c>
      <c r="S57" s="63">
        <f t="shared" si="29"/>
        <v>758.44325249135602</v>
      </c>
      <c r="T57" s="63">
        <f t="shared" si="23"/>
        <v>0</v>
      </c>
      <c r="U57" s="66">
        <f t="shared" si="31"/>
        <v>108.34903607019372</v>
      </c>
      <c r="V57" s="66">
        <f t="shared" si="30"/>
        <v>758.44325249135602</v>
      </c>
      <c r="W57" s="66">
        <f t="shared" si="24"/>
        <v>-7.4967475086440345</v>
      </c>
      <c r="X57" s="112">
        <f t="shared" si="10"/>
        <v>0</v>
      </c>
      <c r="Y57" s="110">
        <f t="shared" si="11"/>
        <v>0</v>
      </c>
      <c r="Z57" s="110">
        <f>((G57*$D$113*1*References!$C$58)/References!$G$61)-'Company Calc'!L57</f>
        <v>0</v>
      </c>
    </row>
    <row r="58" spans="1:26" s="56" customFormat="1" ht="14.45" customHeight="1">
      <c r="A58" s="193"/>
      <c r="B58" s="43" t="s">
        <v>180</v>
      </c>
      <c r="C58" s="151" t="s">
        <v>160</v>
      </c>
      <c r="D58" s="150"/>
      <c r="E58" s="65"/>
      <c r="F58" s="20">
        <v>49</v>
      </c>
      <c r="G58" s="64">
        <f>References!B32</f>
        <v>175</v>
      </c>
      <c r="H58" s="64">
        <f t="shared" si="25"/>
        <v>8575</v>
      </c>
      <c r="I58" s="42">
        <f t="shared" si="21"/>
        <v>6737.7411145232973</v>
      </c>
      <c r="J58" s="63">
        <f>(References!$C$58*I58)</f>
        <v>-10.713008372092004</v>
      </c>
      <c r="K58" s="63">
        <f>J58/References!$G$61</f>
        <v>-10.93275678343913</v>
      </c>
      <c r="L58" s="63">
        <f t="shared" si="26"/>
        <v>-0.22311748537630877</v>
      </c>
      <c r="M58" s="63">
        <f>'Proposed Rates'!$C$56</f>
        <v>24.85</v>
      </c>
      <c r="N58" s="63">
        <f t="shared" si="6"/>
        <v>24.626882514623691</v>
      </c>
      <c r="O58" s="63">
        <f>'Proposed Rates'!E56</f>
        <v>24.626882514623691</v>
      </c>
      <c r="P58" s="63">
        <f t="shared" si="27"/>
        <v>1217.6500000000001</v>
      </c>
      <c r="Q58" s="63">
        <f t="shared" si="28"/>
        <v>1206.717243216561</v>
      </c>
      <c r="R58" s="63">
        <f t="shared" si="22"/>
        <v>-10.932756783439117</v>
      </c>
      <c r="S58" s="63">
        <f t="shared" si="29"/>
        <v>1206.717243216561</v>
      </c>
      <c r="T58" s="63">
        <f t="shared" si="23"/>
        <v>0</v>
      </c>
      <c r="U58" s="66">
        <f t="shared" si="31"/>
        <v>24.626882514623691</v>
      </c>
      <c r="V58" s="66">
        <f t="shared" si="30"/>
        <v>1206.717243216561</v>
      </c>
      <c r="W58" s="66">
        <f t="shared" si="24"/>
        <v>-10.932756783439117</v>
      </c>
      <c r="X58" s="112">
        <f t="shared" si="10"/>
        <v>0</v>
      </c>
      <c r="Y58" s="110">
        <f t="shared" si="11"/>
        <v>0</v>
      </c>
      <c r="Z58" s="110">
        <f>((G58*$D$113*1*References!$C$58)/References!$G$61)-'Company Calc'!L58</f>
        <v>0</v>
      </c>
    </row>
    <row r="59" spans="1:26" s="56" customFormat="1" ht="14.45" customHeight="1">
      <c r="A59" s="193"/>
      <c r="B59" s="43" t="s">
        <v>180</v>
      </c>
      <c r="C59" s="151" t="s">
        <v>161</v>
      </c>
      <c r="D59" s="150"/>
      <c r="E59" s="65"/>
      <c r="F59" s="20">
        <v>5</v>
      </c>
      <c r="G59" s="64">
        <f>References!B32</f>
        <v>175</v>
      </c>
      <c r="H59" s="64">
        <f t="shared" si="25"/>
        <v>875</v>
      </c>
      <c r="I59" s="42">
        <f t="shared" si="21"/>
        <v>687.52460352278536</v>
      </c>
      <c r="J59" s="63">
        <f>(References!$C$58*I59)</f>
        <v>-1.0931641196012247</v>
      </c>
      <c r="K59" s="63">
        <f>J59/References!$G$61</f>
        <v>-1.1155874268815438</v>
      </c>
      <c r="L59" s="63">
        <f t="shared" si="26"/>
        <v>-0.22311748537630877</v>
      </c>
      <c r="M59" s="63">
        <f>'Proposed Rates'!$C$56</f>
        <v>24.85</v>
      </c>
      <c r="N59" s="63">
        <f t="shared" si="6"/>
        <v>24.626882514623691</v>
      </c>
      <c r="O59" s="63">
        <f>'Proposed Rates'!E56</f>
        <v>24.626882514623691</v>
      </c>
      <c r="P59" s="63">
        <f t="shared" si="27"/>
        <v>124.25</v>
      </c>
      <c r="Q59" s="63">
        <f t="shared" si="28"/>
        <v>123.13441257311845</v>
      </c>
      <c r="R59" s="63">
        <f t="shared" si="22"/>
        <v>-1.1155874268815467</v>
      </c>
      <c r="S59" s="63">
        <f t="shared" si="29"/>
        <v>123.13441257311845</v>
      </c>
      <c r="T59" s="63">
        <f t="shared" si="23"/>
        <v>0</v>
      </c>
      <c r="U59" s="66">
        <f t="shared" si="31"/>
        <v>24.626882514623691</v>
      </c>
      <c r="V59" s="66">
        <f t="shared" si="30"/>
        <v>123.13441257311845</v>
      </c>
      <c r="W59" s="66">
        <f t="shared" si="24"/>
        <v>-1.1155874268815467</v>
      </c>
      <c r="X59" s="112">
        <f t="shared" si="10"/>
        <v>0</v>
      </c>
      <c r="Y59" s="110">
        <f t="shared" si="11"/>
        <v>0</v>
      </c>
      <c r="Z59" s="110">
        <f>((G59*$D$113*1*References!$C$58)/References!$G$61)-'Company Calc'!L59</f>
        <v>0</v>
      </c>
    </row>
    <row r="60" spans="1:26" s="56" customFormat="1" ht="14.45" customHeight="1">
      <c r="A60" s="193"/>
      <c r="B60" s="43" t="s">
        <v>180</v>
      </c>
      <c r="C60" s="151" t="s">
        <v>162</v>
      </c>
      <c r="D60" s="150"/>
      <c r="E60" s="65"/>
      <c r="F60" s="20">
        <v>4</v>
      </c>
      <c r="G60" s="64">
        <f>References!B32</f>
        <v>175</v>
      </c>
      <c r="H60" s="64">
        <f t="shared" si="25"/>
        <v>700</v>
      </c>
      <c r="I60" s="42">
        <f t="shared" si="21"/>
        <v>550.01968281822826</v>
      </c>
      <c r="J60" s="63">
        <f>(References!$C$58*I60)</f>
        <v>-0.87453129568097976</v>
      </c>
      <c r="K60" s="63">
        <f>J60/References!$G$61</f>
        <v>-0.89246994150523495</v>
      </c>
      <c r="L60" s="63">
        <f t="shared" si="26"/>
        <v>-0.22311748537630874</v>
      </c>
      <c r="M60" s="63">
        <f>'Proposed Rates'!$C$64</f>
        <v>26.86</v>
      </c>
      <c r="N60" s="63">
        <f t="shared" si="6"/>
        <v>26.636882514623689</v>
      </c>
      <c r="O60" s="63">
        <f>'Proposed Rates'!E64</f>
        <v>26.636882514623689</v>
      </c>
      <c r="P60" s="63">
        <f t="shared" si="27"/>
        <v>107.44</v>
      </c>
      <c r="Q60" s="63">
        <f t="shared" si="28"/>
        <v>106.54753005849476</v>
      </c>
      <c r="R60" s="63">
        <f t="shared" si="22"/>
        <v>-0.89246994150524017</v>
      </c>
      <c r="S60" s="63">
        <f t="shared" si="29"/>
        <v>106.54753005849476</v>
      </c>
      <c r="T60" s="63">
        <f t="shared" si="23"/>
        <v>0</v>
      </c>
      <c r="U60" s="66">
        <f t="shared" si="31"/>
        <v>26.636882514623689</v>
      </c>
      <c r="V60" s="66">
        <f t="shared" si="30"/>
        <v>106.54753005849476</v>
      </c>
      <c r="W60" s="66">
        <f t="shared" si="24"/>
        <v>-0.89246994150524017</v>
      </c>
      <c r="X60" s="112">
        <f t="shared" si="10"/>
        <v>0</v>
      </c>
      <c r="Y60" s="110">
        <f t="shared" si="11"/>
        <v>0</v>
      </c>
      <c r="Z60" s="110">
        <f>((G60*$D$113*1*References!$C$58)/References!$G$61)-'Company Calc'!L60</f>
        <v>0</v>
      </c>
    </row>
    <row r="61" spans="1:26" s="56" customFormat="1" ht="14.45" customHeight="1">
      <c r="A61" s="193"/>
      <c r="B61" s="43" t="s">
        <v>180</v>
      </c>
      <c r="C61" s="151" t="s">
        <v>162</v>
      </c>
      <c r="D61" s="150"/>
      <c r="E61" s="65"/>
      <c r="F61" s="20">
        <v>44.000000000000007</v>
      </c>
      <c r="G61" s="64">
        <f>References!B32</f>
        <v>175</v>
      </c>
      <c r="H61" s="64">
        <f t="shared" si="25"/>
        <v>7700.0000000000009</v>
      </c>
      <c r="I61" s="42">
        <f t="shared" si="21"/>
        <v>6050.2165110005126</v>
      </c>
      <c r="J61" s="63">
        <f>(References!$C$58*I61)</f>
        <v>-9.619844252490779</v>
      </c>
      <c r="K61" s="63">
        <f>J61/References!$G$61</f>
        <v>-9.8171693565575868</v>
      </c>
      <c r="L61" s="63">
        <f t="shared" si="26"/>
        <v>-0.22311748537630877</v>
      </c>
      <c r="M61" s="63">
        <f>'Proposed Rates'!$C$64</f>
        <v>26.86</v>
      </c>
      <c r="N61" s="63">
        <f t="shared" si="6"/>
        <v>26.636882514623689</v>
      </c>
      <c r="O61" s="63">
        <f>'Proposed Rates'!E64</f>
        <v>26.636882514623689</v>
      </c>
      <c r="P61" s="63">
        <f t="shared" si="27"/>
        <v>1181.8400000000001</v>
      </c>
      <c r="Q61" s="63">
        <f t="shared" si="28"/>
        <v>1172.0228306434426</v>
      </c>
      <c r="R61" s="63">
        <f t="shared" si="22"/>
        <v>-9.8171693565575424</v>
      </c>
      <c r="S61" s="63">
        <f t="shared" si="29"/>
        <v>1172.0228306434426</v>
      </c>
      <c r="T61" s="63">
        <f t="shared" si="23"/>
        <v>0</v>
      </c>
      <c r="U61" s="66">
        <f t="shared" si="31"/>
        <v>26.636882514623689</v>
      </c>
      <c r="V61" s="66">
        <f t="shared" si="30"/>
        <v>1172.0228306434426</v>
      </c>
      <c r="W61" s="66">
        <f t="shared" si="24"/>
        <v>-9.8171693565575424</v>
      </c>
      <c r="X61" s="112">
        <f t="shared" si="10"/>
        <v>0</v>
      </c>
      <c r="Y61" s="110">
        <f t="shared" si="11"/>
        <v>0</v>
      </c>
      <c r="Z61" s="110">
        <f>((G61*$D$113*1*References!$C$58)/References!$G$61)-'Company Calc'!L61</f>
        <v>0</v>
      </c>
    </row>
    <row r="62" spans="1:26" s="56" customFormat="1" ht="14.45" customHeight="1">
      <c r="A62" s="193"/>
      <c r="B62" s="43" t="s">
        <v>180</v>
      </c>
      <c r="C62" s="151" t="s">
        <v>163</v>
      </c>
      <c r="D62" s="150"/>
      <c r="E62" s="65"/>
      <c r="F62" s="20">
        <v>4</v>
      </c>
      <c r="G62" s="64">
        <f>References!B33</f>
        <v>250</v>
      </c>
      <c r="H62" s="64">
        <f t="shared" si="25"/>
        <v>1000</v>
      </c>
      <c r="I62" s="42">
        <f t="shared" si="21"/>
        <v>785.7424040260405</v>
      </c>
      <c r="J62" s="63">
        <f>(References!$C$58*I62)</f>
        <v>-1.2493304224013999</v>
      </c>
      <c r="K62" s="63">
        <f>J62/References!$G$61</f>
        <v>-1.2749570592931931</v>
      </c>
      <c r="L62" s="63">
        <f t="shared" si="26"/>
        <v>-0.31873926482329829</v>
      </c>
      <c r="M62" s="63">
        <f>'Proposed Rates'!$C$57</f>
        <v>34.229999999999997</v>
      </c>
      <c r="N62" s="63">
        <f t="shared" si="6"/>
        <v>33.911260735176697</v>
      </c>
      <c r="O62" s="63">
        <f>'Proposed Rates'!E57</f>
        <v>33.911260735176697</v>
      </c>
      <c r="P62" s="63">
        <f t="shared" si="27"/>
        <v>136.91999999999999</v>
      </c>
      <c r="Q62" s="63">
        <f t="shared" si="28"/>
        <v>135.64504294070679</v>
      </c>
      <c r="R62" s="63">
        <f t="shared" si="22"/>
        <v>-1.2749570592932002</v>
      </c>
      <c r="S62" s="63">
        <f t="shared" si="29"/>
        <v>135.64504294070679</v>
      </c>
      <c r="T62" s="63">
        <f t="shared" si="23"/>
        <v>0</v>
      </c>
      <c r="U62" s="66">
        <f t="shared" si="31"/>
        <v>33.911260735176697</v>
      </c>
      <c r="V62" s="66">
        <f t="shared" si="30"/>
        <v>135.64504294070679</v>
      </c>
      <c r="W62" s="66">
        <f t="shared" si="24"/>
        <v>-1.2749570592932002</v>
      </c>
      <c r="X62" s="112">
        <f t="shared" si="10"/>
        <v>0</v>
      </c>
      <c r="Y62" s="110">
        <f t="shared" si="11"/>
        <v>0</v>
      </c>
      <c r="Z62" s="110">
        <f>((G62*$D$113*1*References!$C$58)/References!$G$61)-'Company Calc'!L62</f>
        <v>0</v>
      </c>
    </row>
    <row r="63" spans="1:26" s="56" customFormat="1" ht="14.45" customHeight="1">
      <c r="A63" s="193"/>
      <c r="B63" s="43" t="s">
        <v>180</v>
      </c>
      <c r="C63" s="151" t="s">
        <v>164</v>
      </c>
      <c r="D63" s="150"/>
      <c r="E63" s="65"/>
      <c r="F63" s="20">
        <v>1</v>
      </c>
      <c r="G63" s="64">
        <f>References!B33</f>
        <v>250</v>
      </c>
      <c r="H63" s="64">
        <f t="shared" si="25"/>
        <v>250</v>
      </c>
      <c r="I63" s="42">
        <f t="shared" si="21"/>
        <v>196.43560100651013</v>
      </c>
      <c r="J63" s="63">
        <f>(References!$C$58*I63)</f>
        <v>-0.31233260560034998</v>
      </c>
      <c r="K63" s="63">
        <f>J63/References!$G$61</f>
        <v>-0.31873926482329829</v>
      </c>
      <c r="L63" s="63">
        <f t="shared" si="26"/>
        <v>-0.31873926482329829</v>
      </c>
      <c r="M63" s="63">
        <f>'Proposed Rates'!$C$57</f>
        <v>34.229999999999997</v>
      </c>
      <c r="N63" s="63">
        <f t="shared" si="6"/>
        <v>33.911260735176697</v>
      </c>
      <c r="O63" s="63">
        <f>'Proposed Rates'!E57</f>
        <v>33.911260735176697</v>
      </c>
      <c r="P63" s="63">
        <f t="shared" si="27"/>
        <v>34.229999999999997</v>
      </c>
      <c r="Q63" s="63">
        <f t="shared" si="28"/>
        <v>33.911260735176697</v>
      </c>
      <c r="R63" s="63">
        <f t="shared" si="22"/>
        <v>-0.31873926482330006</v>
      </c>
      <c r="S63" s="63">
        <f t="shared" si="29"/>
        <v>33.911260735176697</v>
      </c>
      <c r="T63" s="63">
        <f t="shared" si="23"/>
        <v>0</v>
      </c>
      <c r="U63" s="66">
        <f t="shared" si="31"/>
        <v>33.911260735176697</v>
      </c>
      <c r="V63" s="66">
        <f t="shared" si="30"/>
        <v>33.911260735176697</v>
      </c>
      <c r="W63" s="66">
        <f t="shared" si="24"/>
        <v>-0.31873926482330006</v>
      </c>
      <c r="X63" s="112">
        <f t="shared" si="10"/>
        <v>0</v>
      </c>
      <c r="Y63" s="110">
        <f t="shared" si="11"/>
        <v>0</v>
      </c>
      <c r="Z63" s="110">
        <f>((G63*$D$113*1*References!$C$58)/References!$G$61)-'Company Calc'!L63</f>
        <v>0</v>
      </c>
    </row>
    <row r="64" spans="1:26" s="56" customFormat="1" ht="14.45" customHeight="1">
      <c r="A64" s="193"/>
      <c r="B64" s="43" t="s">
        <v>180</v>
      </c>
      <c r="C64" s="151" t="s">
        <v>165</v>
      </c>
      <c r="D64" s="150"/>
      <c r="E64" s="65"/>
      <c r="F64" s="20">
        <v>58.999999999999993</v>
      </c>
      <c r="G64" s="64">
        <f>References!B33</f>
        <v>250</v>
      </c>
      <c r="H64" s="64">
        <f t="shared" si="25"/>
        <v>14749.999999999998</v>
      </c>
      <c r="I64" s="42">
        <f t="shared" si="21"/>
        <v>11589.700459384096</v>
      </c>
      <c r="J64" s="63">
        <f>(References!$C$58*I64)</f>
        <v>-18.427623730420645</v>
      </c>
      <c r="K64" s="63">
        <f>J64/References!$G$61</f>
        <v>-18.805616624574593</v>
      </c>
      <c r="L64" s="63">
        <f t="shared" si="26"/>
        <v>-0.31873926482329823</v>
      </c>
      <c r="M64" s="63">
        <f>'Proposed Rates'!$C$65</f>
        <v>31.23</v>
      </c>
      <c r="N64" s="63">
        <f t="shared" si="6"/>
        <v>30.911260735176704</v>
      </c>
      <c r="O64" s="63">
        <f>'Proposed Rates'!E65</f>
        <v>30.911260735176704</v>
      </c>
      <c r="P64" s="63">
        <f t="shared" si="27"/>
        <v>1842.5699999999997</v>
      </c>
      <c r="Q64" s="63">
        <f t="shared" si="28"/>
        <v>1823.7643833754253</v>
      </c>
      <c r="R64" s="63">
        <f t="shared" si="22"/>
        <v>-18.805616624574441</v>
      </c>
      <c r="S64" s="63">
        <f t="shared" si="29"/>
        <v>1823.7643833754253</v>
      </c>
      <c r="T64" s="63">
        <f t="shared" si="23"/>
        <v>0</v>
      </c>
      <c r="U64" s="66">
        <f t="shared" si="31"/>
        <v>30.911260735176704</v>
      </c>
      <c r="V64" s="66">
        <f t="shared" si="30"/>
        <v>1823.7643833754253</v>
      </c>
      <c r="W64" s="66">
        <f t="shared" si="24"/>
        <v>-18.805616624574441</v>
      </c>
      <c r="X64" s="112">
        <f t="shared" si="10"/>
        <v>0</v>
      </c>
      <c r="Y64" s="110">
        <f t="shared" si="11"/>
        <v>0</v>
      </c>
      <c r="Z64" s="110">
        <f>((G64*$D$113*1*References!$C$58)/References!$G$61)-'Company Calc'!L64</f>
        <v>0</v>
      </c>
    </row>
    <row r="65" spans="1:27" s="56" customFormat="1" ht="14.45" customHeight="1">
      <c r="A65" s="193"/>
      <c r="B65" s="43" t="s">
        <v>180</v>
      </c>
      <c r="C65" s="151" t="s">
        <v>166</v>
      </c>
      <c r="D65" s="150"/>
      <c r="E65" s="65"/>
      <c r="F65" s="20">
        <v>3</v>
      </c>
      <c r="G65" s="64">
        <f>References!B33</f>
        <v>250</v>
      </c>
      <c r="H65" s="64">
        <f t="shared" si="25"/>
        <v>750</v>
      </c>
      <c r="I65" s="42">
        <f t="shared" si="21"/>
        <v>589.30680301953032</v>
      </c>
      <c r="J65" s="63">
        <f>(References!$C$58*I65)</f>
        <v>-0.93699781680104977</v>
      </c>
      <c r="K65" s="63">
        <f>J65/References!$G$61</f>
        <v>-0.95621779446989463</v>
      </c>
      <c r="L65" s="63">
        <f t="shared" si="26"/>
        <v>-0.31873926482329823</v>
      </c>
      <c r="M65" s="63">
        <f>'Proposed Rates'!$C$65</f>
        <v>31.23</v>
      </c>
      <c r="N65" s="63">
        <f t="shared" si="6"/>
        <v>30.911260735176704</v>
      </c>
      <c r="O65" s="63">
        <f>'Proposed Rates'!E65</f>
        <v>30.911260735176704</v>
      </c>
      <c r="P65" s="63">
        <f t="shared" si="27"/>
        <v>93.69</v>
      </c>
      <c r="Q65" s="63">
        <f t="shared" si="28"/>
        <v>92.733782205530105</v>
      </c>
      <c r="R65" s="63">
        <f t="shared" si="22"/>
        <v>-0.95621779446989308</v>
      </c>
      <c r="S65" s="63">
        <f t="shared" si="29"/>
        <v>92.733782205530105</v>
      </c>
      <c r="T65" s="63">
        <f t="shared" si="23"/>
        <v>0</v>
      </c>
      <c r="U65" s="66">
        <f t="shared" si="31"/>
        <v>30.911260735176704</v>
      </c>
      <c r="V65" s="66">
        <f t="shared" si="30"/>
        <v>92.733782205530105</v>
      </c>
      <c r="W65" s="66">
        <f t="shared" si="24"/>
        <v>-0.95621779446989308</v>
      </c>
      <c r="X65" s="112">
        <f t="shared" si="10"/>
        <v>0</v>
      </c>
      <c r="Y65" s="110">
        <f t="shared" si="11"/>
        <v>0</v>
      </c>
      <c r="Z65" s="110">
        <f>((G65*$D$113*1*References!$C$58)/References!$G$61)-'Company Calc'!L65</f>
        <v>0</v>
      </c>
    </row>
    <row r="66" spans="1:27" s="56" customFormat="1" ht="14.45" customHeight="1">
      <c r="A66" s="193"/>
      <c r="B66" s="43" t="s">
        <v>180</v>
      </c>
      <c r="C66" s="151" t="s">
        <v>167</v>
      </c>
      <c r="D66" s="150"/>
      <c r="E66" s="65"/>
      <c r="F66" s="20">
        <v>15</v>
      </c>
      <c r="G66" s="64">
        <f>References!B35</f>
        <v>324</v>
      </c>
      <c r="H66" s="64">
        <f t="shared" si="25"/>
        <v>4860</v>
      </c>
      <c r="I66" s="42">
        <f t="shared" si="21"/>
        <v>3818.7080835665565</v>
      </c>
      <c r="J66" s="63">
        <f>(References!$C$58*I66)</f>
        <v>-6.0717458528708024</v>
      </c>
      <c r="K66" s="63">
        <f>J66/References!$G$61</f>
        <v>-6.1962913081649171</v>
      </c>
      <c r="L66" s="63">
        <f t="shared" si="26"/>
        <v>-0.41308608721099449</v>
      </c>
      <c r="M66" s="63">
        <f>'Proposed Rates'!$C$58</f>
        <v>46.11</v>
      </c>
      <c r="N66" s="63">
        <f t="shared" si="6"/>
        <v>45.696913912789007</v>
      </c>
      <c r="O66" s="63">
        <f>'Proposed Rates'!E58</f>
        <v>45.696913912789007</v>
      </c>
      <c r="P66" s="63">
        <f t="shared" si="27"/>
        <v>691.65</v>
      </c>
      <c r="Q66" s="63">
        <f t="shared" si="28"/>
        <v>685.45370869183512</v>
      </c>
      <c r="R66" s="63">
        <f t="shared" si="22"/>
        <v>-6.1962913081648594</v>
      </c>
      <c r="S66" s="63">
        <f t="shared" si="29"/>
        <v>685.45370869183512</v>
      </c>
      <c r="T66" s="63">
        <f t="shared" si="23"/>
        <v>0</v>
      </c>
      <c r="U66" s="66">
        <f t="shared" si="31"/>
        <v>45.696913912789007</v>
      </c>
      <c r="V66" s="66">
        <f t="shared" si="30"/>
        <v>685.45370869183512</v>
      </c>
      <c r="W66" s="66">
        <f t="shared" si="24"/>
        <v>-6.1962913081648594</v>
      </c>
      <c r="X66" s="112">
        <f t="shared" si="10"/>
        <v>0</v>
      </c>
      <c r="Y66" s="110">
        <f t="shared" si="11"/>
        <v>0</v>
      </c>
      <c r="Z66" s="110">
        <f>((G66*$D$113*1*References!$C$58)/References!$G$61)-'Company Calc'!L66</f>
        <v>0</v>
      </c>
    </row>
    <row r="67" spans="1:27" s="56" customFormat="1" ht="14.45" customHeight="1">
      <c r="A67" s="193"/>
      <c r="B67" s="43" t="s">
        <v>180</v>
      </c>
      <c r="C67" s="151" t="s">
        <v>168</v>
      </c>
      <c r="D67" s="150"/>
      <c r="E67" s="65"/>
      <c r="F67" s="20">
        <v>13.999999999999998</v>
      </c>
      <c r="G67" s="64">
        <f>References!B35</f>
        <v>324</v>
      </c>
      <c r="H67" s="64">
        <f t="shared" si="25"/>
        <v>4535.9999999999991</v>
      </c>
      <c r="I67" s="42">
        <f t="shared" si="21"/>
        <v>3564.1275446621189</v>
      </c>
      <c r="J67" s="63">
        <f>(References!$C$58*I67)</f>
        <v>-5.666962796012748</v>
      </c>
      <c r="K67" s="63">
        <f>J67/References!$G$61</f>
        <v>-5.7832052209539215</v>
      </c>
      <c r="L67" s="63">
        <f t="shared" si="26"/>
        <v>-0.41308608721099443</v>
      </c>
      <c r="M67" s="63">
        <f>'Proposed Rates'!$C$58</f>
        <v>46.11</v>
      </c>
      <c r="N67" s="63">
        <f t="shared" si="6"/>
        <v>45.696913912789007</v>
      </c>
      <c r="O67" s="63">
        <f>'Proposed Rates'!E58</f>
        <v>45.696913912789007</v>
      </c>
      <c r="P67" s="63">
        <f t="shared" si="27"/>
        <v>645.54</v>
      </c>
      <c r="Q67" s="63">
        <f t="shared" si="28"/>
        <v>639.756794779046</v>
      </c>
      <c r="R67" s="63">
        <f t="shared" si="22"/>
        <v>-5.7832052209539597</v>
      </c>
      <c r="S67" s="63">
        <f t="shared" si="29"/>
        <v>639.756794779046</v>
      </c>
      <c r="T67" s="63">
        <f t="shared" si="23"/>
        <v>0</v>
      </c>
      <c r="U67" s="66">
        <f t="shared" si="31"/>
        <v>45.696913912789007</v>
      </c>
      <c r="V67" s="66">
        <f t="shared" si="30"/>
        <v>639.756794779046</v>
      </c>
      <c r="W67" s="66">
        <f t="shared" si="24"/>
        <v>-5.7832052209539597</v>
      </c>
      <c r="X67" s="112">
        <f t="shared" si="10"/>
        <v>0</v>
      </c>
      <c r="Y67" s="110">
        <f t="shared" si="11"/>
        <v>0</v>
      </c>
      <c r="Z67" s="110">
        <f>((G67*$D$113*1*References!$C$58)/References!$G$61)-'Company Calc'!L67</f>
        <v>0</v>
      </c>
    </row>
    <row r="68" spans="1:27" s="56" customFormat="1" ht="14.45" customHeight="1">
      <c r="A68" s="193"/>
      <c r="B68" s="43" t="s">
        <v>180</v>
      </c>
      <c r="C68" s="151" t="s">
        <v>169</v>
      </c>
      <c r="D68" s="150"/>
      <c r="E68" s="65"/>
      <c r="F68" s="20">
        <v>953.70059810920316</v>
      </c>
      <c r="G68" s="64">
        <f>References!B35</f>
        <v>324</v>
      </c>
      <c r="H68" s="64">
        <f t="shared" si="25"/>
        <v>308998.9937873818</v>
      </c>
      <c r="I68" s="42">
        <f t="shared" si="21"/>
        <v>242793.61222012492</v>
      </c>
      <c r="J68" s="63">
        <f>(References!$C$58*I68)</f>
        <v>-386.04184342999724</v>
      </c>
      <c r="K68" s="63">
        <f>J68/References!$G$61</f>
        <v>-393.96044844371596</v>
      </c>
      <c r="L68" s="63">
        <f t="shared" si="26"/>
        <v>-0.41308608721099455</v>
      </c>
      <c r="M68" s="63">
        <f>'Proposed Rates'!$C$66</f>
        <v>40.659999999999997</v>
      </c>
      <c r="N68" s="63">
        <f t="shared" si="6"/>
        <v>40.246913912789005</v>
      </c>
      <c r="O68" s="63">
        <f>'Proposed Rates'!E66</f>
        <v>40.246913912789005</v>
      </c>
      <c r="P68" s="63">
        <f t="shared" si="27"/>
        <v>38777.466319120198</v>
      </c>
      <c r="Q68" s="63">
        <f t="shared" si="28"/>
        <v>38383.505870676483</v>
      </c>
      <c r="R68" s="63">
        <f t="shared" si="22"/>
        <v>-393.96044844371499</v>
      </c>
      <c r="S68" s="63">
        <f t="shared" si="29"/>
        <v>38383.505870676483</v>
      </c>
      <c r="T68" s="63">
        <f t="shared" si="23"/>
        <v>0</v>
      </c>
      <c r="U68" s="66">
        <f t="shared" si="31"/>
        <v>40.246913912789005</v>
      </c>
      <c r="V68" s="66">
        <f t="shared" si="30"/>
        <v>38383.505870676483</v>
      </c>
      <c r="W68" s="66">
        <f t="shared" si="24"/>
        <v>-393.96044844371499</v>
      </c>
      <c r="X68" s="112">
        <f t="shared" si="10"/>
        <v>0</v>
      </c>
      <c r="Y68" s="110">
        <f t="shared" si="11"/>
        <v>0</v>
      </c>
      <c r="Z68" s="110">
        <f>((G68*$D$113*1*References!$C$58)/References!$G$61)-'Company Calc'!L68</f>
        <v>0</v>
      </c>
    </row>
    <row r="69" spans="1:27" s="56" customFormat="1" ht="14.45" customHeight="1">
      <c r="A69" s="193"/>
      <c r="B69" s="43" t="s">
        <v>180</v>
      </c>
      <c r="C69" s="151" t="s">
        <v>170</v>
      </c>
      <c r="D69" s="150"/>
      <c r="E69" s="65"/>
      <c r="F69" s="20">
        <v>57</v>
      </c>
      <c r="G69" s="64">
        <f>References!B35</f>
        <v>324</v>
      </c>
      <c r="H69" s="64">
        <f t="shared" si="25"/>
        <v>18468</v>
      </c>
      <c r="I69" s="42">
        <f t="shared" si="21"/>
        <v>14511.090717552916</v>
      </c>
      <c r="J69" s="63">
        <f>(References!$C$58*I69)</f>
        <v>-23.07263424090905</v>
      </c>
      <c r="K69" s="63">
        <f>J69/References!$G$61</f>
        <v>-23.545906971026685</v>
      </c>
      <c r="L69" s="63">
        <f t="shared" si="26"/>
        <v>-0.41308608721099449</v>
      </c>
      <c r="M69" s="63">
        <f>'Proposed Rates'!$C$66</f>
        <v>40.659999999999997</v>
      </c>
      <c r="N69" s="63">
        <f t="shared" si="6"/>
        <v>40.246913912789005</v>
      </c>
      <c r="O69" s="63">
        <f>'Proposed Rates'!E66</f>
        <v>40.246913912789005</v>
      </c>
      <c r="P69" s="63">
        <f t="shared" si="27"/>
        <v>2317.62</v>
      </c>
      <c r="Q69" s="63">
        <f t="shared" si="28"/>
        <v>2294.074093028973</v>
      </c>
      <c r="R69" s="63">
        <f t="shared" si="22"/>
        <v>-23.545906971026852</v>
      </c>
      <c r="S69" s="63">
        <f t="shared" si="29"/>
        <v>2294.074093028973</v>
      </c>
      <c r="T69" s="63">
        <f t="shared" si="23"/>
        <v>0</v>
      </c>
      <c r="U69" s="66">
        <f t="shared" si="31"/>
        <v>40.246913912789005</v>
      </c>
      <c r="V69" s="66">
        <f t="shared" si="30"/>
        <v>2294.074093028973</v>
      </c>
      <c r="W69" s="66">
        <f t="shared" si="24"/>
        <v>-23.545906971026852</v>
      </c>
      <c r="X69" s="112">
        <f t="shared" si="10"/>
        <v>0</v>
      </c>
      <c r="Y69" s="110">
        <f t="shared" si="11"/>
        <v>0</v>
      </c>
      <c r="Z69" s="110">
        <f>((G69*$D$113*1*References!$C$58)/References!$G$61)-'Company Calc'!L69</f>
        <v>0</v>
      </c>
    </row>
    <row r="70" spans="1:27" s="56" customFormat="1" ht="14.45" customHeight="1">
      <c r="A70" s="193"/>
      <c r="B70" s="43" t="s">
        <v>180</v>
      </c>
      <c r="C70" s="151" t="s">
        <v>171</v>
      </c>
      <c r="D70" s="150"/>
      <c r="E70" s="65"/>
      <c r="F70" s="20">
        <v>41.999999999999993</v>
      </c>
      <c r="G70" s="64">
        <f>References!B36</f>
        <v>473</v>
      </c>
      <c r="H70" s="64">
        <f t="shared" si="25"/>
        <v>19865.999999999996</v>
      </c>
      <c r="I70" s="42">
        <f t="shared" si="21"/>
        <v>15609.558598381316</v>
      </c>
      <c r="J70" s="63">
        <f>(References!$C$58*I70)</f>
        <v>-24.819198171426201</v>
      </c>
      <c r="K70" s="63">
        <f>J70/References!$G$61</f>
        <v>-25.328296939918566</v>
      </c>
      <c r="L70" s="63">
        <f t="shared" si="26"/>
        <v>-0.60305468904568027</v>
      </c>
      <c r="M70" s="63">
        <f>'Proposed Rates'!C59</f>
        <v>60.29</v>
      </c>
      <c r="N70" s="63">
        <f t="shared" si="6"/>
        <v>59.686945310954322</v>
      </c>
      <c r="O70" s="63">
        <f>'Proposed Rates'!E59</f>
        <v>59.686945310954322</v>
      </c>
      <c r="P70" s="63">
        <f t="shared" si="27"/>
        <v>2532.1799999999994</v>
      </c>
      <c r="Q70" s="63">
        <f t="shared" si="28"/>
        <v>2506.851703060081</v>
      </c>
      <c r="R70" s="63">
        <f t="shared" si="22"/>
        <v>-25.328296939918346</v>
      </c>
      <c r="S70" s="63">
        <f t="shared" si="29"/>
        <v>2506.851703060081</v>
      </c>
      <c r="T70" s="63">
        <f t="shared" si="23"/>
        <v>0</v>
      </c>
      <c r="U70" s="66">
        <f t="shared" si="31"/>
        <v>59.686945310954322</v>
      </c>
      <c r="V70" s="66">
        <f t="shared" si="30"/>
        <v>2506.851703060081</v>
      </c>
      <c r="W70" s="66">
        <f t="shared" si="24"/>
        <v>-25.328296939918346</v>
      </c>
      <c r="X70" s="112">
        <f t="shared" si="10"/>
        <v>0</v>
      </c>
      <c r="Y70" s="110">
        <f t="shared" si="11"/>
        <v>0</v>
      </c>
      <c r="Z70" s="110">
        <f>((G70*$D$113*1*References!$C$58)/References!$G$61)-'Company Calc'!L70</f>
        <v>0</v>
      </c>
    </row>
    <row r="71" spans="1:27" s="56" customFormat="1" ht="14.45" customHeight="1">
      <c r="A71" s="193"/>
      <c r="B71" s="43" t="s">
        <v>180</v>
      </c>
      <c r="C71" s="151" t="s">
        <v>172</v>
      </c>
      <c r="D71" s="150"/>
      <c r="E71" s="65"/>
      <c r="F71" s="20">
        <v>11.97261207248944</v>
      </c>
      <c r="G71" s="64">
        <f>References!B38</f>
        <v>613</v>
      </c>
      <c r="H71" s="64">
        <f t="shared" si="25"/>
        <v>7339.211200436027</v>
      </c>
      <c r="I71" s="42">
        <f t="shared" si="21"/>
        <v>5766.7294522854463</v>
      </c>
      <c r="J71" s="63">
        <f>(References!$C$58*I71)</f>
        <v>-9.1690998291338257</v>
      </c>
      <c r="K71" s="63">
        <f>J71/References!$G$61</f>
        <v>-9.3571791296395812</v>
      </c>
      <c r="L71" s="63">
        <f t="shared" si="26"/>
        <v>-0.78154867734672728</v>
      </c>
      <c r="M71" s="63">
        <f>'Proposed Rates'!$C$60</f>
        <v>81.27</v>
      </c>
      <c r="N71" s="63">
        <f t="shared" si="6"/>
        <v>80.488451322653262</v>
      </c>
      <c r="O71" s="63">
        <f>'Proposed Rates'!E60</f>
        <v>80.488451322653262</v>
      </c>
      <c r="P71" s="63">
        <f t="shared" si="27"/>
        <v>973.01418313121678</v>
      </c>
      <c r="Q71" s="63">
        <f t="shared" si="28"/>
        <v>963.65700400157709</v>
      </c>
      <c r="R71" s="63">
        <f t="shared" si="22"/>
        <v>-9.3571791296396896</v>
      </c>
      <c r="S71" s="63">
        <f t="shared" si="29"/>
        <v>963.65700400157709</v>
      </c>
      <c r="T71" s="63">
        <f t="shared" si="23"/>
        <v>0</v>
      </c>
      <c r="U71" s="66">
        <f t="shared" si="31"/>
        <v>80.488451322653262</v>
      </c>
      <c r="V71" s="66">
        <f t="shared" si="30"/>
        <v>963.65700400157709</v>
      </c>
      <c r="W71" s="66">
        <f t="shared" si="24"/>
        <v>-9.3571791296396896</v>
      </c>
      <c r="X71" s="112">
        <f t="shared" si="10"/>
        <v>0</v>
      </c>
      <c r="Y71" s="110">
        <f t="shared" si="11"/>
        <v>0</v>
      </c>
      <c r="Z71" s="110">
        <f>((G71*$D$113*1*References!$C$58)/References!$G$61)-'Company Calc'!L71</f>
        <v>0</v>
      </c>
    </row>
    <row r="72" spans="1:27" s="56" customFormat="1" ht="14.45" customHeight="1">
      <c r="A72" s="193"/>
      <c r="B72" s="43" t="s">
        <v>180</v>
      </c>
      <c r="C72" s="151" t="s">
        <v>172</v>
      </c>
      <c r="D72" s="150"/>
      <c r="E72" s="65"/>
      <c r="F72" s="20">
        <v>1</v>
      </c>
      <c r="G72" s="64">
        <f>References!B38</f>
        <v>613</v>
      </c>
      <c r="H72" s="64">
        <f t="shared" si="25"/>
        <v>613</v>
      </c>
      <c r="I72" s="42">
        <f t="shared" si="21"/>
        <v>481.66009366796277</v>
      </c>
      <c r="J72" s="63">
        <f>(References!$C$58*I72)</f>
        <v>-0.76583954893205797</v>
      </c>
      <c r="K72" s="63">
        <f>J72/References!$G$61</f>
        <v>-0.78154867734672717</v>
      </c>
      <c r="L72" s="63">
        <f t="shared" si="26"/>
        <v>-0.78154867734672717</v>
      </c>
      <c r="M72" s="63">
        <f>'Proposed Rates'!$C$60</f>
        <v>81.27</v>
      </c>
      <c r="N72" s="63">
        <f t="shared" ref="N72:N78" si="32">L72+M72</f>
        <v>80.488451322653262</v>
      </c>
      <c r="O72" s="63">
        <f>'Proposed Rates'!E60</f>
        <v>80.488451322653262</v>
      </c>
      <c r="P72" s="63">
        <f t="shared" si="27"/>
        <v>81.27</v>
      </c>
      <c r="Q72" s="63">
        <f t="shared" si="28"/>
        <v>80.488451322653262</v>
      </c>
      <c r="R72" s="63">
        <f t="shared" si="22"/>
        <v>-0.78154867734673417</v>
      </c>
      <c r="S72" s="63">
        <f t="shared" si="29"/>
        <v>80.488451322653262</v>
      </c>
      <c r="T72" s="63">
        <f t="shared" si="23"/>
        <v>0</v>
      </c>
      <c r="U72" s="66">
        <f t="shared" si="31"/>
        <v>80.488451322653262</v>
      </c>
      <c r="V72" s="66">
        <f t="shared" si="30"/>
        <v>80.488451322653262</v>
      </c>
      <c r="W72" s="66">
        <f t="shared" si="24"/>
        <v>-0.78154867734673417</v>
      </c>
      <c r="X72" s="112">
        <f t="shared" ref="X72:X81" si="33">R72-W72</f>
        <v>0</v>
      </c>
      <c r="Y72" s="110">
        <f t="shared" ref="Y72:Y79" si="34">O72-U72</f>
        <v>0</v>
      </c>
      <c r="Z72" s="110">
        <f>((G72*$D$113*1*References!$C$58)/References!$G$61)-'Company Calc'!L72</f>
        <v>0</v>
      </c>
    </row>
    <row r="73" spans="1:27" s="56" customFormat="1" ht="14.45" customHeight="1">
      <c r="A73" s="193"/>
      <c r="B73" s="43" t="s">
        <v>180</v>
      </c>
      <c r="C73" s="151" t="s">
        <v>173</v>
      </c>
      <c r="D73" s="150"/>
      <c r="E73" s="65"/>
      <c r="F73" s="20">
        <v>1</v>
      </c>
      <c r="G73" s="64">
        <f>References!B40</f>
        <v>840</v>
      </c>
      <c r="H73" s="64">
        <f t="shared" si="25"/>
        <v>840</v>
      </c>
      <c r="I73" s="42">
        <f t="shared" si="21"/>
        <v>660.02361938187403</v>
      </c>
      <c r="J73" s="63">
        <f>(References!$C$58*I73)</f>
        <v>-1.0494375548171759</v>
      </c>
      <c r="K73" s="63">
        <f>J73/References!$G$61</f>
        <v>-1.0709639298062823</v>
      </c>
      <c r="L73" s="63">
        <f t="shared" si="26"/>
        <v>-1.0709639298062823</v>
      </c>
      <c r="M73" s="63">
        <f>'Proposed Rates'!C61</f>
        <v>112.42</v>
      </c>
      <c r="N73" s="63">
        <f t="shared" si="32"/>
        <v>111.34903607019372</v>
      </c>
      <c r="O73" s="63">
        <f>'Proposed Rates'!E61</f>
        <v>111.34903607019372</v>
      </c>
      <c r="P73" s="63">
        <f t="shared" si="27"/>
        <v>112.42</v>
      </c>
      <c r="Q73" s="63">
        <f t="shared" si="28"/>
        <v>111.34903607019372</v>
      </c>
      <c r="R73" s="63">
        <f t="shared" si="22"/>
        <v>-1.0709639298062825</v>
      </c>
      <c r="S73" s="63">
        <f t="shared" si="29"/>
        <v>111.34903607019372</v>
      </c>
      <c r="T73" s="63">
        <f t="shared" si="23"/>
        <v>0</v>
      </c>
      <c r="U73" s="66">
        <f t="shared" si="31"/>
        <v>111.34903607019372</v>
      </c>
      <c r="V73" s="66">
        <f t="shared" si="30"/>
        <v>111.34903607019372</v>
      </c>
      <c r="W73" s="66">
        <f t="shared" si="24"/>
        <v>-1.0709639298062825</v>
      </c>
      <c r="X73" s="112">
        <f t="shared" si="33"/>
        <v>0</v>
      </c>
      <c r="Y73" s="110">
        <f t="shared" si="34"/>
        <v>0</v>
      </c>
      <c r="Z73" s="110">
        <f>((G73*$D$113*1*References!$C$58)/References!$G$61)-'Company Calc'!L73</f>
        <v>0</v>
      </c>
    </row>
    <row r="74" spans="1:27" s="56" customFormat="1" ht="14.45" customHeight="1">
      <c r="A74" s="193"/>
      <c r="B74" s="43">
        <v>38</v>
      </c>
      <c r="C74" s="151" t="s">
        <v>174</v>
      </c>
      <c r="D74" s="150"/>
      <c r="E74" s="65"/>
      <c r="F74" s="20">
        <v>48.761475011150623</v>
      </c>
      <c r="G74" s="64">
        <f>References!B47</f>
        <v>1686</v>
      </c>
      <c r="H74" s="19">
        <f t="shared" si="25"/>
        <v>82211.846868799956</v>
      </c>
      <c r="I74" s="42">
        <f t="shared" si="21"/>
        <v>64597.334198111581</v>
      </c>
      <c r="J74" s="63">
        <f>(References!$C$58*I74)</f>
        <v>-102.70976137499704</v>
      </c>
      <c r="K74" s="63">
        <f>J74/References!$G$61</f>
        <v>-104.81657452290749</v>
      </c>
      <c r="L74" s="63">
        <f>K74/F74</f>
        <v>-2.1495776019683235</v>
      </c>
      <c r="M74" s="63">
        <f>'Proposed Rates'!C110</f>
        <v>161.72</v>
      </c>
      <c r="N74" s="63">
        <f t="shared" si="32"/>
        <v>159.57042239803167</v>
      </c>
      <c r="O74" s="63">
        <f>'Proposed Rates'!E110</f>
        <v>159.57042239803167</v>
      </c>
      <c r="P74" s="63">
        <f t="shared" si="27"/>
        <v>7885.705738803279</v>
      </c>
      <c r="Q74" s="63">
        <f t="shared" si="28"/>
        <v>7780.889164280371</v>
      </c>
      <c r="R74" s="63">
        <f t="shared" si="22"/>
        <v>-104.81657452290801</v>
      </c>
      <c r="S74" s="63">
        <f t="shared" si="29"/>
        <v>7780.889164280371</v>
      </c>
      <c r="T74" s="63">
        <f t="shared" si="23"/>
        <v>0</v>
      </c>
      <c r="U74" s="66">
        <f t="shared" si="31"/>
        <v>159.57042239803167</v>
      </c>
      <c r="V74" s="66">
        <f t="shared" si="30"/>
        <v>7780.889164280371</v>
      </c>
      <c r="W74" s="66">
        <f t="shared" si="24"/>
        <v>-104.81657452290801</v>
      </c>
      <c r="X74" s="112">
        <f t="shared" si="33"/>
        <v>0</v>
      </c>
      <c r="Y74" s="111">
        <f t="shared" si="34"/>
        <v>0</v>
      </c>
      <c r="Z74" s="110">
        <f>((G74*$D$113*1*References!$C$58)/References!$G$61)-'Company Calc'!L74</f>
        <v>0</v>
      </c>
      <c r="AA74" s="56" t="s">
        <v>473</v>
      </c>
    </row>
    <row r="75" spans="1:27" s="56" customFormat="1" ht="14.45" customHeight="1">
      <c r="A75" s="193"/>
      <c r="B75" s="43" t="s">
        <v>181</v>
      </c>
      <c r="C75" s="151" t="s">
        <v>175</v>
      </c>
      <c r="D75" s="150"/>
      <c r="E75" s="65"/>
      <c r="F75" s="20">
        <v>304.18351643192489</v>
      </c>
      <c r="G75" s="64">
        <f>References!B31</f>
        <v>29</v>
      </c>
      <c r="H75" s="64">
        <f t="shared" si="25"/>
        <v>8821.3219765258218</v>
      </c>
      <c r="I75" s="42">
        <f t="shared" si="21"/>
        <v>6931.2867365231423</v>
      </c>
      <c r="J75" s="63">
        <f>(References!$C$58*I75)</f>
        <v>-11.020745911071756</v>
      </c>
      <c r="K75" s="63">
        <f>J75/References!$G$61</f>
        <v>-11.24680672626978</v>
      </c>
      <c r="L75" s="63">
        <f t="shared" si="26"/>
        <v>-3.6973754719502601E-2</v>
      </c>
      <c r="M75" s="63">
        <f>'Proposed Rates'!C90</f>
        <v>5.34</v>
      </c>
      <c r="N75" s="63">
        <f t="shared" si="32"/>
        <v>5.3030262452804973</v>
      </c>
      <c r="O75" s="63">
        <f>'Proposed Rates'!$E$90</f>
        <v>5.3030262452804973</v>
      </c>
      <c r="P75" s="63">
        <f t="shared" si="27"/>
        <v>1624.3399777464788</v>
      </c>
      <c r="Q75" s="63">
        <f t="shared" si="28"/>
        <v>1613.0931710202092</v>
      </c>
      <c r="R75" s="63">
        <f t="shared" si="22"/>
        <v>-11.246806726269597</v>
      </c>
      <c r="S75" s="63">
        <f t="shared" si="29"/>
        <v>1613.0931710202092</v>
      </c>
      <c r="T75" s="63">
        <f t="shared" si="23"/>
        <v>0</v>
      </c>
      <c r="U75" s="66">
        <f t="shared" si="31"/>
        <v>5.3030262452804973</v>
      </c>
      <c r="V75" s="66">
        <f t="shared" si="30"/>
        <v>1613.0931710202092</v>
      </c>
      <c r="W75" s="66">
        <f t="shared" si="24"/>
        <v>-11.246806726269597</v>
      </c>
      <c r="X75" s="112">
        <f t="shared" si="33"/>
        <v>0</v>
      </c>
      <c r="Y75" s="110">
        <f t="shared" si="34"/>
        <v>0</v>
      </c>
      <c r="Z75" s="110">
        <f>((G75*$D$113*1*References!$C$58)/References!$G$61)-'Company Calc'!L75</f>
        <v>0</v>
      </c>
    </row>
    <row r="76" spans="1:27" s="56" customFormat="1" ht="14.45" customHeight="1">
      <c r="A76" s="193"/>
      <c r="B76" s="43"/>
      <c r="C76" s="151" t="s">
        <v>176</v>
      </c>
      <c r="D76" s="150"/>
      <c r="E76" s="65"/>
      <c r="F76" s="22">
        <f>17.32*3</f>
        <v>51.96</v>
      </c>
      <c r="G76" s="64">
        <f>References!B31</f>
        <v>29</v>
      </c>
      <c r="H76" s="64">
        <f t="shared" si="25"/>
        <v>1506.84</v>
      </c>
      <c r="I76" s="42">
        <f t="shared" si="21"/>
        <v>1183.9880840825988</v>
      </c>
      <c r="J76" s="63">
        <f>(References!$C$58*I76)</f>
        <v>-1.8825410536913252</v>
      </c>
      <c r="K76" s="63">
        <f>J76/References!$G$61</f>
        <v>-1.9211562952253549</v>
      </c>
      <c r="L76" s="63">
        <f t="shared" si="26"/>
        <v>-3.6973754719502594E-2</v>
      </c>
      <c r="M76" s="63">
        <f>M75</f>
        <v>5.34</v>
      </c>
      <c r="N76" s="63">
        <f t="shared" si="32"/>
        <v>5.3030262452804973</v>
      </c>
      <c r="O76" s="63">
        <f>'Proposed Rates'!$E$90</f>
        <v>5.3030262452804973</v>
      </c>
      <c r="P76" s="63">
        <f t="shared" si="27"/>
        <v>277.46640000000002</v>
      </c>
      <c r="Q76" s="63">
        <f t="shared" si="28"/>
        <v>275.54524370477463</v>
      </c>
      <c r="R76" s="63">
        <f>Q76-P76</f>
        <v>-1.9211562952253871</v>
      </c>
      <c r="S76" s="63">
        <f t="shared" si="29"/>
        <v>275.54524370477463</v>
      </c>
      <c r="T76" s="63">
        <f t="shared" si="23"/>
        <v>0</v>
      </c>
      <c r="U76" s="66">
        <f t="shared" si="31"/>
        <v>5.3030262452804973</v>
      </c>
      <c r="V76" s="66">
        <f t="shared" si="30"/>
        <v>275.54524370477463</v>
      </c>
      <c r="W76" s="66">
        <f t="shared" si="24"/>
        <v>-1.9211562952253871</v>
      </c>
      <c r="X76" s="112">
        <f t="shared" si="33"/>
        <v>0</v>
      </c>
      <c r="Y76" s="110">
        <f t="shared" si="34"/>
        <v>0</v>
      </c>
      <c r="Z76" s="110">
        <f>((G76*$D$113*1*References!$C$58)/References!$G$61)-'Company Calc'!L76</f>
        <v>0</v>
      </c>
    </row>
    <row r="77" spans="1:27" s="56" customFormat="1" ht="14.45" customHeight="1">
      <c r="A77" s="193"/>
      <c r="B77" s="43" t="s">
        <v>182</v>
      </c>
      <c r="C77" s="151" t="s">
        <v>177</v>
      </c>
      <c r="D77" s="150"/>
      <c r="E77" s="65"/>
      <c r="F77" s="20">
        <v>165.62479830148624</v>
      </c>
      <c r="G77" s="87">
        <v>37</v>
      </c>
      <c r="H77" s="64">
        <f t="shared" si="25"/>
        <v>6128.1175371549907</v>
      </c>
      <c r="I77" s="42">
        <f t="shared" si="21"/>
        <v>4815.1218057983006</v>
      </c>
      <c r="J77" s="63">
        <f>(References!$C$58*I77)</f>
        <v>-7.6560436712192699</v>
      </c>
      <c r="K77" s="63">
        <f>J77/References!$G$61</f>
        <v>-7.8130867141741707</v>
      </c>
      <c r="L77" s="63">
        <f t="shared" si="26"/>
        <v>-4.7173411193848137E-2</v>
      </c>
      <c r="M77" s="63">
        <f>'Proposed Rates'!C72</f>
        <v>6.03</v>
      </c>
      <c r="N77" s="63">
        <f t="shared" si="32"/>
        <v>5.9828265888061525</v>
      </c>
      <c r="O77" s="63">
        <f>'Proposed Rates'!E72</f>
        <v>5.9828265888061525</v>
      </c>
      <c r="P77" s="63">
        <f t="shared" si="27"/>
        <v>998.71753375796209</v>
      </c>
      <c r="Q77" s="63">
        <f t="shared" si="28"/>
        <v>990.90444704378797</v>
      </c>
      <c r="R77" s="63">
        <f t="shared" si="22"/>
        <v>-7.8130867141741192</v>
      </c>
      <c r="S77" s="63">
        <f t="shared" si="29"/>
        <v>990.90444704378797</v>
      </c>
      <c r="T77" s="63">
        <f t="shared" si="23"/>
        <v>0</v>
      </c>
      <c r="U77" s="66">
        <f t="shared" si="31"/>
        <v>5.9828265888061525</v>
      </c>
      <c r="V77" s="66">
        <f t="shared" si="30"/>
        <v>990.90444704378797</v>
      </c>
      <c r="W77" s="66">
        <f t="shared" si="24"/>
        <v>-7.8130867141741192</v>
      </c>
      <c r="X77" s="112">
        <f t="shared" si="33"/>
        <v>0</v>
      </c>
      <c r="Y77" s="110">
        <f t="shared" si="34"/>
        <v>0</v>
      </c>
      <c r="Z77" s="110">
        <f>((G77*$D$113*1*References!$C$58)/References!$G$61)-'Company Calc'!L77</f>
        <v>0</v>
      </c>
    </row>
    <row r="78" spans="1:27" s="56" customFormat="1" ht="14.45" customHeight="1">
      <c r="A78" s="193"/>
      <c r="B78" s="43" t="s">
        <v>182</v>
      </c>
      <c r="C78" s="151" t="s">
        <v>178</v>
      </c>
      <c r="D78" s="150"/>
      <c r="E78" s="65"/>
      <c r="F78" s="20">
        <v>2422.6406684917802</v>
      </c>
      <c r="G78" s="64">
        <f>References!B26</f>
        <v>47</v>
      </c>
      <c r="H78" s="64">
        <f t="shared" si="25"/>
        <v>113864.11141911367</v>
      </c>
      <c r="I78" s="42">
        <f t="shared" si="21"/>
        <v>89467.860638743296</v>
      </c>
      <c r="J78" s="63">
        <f>(References!$C$58*I78)</f>
        <v>-142.25389841560133</v>
      </c>
      <c r="K78" s="63">
        <f>J78/References!$G$61</f>
        <v>-145.17185265394565</v>
      </c>
      <c r="L78" s="63">
        <f t="shared" si="26"/>
        <v>-5.9922981786780079E-2</v>
      </c>
      <c r="M78" s="63">
        <f>'Proposed Rates'!C75</f>
        <v>7.71</v>
      </c>
      <c r="N78" s="63">
        <f t="shared" si="32"/>
        <v>7.6500770182132198</v>
      </c>
      <c r="O78" s="63">
        <f>'Proposed Rates'!E75</f>
        <v>7.6500770182132198</v>
      </c>
      <c r="P78" s="63">
        <f t="shared" si="27"/>
        <v>18678.559554071624</v>
      </c>
      <c r="Q78" s="63">
        <f t="shared" si="28"/>
        <v>18533.38770141768</v>
      </c>
      <c r="R78" s="63">
        <f t="shared" si="22"/>
        <v>-145.17185265394437</v>
      </c>
      <c r="S78" s="63">
        <f t="shared" si="29"/>
        <v>18533.38770141768</v>
      </c>
      <c r="T78" s="63">
        <f t="shared" si="23"/>
        <v>0</v>
      </c>
      <c r="U78" s="66">
        <f t="shared" si="31"/>
        <v>7.6500770182132198</v>
      </c>
      <c r="V78" s="66">
        <f t="shared" si="30"/>
        <v>18533.38770141768</v>
      </c>
      <c r="W78" s="66">
        <f t="shared" si="24"/>
        <v>-145.17185265394437</v>
      </c>
      <c r="X78" s="112">
        <f t="shared" si="33"/>
        <v>0</v>
      </c>
      <c r="Y78" s="110">
        <f t="shared" si="34"/>
        <v>0</v>
      </c>
      <c r="Z78" s="110">
        <f>((G78*$D$113*1*References!$C$58)/References!$G$61)-'Company Calc'!L78</f>
        <v>0</v>
      </c>
    </row>
    <row r="79" spans="1:27" s="56" customFormat="1" ht="14.45" customHeight="1">
      <c r="A79" s="193"/>
      <c r="B79" s="43"/>
      <c r="C79" s="151" t="s">
        <v>179</v>
      </c>
      <c r="D79" s="150"/>
      <c r="E79" s="65"/>
      <c r="F79" s="22">
        <f>112.58*2</f>
        <v>225.16</v>
      </c>
      <c r="G79" s="64">
        <f>References!B26</f>
        <v>47</v>
      </c>
      <c r="H79" s="64">
        <f t="shared" si="25"/>
        <v>10582.52</v>
      </c>
      <c r="I79" s="42">
        <f t="shared" si="21"/>
        <v>8315.1347054536545</v>
      </c>
      <c r="J79" s="63">
        <f>(References!$C$58*I79)</f>
        <v>-13.221064181671263</v>
      </c>
      <c r="K79" s="63">
        <f>J79/References!$G$61</f>
        <v>-13.492258579111402</v>
      </c>
      <c r="L79" s="63">
        <f>K79/F79</f>
        <v>-5.9922981786780079E-2</v>
      </c>
      <c r="M79" s="63">
        <f>M78*2</f>
        <v>15.42</v>
      </c>
      <c r="N79" s="63">
        <f>L79*2+M79</f>
        <v>15.30015403642644</v>
      </c>
      <c r="O79" s="63">
        <f>O78*2</f>
        <v>15.30015403642644</v>
      </c>
      <c r="P79" s="63">
        <f>F79*(M79/2)</f>
        <v>1735.9836</v>
      </c>
      <c r="Q79" s="63">
        <f>F79*(O79/2)</f>
        <v>1722.4913414208886</v>
      </c>
      <c r="R79" s="63">
        <f t="shared" si="22"/>
        <v>-13.492258579111422</v>
      </c>
      <c r="S79" s="63">
        <f>F79*(N79/2)</f>
        <v>1722.4913414208886</v>
      </c>
      <c r="T79" s="63">
        <f t="shared" si="23"/>
        <v>0</v>
      </c>
      <c r="U79" s="66">
        <f t="shared" si="31"/>
        <v>15.30015403642644</v>
      </c>
      <c r="V79" s="66">
        <f>F79*(U79/2)</f>
        <v>1722.4913414208886</v>
      </c>
      <c r="W79" s="66">
        <f t="shared" si="24"/>
        <v>-13.492258579111422</v>
      </c>
      <c r="X79" s="112">
        <f t="shared" si="33"/>
        <v>0</v>
      </c>
      <c r="Y79" s="110">
        <f t="shared" si="34"/>
        <v>0</v>
      </c>
      <c r="Z79" s="110">
        <f>((G79*$D$113*1*References!$C$58)/References!$G$61)-'Company Calc'!L79</f>
        <v>0</v>
      </c>
    </row>
    <row r="80" spans="1:27" s="56" customFormat="1">
      <c r="A80" s="46"/>
      <c r="B80" s="44"/>
      <c r="C80" s="47" t="s">
        <v>15</v>
      </c>
      <c r="D80" s="48">
        <f>SUM(D27:D79)</f>
        <v>0</v>
      </c>
      <c r="E80" s="49"/>
      <c r="F80" s="50">
        <f>SUM(F27:F79)</f>
        <v>29367.823939339123</v>
      </c>
      <c r="G80" s="51"/>
      <c r="H80" s="50">
        <f>SUM(H27:H79)</f>
        <v>8379819.2680033371</v>
      </c>
      <c r="I80" s="52">
        <f>SUM(I27:I79)</f>
        <v>6584379.3369446751</v>
      </c>
      <c r="J80" s="52">
        <f t="shared" ref="J80:K80" si="35">SUM(J27:J79)</f>
        <v>-10469.163145742004</v>
      </c>
      <c r="K80" s="52">
        <f t="shared" si="35"/>
        <v>-10683.909731341972</v>
      </c>
      <c r="L80" s="68"/>
      <c r="M80" s="68"/>
      <c r="N80" s="68"/>
      <c r="O80" s="68"/>
      <c r="P80" s="68">
        <f>SUM(P27:P79)</f>
        <v>1075564.3656338558</v>
      </c>
      <c r="Q80" s="68">
        <f>SUM(Q27:Q79)</f>
        <v>1064880.4559025138</v>
      </c>
      <c r="R80" s="68">
        <f>SUM(R27:R79)</f>
        <v>-10683.909731342006</v>
      </c>
      <c r="S80" s="68">
        <f>SUM(S27:S79)</f>
        <v>1064880.4559025138</v>
      </c>
      <c r="T80" s="68">
        <f>SUM(T27:T79)</f>
        <v>0</v>
      </c>
      <c r="U80" s="69"/>
      <c r="V80" s="68">
        <f>SUM(V27:V79)</f>
        <v>1064880.4559025138</v>
      </c>
      <c r="W80" s="68">
        <f>SUM(W27:W79)</f>
        <v>-10683.909731342006</v>
      </c>
      <c r="X80" s="112">
        <f t="shared" si="33"/>
        <v>0</v>
      </c>
      <c r="Z80" s="110">
        <f>((G80*$D$113*1*References!$C$58)/References!$G$61)-'Company Calc'!L80</f>
        <v>0</v>
      </c>
    </row>
    <row r="81" spans="1:24">
      <c r="C81" s="59" t="s">
        <v>3</v>
      </c>
      <c r="D81" s="60">
        <f>D26+D80</f>
        <v>8115.433</v>
      </c>
      <c r="E81" s="60"/>
      <c r="F81" s="60">
        <f>F26+F80</f>
        <v>360935.77993933915</v>
      </c>
      <c r="G81" s="60"/>
      <c r="H81" s="60">
        <f>H26+H80</f>
        <v>22586358.976003338</v>
      </c>
      <c r="I81" s="60">
        <f>I26+I80</f>
        <v>17747059.999999996</v>
      </c>
      <c r="J81" s="60">
        <f t="shared" ref="J81:K81" si="36">J26+J80</f>
        <v>-28217.8253999999</v>
      </c>
      <c r="K81" s="60">
        <f t="shared" si="36"/>
        <v>-28796.637820185635</v>
      </c>
      <c r="L81" s="70"/>
      <c r="M81" s="70"/>
      <c r="N81" s="70"/>
      <c r="O81" s="70"/>
      <c r="P81" s="70">
        <f>P26+P80</f>
        <v>3366505.2268738551</v>
      </c>
      <c r="Q81" s="70">
        <f>Q26+Q80</f>
        <v>3337708.5890536699</v>
      </c>
      <c r="R81" s="70">
        <f>R26+R80</f>
        <v>-28796.637820185813</v>
      </c>
      <c r="S81" s="70">
        <f>S26+S80</f>
        <v>3337708.5890536699</v>
      </c>
      <c r="T81" s="70">
        <f>T26+T80</f>
        <v>0</v>
      </c>
      <c r="U81" s="70"/>
      <c r="V81" s="70">
        <f>V26+V80</f>
        <v>3337708.5890536699</v>
      </c>
      <c r="W81" s="70">
        <f>W26+W80</f>
        <v>-28796.637820185813</v>
      </c>
      <c r="X81" s="112">
        <f t="shared" si="33"/>
        <v>0</v>
      </c>
    </row>
    <row r="82" spans="1:24">
      <c r="J82" s="54"/>
      <c r="K82" s="166"/>
      <c r="M82" s="37"/>
      <c r="S82" s="57"/>
    </row>
    <row r="83" spans="1:24">
      <c r="E83" s="183"/>
      <c r="J83" s="54"/>
      <c r="Q83" s="37"/>
      <c r="S83" s="57"/>
      <c r="V83" s="37"/>
    </row>
    <row r="84" spans="1:24">
      <c r="A84" s="71"/>
      <c r="B84" s="72"/>
      <c r="C84" s="76" t="s">
        <v>99</v>
      </c>
      <c r="D84" s="73"/>
      <c r="E84" s="71"/>
      <c r="F84" s="71"/>
      <c r="G84" s="71"/>
      <c r="H84" s="71"/>
      <c r="I84" s="74"/>
      <c r="J84" s="75"/>
      <c r="K84" s="71"/>
      <c r="L84" s="71"/>
      <c r="M84" s="71"/>
      <c r="N84" s="71"/>
      <c r="O84" s="71"/>
      <c r="S84" s="57"/>
    </row>
    <row r="85" spans="1:24" ht="15" customHeight="1">
      <c r="A85" s="193" t="s">
        <v>12</v>
      </c>
      <c r="B85" s="153">
        <v>22</v>
      </c>
      <c r="C85" s="86" t="s">
        <v>100</v>
      </c>
      <c r="D85" s="31">
        <v>0</v>
      </c>
      <c r="E85" s="26">
        <f>References!B12</f>
        <v>4.333333333333333</v>
      </c>
      <c r="F85" s="150">
        <f>E85*12</f>
        <v>52</v>
      </c>
      <c r="G85" s="150">
        <f>References!B22</f>
        <v>97</v>
      </c>
      <c r="H85" s="150">
        <f>F85*G85/12</f>
        <v>420.33333333333331</v>
      </c>
      <c r="I85" s="150">
        <f>H85*$D$113</f>
        <v>330.27372382561231</v>
      </c>
      <c r="J85" s="63">
        <f>(References!$C$58*I85)</f>
        <v>-0.52513522088272169</v>
      </c>
      <c r="K85" s="96">
        <f>J85/References!$G$61</f>
        <v>-0.53590695058957205</v>
      </c>
      <c r="L85" s="63">
        <f>K85</f>
        <v>-0.53590695058957205</v>
      </c>
      <c r="M85" s="96">
        <f>'Proposed Rates'!C15</f>
        <v>60.61</v>
      </c>
      <c r="N85" s="96">
        <f>K85+M85</f>
        <v>60.074093049410429</v>
      </c>
      <c r="O85" s="96">
        <f>'Proposed Rates'!E15</f>
        <v>60.074093049410429</v>
      </c>
      <c r="W85" s="37"/>
    </row>
    <row r="86" spans="1:24">
      <c r="A86" s="193"/>
      <c r="B86" s="153">
        <v>22</v>
      </c>
      <c r="C86" s="86" t="s">
        <v>101</v>
      </c>
      <c r="D86" s="31">
        <v>0</v>
      </c>
      <c r="E86" s="26">
        <f>References!B12</f>
        <v>4.333333333333333</v>
      </c>
      <c r="F86" s="150">
        <f t="shared" ref="F86:F104" si="37">E86*12</f>
        <v>52</v>
      </c>
      <c r="G86" s="150">
        <f>References!B23</f>
        <v>117</v>
      </c>
      <c r="H86" s="150">
        <f t="shared" ref="H86:H104" si="38">F86*G86/12</f>
        <v>507</v>
      </c>
      <c r="I86" s="150">
        <f>H86*$D$113</f>
        <v>398.37139884120251</v>
      </c>
      <c r="J86" s="63">
        <f>(References!$C$58*I86)</f>
        <v>-0.63341052415750965</v>
      </c>
      <c r="K86" s="96">
        <f>J86/References!$G$61</f>
        <v>-0.64640322906164882</v>
      </c>
      <c r="L86" s="63">
        <f>K86</f>
        <v>-0.64640322906164882</v>
      </c>
      <c r="M86" s="96">
        <f>'Proposed Rates'!C16</f>
        <v>71.900000000000006</v>
      </c>
      <c r="N86" s="96">
        <f t="shared" ref="N86" si="39">K86+M86</f>
        <v>71.253596770938358</v>
      </c>
      <c r="O86" s="96">
        <f>'Proposed Rates'!E16</f>
        <v>71.253596770938358</v>
      </c>
      <c r="W86" s="37"/>
    </row>
    <row r="87" spans="1:24">
      <c r="A87" s="193"/>
      <c r="B87" s="153">
        <v>22</v>
      </c>
      <c r="C87" s="86" t="s">
        <v>358</v>
      </c>
      <c r="D87" s="31">
        <v>0</v>
      </c>
      <c r="E87" s="26">
        <f>References!B12</f>
        <v>4.333333333333333</v>
      </c>
      <c r="F87" s="150">
        <f t="shared" si="37"/>
        <v>52</v>
      </c>
      <c r="G87" s="150">
        <f>References!B27</f>
        <v>68</v>
      </c>
      <c r="H87" s="150">
        <f t="shared" si="38"/>
        <v>294.66666666666669</v>
      </c>
      <c r="I87" s="150">
        <f t="shared" ref="I87:I104" si="40">H87*$D$113</f>
        <v>231.5320950530066</v>
      </c>
      <c r="J87" s="63">
        <f>(References!$C$58*I87)</f>
        <v>-0.36813603113427917</v>
      </c>
      <c r="K87" s="96">
        <f>J87/References!$G$61</f>
        <v>-0.37568734680506088</v>
      </c>
      <c r="L87" s="63">
        <f>K87</f>
        <v>-0.37568734680506088</v>
      </c>
      <c r="M87" s="96">
        <f>'Proposed Rates'!C19</f>
        <v>41.57</v>
      </c>
      <c r="N87" s="96">
        <f>K87+M87</f>
        <v>41.194312653194942</v>
      </c>
      <c r="O87" s="96">
        <f>'Proposed Rates'!E19</f>
        <v>41.194312653194942</v>
      </c>
      <c r="W87" s="37"/>
    </row>
    <row r="88" spans="1:24">
      <c r="A88" s="193"/>
      <c r="B88" s="153">
        <v>22</v>
      </c>
      <c r="C88" s="86" t="s">
        <v>359</v>
      </c>
      <c r="D88" s="31">
        <v>0</v>
      </c>
      <c r="E88" s="26">
        <f>References!B13</f>
        <v>2.1666666666666665</v>
      </c>
      <c r="F88" s="150">
        <v>26</v>
      </c>
      <c r="G88" s="150">
        <f>References!B27</f>
        <v>68</v>
      </c>
      <c r="H88" s="150">
        <f t="shared" si="38"/>
        <v>147.33333333333334</v>
      </c>
      <c r="I88" s="150">
        <f t="shared" si="40"/>
        <v>115.7660475265033</v>
      </c>
      <c r="J88" s="63">
        <f>(References!$C$58*I88)</f>
        <v>-0.18406801556713959</v>
      </c>
      <c r="K88" s="96">
        <f>J88/References!$G$61</f>
        <v>-0.18784367340253044</v>
      </c>
      <c r="L88" s="63">
        <f t="shared" ref="L88:L103" si="41">K88</f>
        <v>-0.18784367340253044</v>
      </c>
      <c r="M88" s="96">
        <f>'Proposed Rates'!C23</f>
        <v>23.76</v>
      </c>
      <c r="N88" s="96">
        <f>K88+M88</f>
        <v>23.572156326597472</v>
      </c>
      <c r="O88" s="96">
        <f>'Proposed Rates'!E23</f>
        <v>23.572156326597472</v>
      </c>
      <c r="P88" s="37"/>
    </row>
    <row r="89" spans="1:24">
      <c r="A89" s="194"/>
      <c r="B89" s="39">
        <v>22</v>
      </c>
      <c r="C89" s="93" t="s">
        <v>360</v>
      </c>
      <c r="D89" s="77">
        <v>0</v>
      </c>
      <c r="E89" s="94">
        <f>References!B14</f>
        <v>1</v>
      </c>
      <c r="F89" s="32">
        <v>12</v>
      </c>
      <c r="G89" s="32">
        <f>References!B27</f>
        <v>68</v>
      </c>
      <c r="H89" s="32">
        <f t="shared" si="38"/>
        <v>68</v>
      </c>
      <c r="I89" s="32">
        <f t="shared" si="40"/>
        <v>53.430483473770749</v>
      </c>
      <c r="J89" s="95">
        <f>(References!$C$58*I89)</f>
        <v>-8.4954468723295179E-2</v>
      </c>
      <c r="K89" s="97">
        <f>J89/References!$G$61</f>
        <v>-8.6697080031937115E-2</v>
      </c>
      <c r="L89" s="63">
        <f t="shared" si="41"/>
        <v>-8.6697080031937115E-2</v>
      </c>
      <c r="M89" s="97">
        <f>'Proposed Rates'!C27</f>
        <v>15.99</v>
      </c>
      <c r="N89" s="96">
        <f t="shared" ref="N89:N104" si="42">K89+M89</f>
        <v>15.903302919968063</v>
      </c>
      <c r="O89" s="97">
        <f>'Proposed Rates'!E27</f>
        <v>15.903302919968063</v>
      </c>
      <c r="P89" s="37"/>
    </row>
    <row r="90" spans="1:24">
      <c r="A90" s="195" t="s">
        <v>13</v>
      </c>
      <c r="B90" s="153" t="s">
        <v>450</v>
      </c>
      <c r="C90" s="86" t="s">
        <v>448</v>
      </c>
      <c r="D90" s="31">
        <v>0</v>
      </c>
      <c r="E90" s="26">
        <v>1</v>
      </c>
      <c r="F90" s="150">
        <f t="shared" si="37"/>
        <v>12</v>
      </c>
      <c r="G90" s="150">
        <f>References!B51</f>
        <v>125</v>
      </c>
      <c r="H90" s="150">
        <f t="shared" si="38"/>
        <v>125</v>
      </c>
      <c r="I90" s="150">
        <f t="shared" si="40"/>
        <v>98.217800503255063</v>
      </c>
      <c r="J90" s="63">
        <f>(References!$C$58*I90)</f>
        <v>-0.15616630280017499</v>
      </c>
      <c r="K90" s="96">
        <f>J90/References!$G$61</f>
        <v>-0.15936963241164914</v>
      </c>
      <c r="L90" s="67">
        <f t="shared" si="41"/>
        <v>-0.15936963241164914</v>
      </c>
      <c r="M90" s="96">
        <f>'Proposed Rates'!C37</f>
        <v>28.52</v>
      </c>
      <c r="N90" s="18">
        <f t="shared" si="42"/>
        <v>28.36063036758835</v>
      </c>
      <c r="O90" s="96">
        <f>'Proposed Rates'!E37</f>
        <v>28.36063036758835</v>
      </c>
    </row>
    <row r="91" spans="1:24">
      <c r="A91" s="193"/>
      <c r="B91" s="153" t="s">
        <v>180</v>
      </c>
      <c r="C91" s="98" t="s">
        <v>409</v>
      </c>
      <c r="D91" s="31">
        <v>0</v>
      </c>
      <c r="E91" s="26">
        <v>1</v>
      </c>
      <c r="F91" s="150">
        <f t="shared" si="37"/>
        <v>12</v>
      </c>
      <c r="G91" s="150">
        <f>References!B42</f>
        <v>980</v>
      </c>
      <c r="H91" s="150">
        <f t="shared" si="38"/>
        <v>980</v>
      </c>
      <c r="I91" s="150">
        <f t="shared" si="40"/>
        <v>770.02755594551968</v>
      </c>
      <c r="J91" s="63">
        <f>(References!$C$58*I91)</f>
        <v>-1.2243438139533718</v>
      </c>
      <c r="K91" s="96">
        <f>J91/References!$G$61</f>
        <v>-1.2494579181073291</v>
      </c>
      <c r="L91" s="63">
        <f t="shared" si="41"/>
        <v>-1.2494579181073291</v>
      </c>
      <c r="M91" s="96">
        <f>'Proposed Rates'!C54</f>
        <v>146.63</v>
      </c>
      <c r="N91" s="96">
        <f t="shared" si="42"/>
        <v>145.38054208189266</v>
      </c>
      <c r="O91" s="96">
        <f>'Proposed Rates'!E54</f>
        <v>145.38054208189266</v>
      </c>
    </row>
    <row r="92" spans="1:24" ht="15" customHeight="1">
      <c r="A92" s="193"/>
      <c r="B92" s="153" t="s">
        <v>180</v>
      </c>
      <c r="C92" s="99" t="s">
        <v>438</v>
      </c>
      <c r="D92" s="31">
        <v>0</v>
      </c>
      <c r="E92" s="25">
        <v>1</v>
      </c>
      <c r="F92" s="150">
        <f t="shared" si="37"/>
        <v>12</v>
      </c>
      <c r="G92" s="64">
        <f>References!B42</f>
        <v>980</v>
      </c>
      <c r="H92" s="150">
        <f t="shared" si="38"/>
        <v>980</v>
      </c>
      <c r="I92" s="150">
        <f t="shared" si="40"/>
        <v>770.02755594551968</v>
      </c>
      <c r="J92" s="63">
        <f>(References!$C$58*I92)</f>
        <v>-1.2243438139533718</v>
      </c>
      <c r="K92" s="96">
        <f>J92/References!$G$61</f>
        <v>-1.2494579181073291</v>
      </c>
      <c r="L92" s="63">
        <f t="shared" si="41"/>
        <v>-1.2494579181073291</v>
      </c>
      <c r="M92" s="96">
        <f>'Proposed Rates'!C62</f>
        <v>149.63</v>
      </c>
      <c r="N92" s="96">
        <f t="shared" si="42"/>
        <v>148.38054208189266</v>
      </c>
      <c r="O92" s="96">
        <f>'Proposed Rates'!E62</f>
        <v>148.38054208189266</v>
      </c>
    </row>
    <row r="93" spans="1:24" ht="15" customHeight="1">
      <c r="A93" s="193"/>
      <c r="B93" s="153" t="s">
        <v>182</v>
      </c>
      <c r="C93" s="92" t="s">
        <v>440</v>
      </c>
      <c r="D93" s="31">
        <v>0</v>
      </c>
      <c r="E93" s="25">
        <v>1</v>
      </c>
      <c r="F93" s="150">
        <f t="shared" si="37"/>
        <v>12</v>
      </c>
      <c r="G93" s="64">
        <f>References!B25</f>
        <v>37</v>
      </c>
      <c r="H93" s="150">
        <f t="shared" si="38"/>
        <v>37</v>
      </c>
      <c r="I93" s="150">
        <f t="shared" si="40"/>
        <v>29.072468948963497</v>
      </c>
      <c r="J93" s="63">
        <f>(References!$C$58*I93)</f>
        <v>-4.6225225628851792E-2</v>
      </c>
      <c r="K93" s="96">
        <f>J93/References!$G$61</f>
        <v>-4.7173411193848137E-2</v>
      </c>
      <c r="L93" s="63">
        <f t="shared" si="41"/>
        <v>-4.7173411193848137E-2</v>
      </c>
      <c r="M93" s="96">
        <f>'Proposed Rates'!C73</f>
        <v>8.0299999999999994</v>
      </c>
      <c r="N93" s="96">
        <f t="shared" si="42"/>
        <v>7.9828265888061516</v>
      </c>
      <c r="O93" s="96">
        <f>'Proposed Rates'!E73</f>
        <v>7.9828265888061516</v>
      </c>
    </row>
    <row r="94" spans="1:24" ht="15" customHeight="1">
      <c r="A94" s="193"/>
      <c r="B94" s="153" t="s">
        <v>182</v>
      </c>
      <c r="C94" s="92" t="s">
        <v>439</v>
      </c>
      <c r="D94" s="31">
        <v>0</v>
      </c>
      <c r="E94" s="25">
        <v>1</v>
      </c>
      <c r="F94" s="150">
        <f t="shared" si="37"/>
        <v>12</v>
      </c>
      <c r="G94" s="64">
        <f>References!B26</f>
        <v>47</v>
      </c>
      <c r="H94" s="150">
        <f t="shared" si="38"/>
        <v>47</v>
      </c>
      <c r="I94" s="150">
        <f t="shared" si="40"/>
        <v>36.929892989223902</v>
      </c>
      <c r="J94" s="63">
        <f>(References!$C$58*I94)</f>
        <v>-5.871852985286579E-2</v>
      </c>
      <c r="K94" s="96">
        <f>J94/References!$G$61</f>
        <v>-5.9922981786780072E-2</v>
      </c>
      <c r="L94" s="63">
        <f t="shared" si="41"/>
        <v>-5.9922981786780072E-2</v>
      </c>
      <c r="M94" s="96">
        <f>'Proposed Rates'!C76</f>
        <v>10.71</v>
      </c>
      <c r="N94" s="96">
        <f t="shared" si="42"/>
        <v>10.650077018213221</v>
      </c>
      <c r="O94" s="96">
        <f>'Proposed Rates'!E76</f>
        <v>10.650077018213221</v>
      </c>
    </row>
    <row r="95" spans="1:24" ht="15" customHeight="1">
      <c r="A95" s="193"/>
      <c r="B95" s="153" t="s">
        <v>182</v>
      </c>
      <c r="C95" s="92" t="s">
        <v>442</v>
      </c>
      <c r="D95" s="31">
        <v>0</v>
      </c>
      <c r="E95" s="25">
        <v>1</v>
      </c>
      <c r="F95" s="150">
        <f t="shared" si="37"/>
        <v>12</v>
      </c>
      <c r="G95" s="64">
        <f>References!B27</f>
        <v>68</v>
      </c>
      <c r="H95" s="150">
        <f t="shared" si="38"/>
        <v>68</v>
      </c>
      <c r="I95" s="150">
        <f t="shared" si="40"/>
        <v>53.430483473770749</v>
      </c>
      <c r="J95" s="63">
        <f>(References!$C$58*I95)</f>
        <v>-8.4954468723295179E-2</v>
      </c>
      <c r="K95" s="96">
        <f>J95/References!$G$61</f>
        <v>-8.6697080031937115E-2</v>
      </c>
      <c r="L95" s="63">
        <f t="shared" si="41"/>
        <v>-8.6697080031937115E-2</v>
      </c>
      <c r="M95" s="96">
        <f>'Proposed Rates'!C78</f>
        <v>10.029999999999999</v>
      </c>
      <c r="N95" s="96">
        <f t="shared" si="42"/>
        <v>9.9433029199680618</v>
      </c>
      <c r="O95" s="96">
        <f>'Proposed Rates'!E78</f>
        <v>9.9433029199680618</v>
      </c>
    </row>
    <row r="96" spans="1:24" ht="15" customHeight="1">
      <c r="A96" s="193"/>
      <c r="B96" s="153" t="s">
        <v>182</v>
      </c>
      <c r="C96" s="92" t="s">
        <v>443</v>
      </c>
      <c r="D96" s="31">
        <v>0</v>
      </c>
      <c r="E96" s="25">
        <v>1</v>
      </c>
      <c r="F96" s="150">
        <f t="shared" si="37"/>
        <v>12</v>
      </c>
      <c r="G96" s="64">
        <f>References!B27</f>
        <v>68</v>
      </c>
      <c r="H96" s="150">
        <f t="shared" si="38"/>
        <v>68</v>
      </c>
      <c r="I96" s="150">
        <f t="shared" si="40"/>
        <v>53.430483473770749</v>
      </c>
      <c r="J96" s="63">
        <f>(References!$C$58*I96)</f>
        <v>-8.4954468723295179E-2</v>
      </c>
      <c r="K96" s="96">
        <f>J96/References!$G$61</f>
        <v>-8.6697080031937115E-2</v>
      </c>
      <c r="L96" s="63">
        <f t="shared" si="41"/>
        <v>-8.6697080031937115E-2</v>
      </c>
      <c r="M96" s="96">
        <f>'Proposed Rates'!C79</f>
        <v>13.03</v>
      </c>
      <c r="N96" s="96">
        <f t="shared" si="42"/>
        <v>12.943302919968062</v>
      </c>
      <c r="O96" s="96">
        <f>'Proposed Rates'!E79</f>
        <v>12.943302919968062</v>
      </c>
    </row>
    <row r="97" spans="1:19" ht="15" customHeight="1">
      <c r="A97" s="193"/>
      <c r="B97" s="153" t="s">
        <v>181</v>
      </c>
      <c r="C97" s="92" t="s">
        <v>441</v>
      </c>
      <c r="D97" s="31">
        <v>0</v>
      </c>
      <c r="E97" s="25">
        <v>1</v>
      </c>
      <c r="F97" s="150">
        <f t="shared" si="37"/>
        <v>12</v>
      </c>
      <c r="G97" s="64">
        <f>References!B31</f>
        <v>29</v>
      </c>
      <c r="H97" s="150">
        <f t="shared" si="38"/>
        <v>29</v>
      </c>
      <c r="I97" s="150">
        <f t="shared" si="40"/>
        <v>22.786529716755172</v>
      </c>
      <c r="J97" s="63">
        <f>(References!$C$58*I97)</f>
        <v>-3.623058224964059E-2</v>
      </c>
      <c r="K97" s="96">
        <f>J97/References!$G$61</f>
        <v>-3.6973754719502594E-2</v>
      </c>
      <c r="L97" s="63">
        <f t="shared" si="41"/>
        <v>-3.6973754719502594E-2</v>
      </c>
      <c r="M97" s="96">
        <f>'Proposed Rates'!C91</f>
        <v>7.34</v>
      </c>
      <c r="N97" s="96">
        <f t="shared" si="42"/>
        <v>7.3030262452804973</v>
      </c>
      <c r="O97" s="96">
        <f>'Proposed Rates'!E91</f>
        <v>7.3030262452804973</v>
      </c>
      <c r="S97" s="57"/>
    </row>
    <row r="98" spans="1:19" ht="15" customHeight="1">
      <c r="A98" s="193"/>
      <c r="B98" s="153" t="s">
        <v>181</v>
      </c>
      <c r="C98" s="56" t="s">
        <v>444</v>
      </c>
      <c r="D98" s="31">
        <v>0</v>
      </c>
      <c r="E98" s="25">
        <v>1</v>
      </c>
      <c r="F98" s="150">
        <f t="shared" si="37"/>
        <v>12</v>
      </c>
      <c r="G98" s="64">
        <f>References!B35</f>
        <v>324</v>
      </c>
      <c r="H98" s="150">
        <f t="shared" si="38"/>
        <v>324</v>
      </c>
      <c r="I98" s="150">
        <f t="shared" si="40"/>
        <v>254.58053890443711</v>
      </c>
      <c r="J98" s="63">
        <f>(References!$C$58*I98)</f>
        <v>-0.40478305685805355</v>
      </c>
      <c r="K98" s="96">
        <f>J98/References!$G$61</f>
        <v>-0.41308608721099455</v>
      </c>
      <c r="L98" s="63">
        <f t="shared" si="41"/>
        <v>-0.41308608721099455</v>
      </c>
      <c r="M98" s="96">
        <f>'Proposed Rates'!C93</f>
        <v>43.11</v>
      </c>
      <c r="N98" s="96">
        <f t="shared" si="42"/>
        <v>42.696913912789007</v>
      </c>
      <c r="O98" s="96">
        <f>'Proposed Rates'!E93</f>
        <v>42.696913912789007</v>
      </c>
      <c r="S98" s="57"/>
    </row>
    <row r="99" spans="1:19" ht="15" customHeight="1">
      <c r="A99" s="193"/>
      <c r="B99" s="153" t="s">
        <v>181</v>
      </c>
      <c r="C99" s="56" t="s">
        <v>445</v>
      </c>
      <c r="D99" s="31">
        <v>0</v>
      </c>
      <c r="E99" s="25">
        <v>1</v>
      </c>
      <c r="F99" s="150">
        <f t="shared" si="37"/>
        <v>12</v>
      </c>
      <c r="G99" s="64">
        <f>References!B36</f>
        <v>473</v>
      </c>
      <c r="H99" s="150">
        <f t="shared" si="38"/>
        <v>473</v>
      </c>
      <c r="I99" s="150">
        <f t="shared" si="40"/>
        <v>371.65615710431712</v>
      </c>
      <c r="J99" s="63">
        <f>(References!$C$58*I99)</f>
        <v>-0.59093328979586202</v>
      </c>
      <c r="K99" s="96">
        <f>J99/References!$G$61</f>
        <v>-0.60305468904568016</v>
      </c>
      <c r="L99" s="63">
        <f t="shared" si="41"/>
        <v>-0.60305468904568016</v>
      </c>
      <c r="M99" s="96">
        <f>'Proposed Rates'!C94</f>
        <v>57.29</v>
      </c>
      <c r="N99" s="96">
        <f t="shared" si="42"/>
        <v>56.686945310954322</v>
      </c>
      <c r="O99" s="96">
        <f>'Proposed Rates'!E94</f>
        <v>56.686945310954322</v>
      </c>
      <c r="S99" s="57"/>
    </row>
    <row r="100" spans="1:19" ht="15" customHeight="1">
      <c r="A100" s="193"/>
      <c r="B100" s="153" t="s">
        <v>181</v>
      </c>
      <c r="C100" s="56" t="s">
        <v>446</v>
      </c>
      <c r="D100" s="31">
        <v>0</v>
      </c>
      <c r="E100" s="25">
        <v>1</v>
      </c>
      <c r="F100" s="150">
        <f t="shared" si="37"/>
        <v>12</v>
      </c>
      <c r="G100" s="64">
        <f>References!B38</f>
        <v>613</v>
      </c>
      <c r="H100" s="150">
        <f t="shared" si="38"/>
        <v>613</v>
      </c>
      <c r="I100" s="150">
        <f t="shared" si="40"/>
        <v>481.66009366796277</v>
      </c>
      <c r="J100" s="63">
        <f>(References!$C$58*I100)</f>
        <v>-0.76583954893205797</v>
      </c>
      <c r="K100" s="96">
        <f>J100/References!$G$61</f>
        <v>-0.78154867734672717</v>
      </c>
      <c r="L100" s="63">
        <f t="shared" si="41"/>
        <v>-0.78154867734672717</v>
      </c>
      <c r="M100" s="96">
        <f>'Proposed Rates'!C95</f>
        <v>78.27</v>
      </c>
      <c r="N100" s="96">
        <f>K100+M100</f>
        <v>77.488451322653262</v>
      </c>
      <c r="O100" s="96">
        <f>'Proposed Rates'!E95</f>
        <v>77.488451322653262</v>
      </c>
      <c r="S100" s="57"/>
    </row>
    <row r="101" spans="1:19" ht="15" customHeight="1">
      <c r="A101" s="193"/>
      <c r="B101" s="153" t="s">
        <v>181</v>
      </c>
      <c r="C101" s="56" t="s">
        <v>447</v>
      </c>
      <c r="D101" s="31">
        <v>0</v>
      </c>
      <c r="E101" s="25">
        <v>1</v>
      </c>
      <c r="F101" s="150">
        <f t="shared" si="37"/>
        <v>12</v>
      </c>
      <c r="G101" s="64">
        <f>References!B40</f>
        <v>840</v>
      </c>
      <c r="H101" s="150">
        <f t="shared" si="38"/>
        <v>840</v>
      </c>
      <c r="I101" s="150">
        <f t="shared" si="40"/>
        <v>660.02361938187403</v>
      </c>
      <c r="J101" s="63">
        <f>(References!$C$58*I101)</f>
        <v>-1.0494375548171759</v>
      </c>
      <c r="K101" s="96">
        <f>J101/References!$G$61</f>
        <v>-1.0709639298062823</v>
      </c>
      <c r="L101" s="63">
        <f t="shared" si="41"/>
        <v>-1.0709639298062823</v>
      </c>
      <c r="M101" s="96">
        <f>'Proposed Rates'!C96</f>
        <v>109.41</v>
      </c>
      <c r="N101" s="96">
        <f t="shared" si="42"/>
        <v>108.33903607019371</v>
      </c>
      <c r="O101" s="96">
        <f>'Proposed Rates'!E96</f>
        <v>108.33903607019371</v>
      </c>
      <c r="S101" s="57"/>
    </row>
    <row r="102" spans="1:19">
      <c r="A102" s="193"/>
      <c r="B102" s="153" t="s">
        <v>449</v>
      </c>
      <c r="C102" s="85" t="s">
        <v>361</v>
      </c>
      <c r="D102" s="31">
        <v>0</v>
      </c>
      <c r="E102" s="25">
        <v>1</v>
      </c>
      <c r="F102" s="150">
        <f t="shared" si="37"/>
        <v>12</v>
      </c>
      <c r="G102" s="64">
        <f>References!B51</f>
        <v>125</v>
      </c>
      <c r="H102" s="150">
        <f t="shared" si="38"/>
        <v>125</v>
      </c>
      <c r="I102" s="150">
        <f t="shared" si="40"/>
        <v>98.217800503255063</v>
      </c>
      <c r="J102" s="63">
        <f>(References!$C$58*I102)</f>
        <v>-0.15616630280017499</v>
      </c>
      <c r="K102" s="96">
        <f>J102/References!$G$61</f>
        <v>-0.15936963241164914</v>
      </c>
      <c r="L102" s="63">
        <f t="shared" si="41"/>
        <v>-0.15936963241164914</v>
      </c>
      <c r="M102" s="96">
        <f>'Proposed Rates'!C103</f>
        <v>28.52</v>
      </c>
      <c r="N102" s="96">
        <f t="shared" si="42"/>
        <v>28.36063036758835</v>
      </c>
      <c r="O102" s="96">
        <f>'Proposed Rates'!E103</f>
        <v>28.36063036758835</v>
      </c>
      <c r="S102" s="57"/>
    </row>
    <row r="103" spans="1:19">
      <c r="A103" s="193"/>
      <c r="B103" s="153" t="s">
        <v>181</v>
      </c>
      <c r="C103" s="85" t="s">
        <v>434</v>
      </c>
      <c r="D103" s="31">
        <v>0</v>
      </c>
      <c r="E103" s="25">
        <v>1</v>
      </c>
      <c r="F103" s="150">
        <f t="shared" si="37"/>
        <v>12</v>
      </c>
      <c r="G103" s="64">
        <f>References!B51</f>
        <v>125</v>
      </c>
      <c r="H103" s="150">
        <f t="shared" si="38"/>
        <v>125</v>
      </c>
      <c r="I103" s="150">
        <f t="shared" si="40"/>
        <v>98.217800503255063</v>
      </c>
      <c r="J103" s="63">
        <f>(References!$C$58*I103)</f>
        <v>-0.15616630280017499</v>
      </c>
      <c r="K103" s="96">
        <f>J103/References!$G$61</f>
        <v>-0.15936963241164914</v>
      </c>
      <c r="L103" s="63">
        <f t="shared" si="41"/>
        <v>-0.15936963241164914</v>
      </c>
      <c r="M103" s="96">
        <f>'Proposed Rates'!C105</f>
        <v>6.96</v>
      </c>
      <c r="N103" s="96">
        <f t="shared" si="42"/>
        <v>6.8006303675883508</v>
      </c>
      <c r="O103" s="96">
        <f>'Proposed Rates'!E105</f>
        <v>6.9230262452804974</v>
      </c>
      <c r="S103" s="57"/>
    </row>
    <row r="104" spans="1:19">
      <c r="A104" s="194"/>
      <c r="B104" s="39">
        <v>38</v>
      </c>
      <c r="C104" s="84" t="s">
        <v>363</v>
      </c>
      <c r="D104" s="77">
        <v>0</v>
      </c>
      <c r="E104" s="78">
        <v>1</v>
      </c>
      <c r="F104" s="32">
        <f t="shared" si="37"/>
        <v>12</v>
      </c>
      <c r="G104" s="79">
        <f>References!B47</f>
        <v>1686</v>
      </c>
      <c r="H104" s="32">
        <f t="shared" si="38"/>
        <v>1686</v>
      </c>
      <c r="I104" s="32">
        <f t="shared" si="40"/>
        <v>1324.7616931879043</v>
      </c>
      <c r="J104" s="95">
        <f>(References!$C$58*I104)</f>
        <v>-2.10637109216876</v>
      </c>
      <c r="K104" s="97">
        <f>J104/References!$G$61</f>
        <v>-2.1495776019683235</v>
      </c>
      <c r="L104" s="95">
        <f>L74</f>
        <v>-2.1495776019683235</v>
      </c>
      <c r="M104" s="97">
        <f>'Proposed Rates'!C111</f>
        <v>166.72</v>
      </c>
      <c r="N104" s="97">
        <f t="shared" si="42"/>
        <v>164.57042239803167</v>
      </c>
      <c r="O104" s="97">
        <f>'Proposed Rates'!E111</f>
        <v>164.57042239803167</v>
      </c>
      <c r="S104" s="57"/>
    </row>
    <row r="105" spans="1:19">
      <c r="A105" s="58"/>
      <c r="C105" s="85"/>
      <c r="D105" s="31"/>
      <c r="E105" s="25"/>
      <c r="F105" s="150"/>
      <c r="G105" s="64"/>
      <c r="H105" s="150"/>
      <c r="J105" s="63"/>
      <c r="K105" s="96"/>
      <c r="L105" s="96"/>
      <c r="M105" s="96"/>
      <c r="N105" s="96"/>
      <c r="O105" s="63"/>
      <c r="S105" s="57"/>
    </row>
    <row r="106" spans="1:19">
      <c r="A106" s="58"/>
      <c r="C106" s="61"/>
      <c r="N106" s="63"/>
      <c r="S106" s="57"/>
    </row>
    <row r="107" spans="1:19">
      <c r="A107" s="58"/>
      <c r="C107" s="61"/>
      <c r="S107" s="57"/>
    </row>
    <row r="108" spans="1:19">
      <c r="A108" s="58"/>
      <c r="C108" s="191" t="s">
        <v>94</v>
      </c>
      <c r="D108" s="191"/>
      <c r="E108" s="83"/>
      <c r="F108" s="83"/>
      <c r="H108" s="91" t="s">
        <v>364</v>
      </c>
    </row>
    <row r="109" spans="1:19">
      <c r="A109" s="58"/>
      <c r="D109" s="53" t="s">
        <v>15</v>
      </c>
      <c r="E109" s="30"/>
      <c r="F109" s="30"/>
      <c r="H109" s="88" t="s">
        <v>365</v>
      </c>
      <c r="J109" s="35"/>
      <c r="P109" s="152"/>
      <c r="Q109" s="35"/>
    </row>
    <row r="110" spans="1:19">
      <c r="A110" s="58"/>
      <c r="C110" s="151" t="s">
        <v>31</v>
      </c>
      <c r="D110" s="62">
        <v>8873.5300000000007</v>
      </c>
      <c r="E110" s="115" t="s">
        <v>455</v>
      </c>
      <c r="F110" s="139"/>
      <c r="G110" s="165"/>
      <c r="H110" s="90" t="s">
        <v>366</v>
      </c>
      <c r="J110" s="35"/>
      <c r="P110" s="152"/>
      <c r="Q110" s="96"/>
    </row>
    <row r="111" spans="1:19">
      <c r="A111" s="58"/>
      <c r="C111" s="151" t="s">
        <v>32</v>
      </c>
      <c r="D111" s="28">
        <f>D110*2000</f>
        <v>17747060</v>
      </c>
      <c r="E111" s="115" t="s">
        <v>456</v>
      </c>
      <c r="F111" s="139"/>
      <c r="G111" s="62"/>
      <c r="H111" s="28"/>
      <c r="J111" s="35"/>
      <c r="Q111" s="96"/>
    </row>
    <row r="112" spans="1:19">
      <c r="A112" s="58"/>
      <c r="C112" s="151" t="s">
        <v>4</v>
      </c>
      <c r="D112" s="28">
        <f>F26+F80</f>
        <v>360935.77993933915</v>
      </c>
      <c r="E112" s="150"/>
      <c r="F112" s="150"/>
      <c r="G112" s="150"/>
      <c r="H112" s="150"/>
      <c r="J112" s="35"/>
      <c r="P112" s="152"/>
      <c r="Q112" s="96"/>
    </row>
    <row r="113" spans="3:17">
      <c r="C113" s="36" t="s">
        <v>10</v>
      </c>
      <c r="D113" s="27">
        <f>D111/$H$81</f>
        <v>0.78574240402604045</v>
      </c>
      <c r="E113" s="27"/>
      <c r="F113" s="27"/>
      <c r="G113" s="27"/>
      <c r="H113" s="24"/>
      <c r="J113" s="35"/>
      <c r="M113" s="34"/>
      <c r="N113" s="34"/>
      <c r="O113" s="34"/>
      <c r="P113" s="33"/>
      <c r="Q113" s="33"/>
    </row>
    <row r="114" spans="3:17">
      <c r="G114" s="38"/>
      <c r="H114" s="26"/>
      <c r="J114" s="35"/>
      <c r="M114" s="37"/>
      <c r="N114" s="23"/>
      <c r="O114" s="23"/>
      <c r="P114" s="57"/>
      <c r="Q114" s="24"/>
    </row>
    <row r="115" spans="3:17">
      <c r="C115" s="151" t="s">
        <v>12</v>
      </c>
      <c r="D115" s="113">
        <f>R26</f>
        <v>-18112.728088843807</v>
      </c>
      <c r="E115" s="120">
        <f>D115/P26</f>
        <v>-7.9062399188428081E-3</v>
      </c>
      <c r="H115" s="26"/>
      <c r="J115" s="35"/>
      <c r="M115" s="37"/>
      <c r="N115" s="23"/>
      <c r="O115" s="23"/>
      <c r="P115" s="57"/>
      <c r="Q115" s="24"/>
    </row>
    <row r="116" spans="3:17">
      <c r="C116" s="151" t="s">
        <v>13</v>
      </c>
      <c r="D116" s="113">
        <f>R80</f>
        <v>-10683.909731342006</v>
      </c>
      <c r="E116" s="120">
        <f>R80/P80</f>
        <v>-9.9333057813287846E-3</v>
      </c>
      <c r="H116" s="26"/>
      <c r="J116" s="35"/>
      <c r="M116" s="37"/>
      <c r="N116" s="23"/>
      <c r="O116" s="23"/>
      <c r="P116" s="57"/>
      <c r="Q116" s="24"/>
    </row>
    <row r="117" spans="3:17">
      <c r="C117" s="151" t="s">
        <v>15</v>
      </c>
      <c r="D117" s="114">
        <f>SUM(D115:D116)</f>
        <v>-28796.637820185813</v>
      </c>
      <c r="E117" s="57"/>
      <c r="I117" s="151"/>
    </row>
    <row r="118" spans="3:17">
      <c r="D118" s="151"/>
      <c r="E118" s="57"/>
      <c r="I118" s="151"/>
    </row>
    <row r="119" spans="3:17">
      <c r="C119" s="56" t="s">
        <v>459</v>
      </c>
      <c r="D119" s="150">
        <f>4269.48</f>
        <v>4269.4799999999996</v>
      </c>
      <c r="E119" s="121">
        <f>References!D58</f>
        <v>-2.146183437942889E-2</v>
      </c>
      <c r="F119" s="56"/>
      <c r="I119" s="151"/>
    </row>
    <row r="120" spans="3:17">
      <c r="D120" s="151"/>
      <c r="E120" s="115" t="s">
        <v>455</v>
      </c>
      <c r="F120" s="139"/>
      <c r="I120" s="151"/>
    </row>
    <row r="121" spans="3:17">
      <c r="C121" s="56" t="s">
        <v>469</v>
      </c>
      <c r="D121" s="114">
        <f>D119*References!B58</f>
        <v>-13576.946399999906</v>
      </c>
      <c r="E121" s="115" t="s">
        <v>456</v>
      </c>
      <c r="F121" s="139"/>
    </row>
    <row r="122" spans="3:17">
      <c r="D122" s="151"/>
      <c r="E122" s="57"/>
    </row>
    <row r="123" spans="3:17">
      <c r="D123" s="151"/>
      <c r="E123" s="57"/>
    </row>
    <row r="124" spans="3:17">
      <c r="D124" s="114">
        <f>D117+D121</f>
        <v>-42373.584220185716</v>
      </c>
      <c r="E124" s="57"/>
    </row>
    <row r="125" spans="3:17">
      <c r="D125" s="151"/>
      <c r="E125" s="57"/>
    </row>
    <row r="126" spans="3:17">
      <c r="D126" s="151"/>
      <c r="E126" s="57"/>
    </row>
  </sheetData>
  <mergeCells count="6">
    <mergeCell ref="C108:D108"/>
    <mergeCell ref="A5:K5"/>
    <mergeCell ref="A7:A25"/>
    <mergeCell ref="A27:A79"/>
    <mergeCell ref="A85:A89"/>
    <mergeCell ref="A90:A104"/>
  </mergeCells>
  <pageMargins left="0.7" right="0.7" top="0.75" bottom="0.75" header="0.3" footer="0.3"/>
  <pageSetup scale="53" fitToHeight="0" pageOrder="overThenDown" orientation="landscape" r:id="rId1"/>
  <headerFooter>
    <oddFooter>&amp;L&amp;F - &amp;A&amp;R&amp;P of &amp;N</oddFooter>
  </headerFooter>
  <rowBreaks count="2" manualBreakCount="2">
    <brk id="55" max="22" man="1"/>
    <brk id="81" max="22" man="1"/>
  </rowBreaks>
  <colBreaks count="1" manualBreakCount="1">
    <brk id="15" max="80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1:J114"/>
  <sheetViews>
    <sheetView view="pageBreakPreview" topLeftCell="B91" zoomScale="85" zoomScaleNormal="85" zoomScaleSheetLayoutView="85" workbookViewId="0">
      <selection activeCell="B47" sqref="B47"/>
    </sheetView>
  </sheetViews>
  <sheetFormatPr defaultRowHeight="15" outlineLevelCol="1"/>
  <cols>
    <col min="1" max="1" width="25.85546875" style="151" hidden="1" customWidth="1" outlineLevel="1"/>
    <col min="2" max="2" width="28.28515625" style="55" customWidth="1" collapsed="1"/>
    <col min="3" max="3" width="12.7109375" style="55" customWidth="1"/>
    <col min="4" max="4" width="15" style="55" customWidth="1"/>
    <col min="5" max="5" width="12.5703125" style="55" customWidth="1"/>
    <col min="6" max="6" width="10.140625" style="55" customWidth="1"/>
    <col min="7" max="16384" width="9.140625" style="55"/>
  </cols>
  <sheetData>
    <row r="1" spans="1:10">
      <c r="B1" s="125" t="s">
        <v>367</v>
      </c>
      <c r="F1" s="168"/>
    </row>
    <row r="2" spans="1:10">
      <c r="B2" s="125" t="s">
        <v>464</v>
      </c>
      <c r="F2" s="168"/>
    </row>
    <row r="3" spans="1:10">
      <c r="B3" s="125" t="s">
        <v>467</v>
      </c>
      <c r="C3" s="178">
        <v>43831</v>
      </c>
      <c r="F3" s="168"/>
    </row>
    <row r="4" spans="1:10">
      <c r="B4" s="125"/>
      <c r="F4" s="168"/>
    </row>
    <row r="5" spans="1:10">
      <c r="B5" s="139" t="s">
        <v>99</v>
      </c>
      <c r="C5" s="124"/>
      <c r="D5" s="30"/>
      <c r="E5" s="30"/>
      <c r="F5" s="169" t="s">
        <v>475</v>
      </c>
    </row>
    <row r="6" spans="1:10" ht="60" customHeight="1">
      <c r="C6" s="163" t="s">
        <v>460</v>
      </c>
      <c r="D6" s="162" t="s">
        <v>461</v>
      </c>
      <c r="E6" s="164" t="s">
        <v>479</v>
      </c>
      <c r="F6" s="171" t="s">
        <v>479</v>
      </c>
    </row>
    <row r="7" spans="1:10">
      <c r="B7" s="125" t="s">
        <v>368</v>
      </c>
      <c r="F7" s="168"/>
    </row>
    <row r="8" spans="1:10">
      <c r="B8" s="55" t="s">
        <v>369</v>
      </c>
      <c r="C8" s="170">
        <v>6.55</v>
      </c>
      <c r="D8" s="35">
        <f>'Company Calc'!L25</f>
        <v>-4.3348540015968565E-2</v>
      </c>
      <c r="E8" s="35">
        <f>C8+D8</f>
        <v>6.506651459984031</v>
      </c>
      <c r="F8" s="170"/>
      <c r="G8" s="170"/>
    </row>
    <row r="9" spans="1:10">
      <c r="C9" s="56"/>
      <c r="F9" s="56"/>
      <c r="G9" s="170"/>
    </row>
    <row r="10" spans="1:10">
      <c r="B10" s="125" t="s">
        <v>370</v>
      </c>
      <c r="C10" s="170"/>
      <c r="E10" s="35"/>
      <c r="F10" s="170"/>
      <c r="G10" s="170"/>
    </row>
    <row r="11" spans="1:10">
      <c r="A11" s="180" t="s">
        <v>110</v>
      </c>
      <c r="B11" s="55" t="s">
        <v>371</v>
      </c>
      <c r="C11" s="170">
        <v>16.87</v>
      </c>
      <c r="D11" s="35">
        <f>VLOOKUP(A11,'Company Calc'!C:L,10,FALSE)</f>
        <v>-0.11049627847207671</v>
      </c>
      <c r="E11" s="35">
        <f t="shared" ref="E11:E73" si="0">C11+D11</f>
        <v>16.759503721527924</v>
      </c>
      <c r="F11" s="170"/>
      <c r="G11" s="170"/>
    </row>
    <row r="12" spans="1:10">
      <c r="A12" s="180" t="s">
        <v>111</v>
      </c>
      <c r="B12" s="55" t="s">
        <v>372</v>
      </c>
      <c r="C12" s="170">
        <v>22.06</v>
      </c>
      <c r="D12" s="179">
        <f>VLOOKUP(A12,'Company Calc'!C:L,10,FALSE)</f>
        <v>-0.18784367340253041</v>
      </c>
      <c r="E12" s="35">
        <f t="shared" si="0"/>
        <v>21.872156326597469</v>
      </c>
      <c r="F12" s="170"/>
      <c r="G12" s="170"/>
    </row>
    <row r="13" spans="1:10">
      <c r="A13" s="180" t="s">
        <v>112</v>
      </c>
      <c r="B13" s="55" t="s">
        <v>373</v>
      </c>
      <c r="C13" s="170">
        <v>33.770000000000003</v>
      </c>
      <c r="D13" s="179">
        <f>VLOOKUP(A13,'Company Calc'!C:L,10,FALSE)</f>
        <v>-0.28176551010379564</v>
      </c>
      <c r="E13" s="35">
        <f t="shared" si="0"/>
        <v>33.488234489896207</v>
      </c>
      <c r="F13" s="170"/>
      <c r="G13" s="170"/>
    </row>
    <row r="14" spans="1:10">
      <c r="A14" s="180" t="s">
        <v>113</v>
      </c>
      <c r="B14" s="55" t="s">
        <v>374</v>
      </c>
      <c r="C14" s="170">
        <v>46.47</v>
      </c>
      <c r="D14" s="179">
        <f>VLOOKUP(A14,'Company Calc'!C:L,10,FALSE)</f>
        <v>-0.42541067211749534</v>
      </c>
      <c r="E14" s="35">
        <f t="shared" si="0"/>
        <v>46.044589327882505</v>
      </c>
      <c r="F14" s="170"/>
      <c r="G14" s="170"/>
    </row>
    <row r="15" spans="1:10">
      <c r="A15" s="181" t="s">
        <v>100</v>
      </c>
      <c r="B15" s="116" t="s">
        <v>375</v>
      </c>
      <c r="C15" s="126">
        <v>60.61</v>
      </c>
      <c r="D15" s="186">
        <f>VLOOKUP(A15,'Company Calc'!C:L,10,FALSE)</f>
        <v>-0.53590695058957205</v>
      </c>
      <c r="E15" s="126">
        <f t="shared" si="0"/>
        <v>60.074093049410429</v>
      </c>
      <c r="F15" s="170"/>
      <c r="G15" s="170"/>
    </row>
    <row r="16" spans="1:10">
      <c r="A16" s="181" t="s">
        <v>101</v>
      </c>
      <c r="B16" s="116" t="s">
        <v>376</v>
      </c>
      <c r="C16" s="126">
        <v>71.900000000000006</v>
      </c>
      <c r="D16" s="186">
        <f>VLOOKUP(A16,'Company Calc'!C:L,10,FALSE)</f>
        <v>-0.64640322906164882</v>
      </c>
      <c r="E16" s="126">
        <f t="shared" si="0"/>
        <v>71.253596770938358</v>
      </c>
      <c r="F16" s="170"/>
      <c r="G16" s="170"/>
      <c r="J16" s="180"/>
    </row>
    <row r="17" spans="1:10">
      <c r="A17" s="180" t="s">
        <v>114</v>
      </c>
      <c r="B17" s="55" t="s">
        <v>377</v>
      </c>
      <c r="C17" s="170">
        <v>24.48</v>
      </c>
      <c r="D17" s="179">
        <f>VLOOKUP(A17,'Company Calc'!C:L,10,FALSE)</f>
        <v>-0.20441811517334194</v>
      </c>
      <c r="E17" s="35">
        <f t="shared" si="0"/>
        <v>24.275581884826657</v>
      </c>
      <c r="F17" s="170"/>
      <c r="G17" s="170"/>
    </row>
    <row r="18" spans="1:10">
      <c r="A18" s="180" t="s">
        <v>115</v>
      </c>
      <c r="B18" s="55" t="s">
        <v>378</v>
      </c>
      <c r="C18" s="170">
        <v>31.92</v>
      </c>
      <c r="D18" s="179">
        <f>VLOOKUP(A18,'Company Calc'!C:L,10,FALSE)</f>
        <v>-0.25966625440938024</v>
      </c>
      <c r="E18" s="35">
        <f t="shared" si="0"/>
        <v>31.66033374559062</v>
      </c>
      <c r="F18" s="170"/>
      <c r="G18" s="170"/>
    </row>
    <row r="19" spans="1:10">
      <c r="A19" s="182" t="s">
        <v>358</v>
      </c>
      <c r="B19" s="116" t="s">
        <v>379</v>
      </c>
      <c r="C19" s="126">
        <v>41.57</v>
      </c>
      <c r="D19" s="186">
        <f>VLOOKUP(A19,'Company Calc'!C:L,10,FALSE)</f>
        <v>-0.37568734680506088</v>
      </c>
      <c r="E19" s="126">
        <f t="shared" si="0"/>
        <v>41.194312653194942</v>
      </c>
      <c r="F19" s="170"/>
      <c r="G19" s="170"/>
    </row>
    <row r="20" spans="1:10">
      <c r="A20" s="180" t="s">
        <v>117</v>
      </c>
      <c r="B20" s="55" t="s">
        <v>380</v>
      </c>
      <c r="C20" s="170">
        <v>12.73</v>
      </c>
      <c r="D20" s="179">
        <f>VLOOKUP(A20,'Company Calc'!C:L,10,FALSE)</f>
        <v>-9.3921836701265193E-2</v>
      </c>
      <c r="E20" s="35">
        <f t="shared" si="0"/>
        <v>12.636078163298736</v>
      </c>
      <c r="F20" s="170"/>
      <c r="G20" s="170"/>
    </row>
    <row r="21" spans="1:10">
      <c r="A21" s="180" t="s">
        <v>119</v>
      </c>
      <c r="B21" s="55" t="s">
        <v>381</v>
      </c>
      <c r="C21" s="170">
        <v>14.11</v>
      </c>
      <c r="D21" s="179">
        <f>VLOOKUP(A21,'Company Calc'!C:L,10,FALSE)</f>
        <v>-0.10220905758667097</v>
      </c>
      <c r="E21" s="35">
        <f t="shared" si="0"/>
        <v>14.007790942413328</v>
      </c>
      <c r="F21" s="170"/>
      <c r="G21" s="170"/>
      <c r="J21" s="180"/>
    </row>
    <row r="22" spans="1:10">
      <c r="A22" s="180" t="s">
        <v>120</v>
      </c>
      <c r="B22" s="55" t="s">
        <v>382</v>
      </c>
      <c r="C22" s="170">
        <v>18.27</v>
      </c>
      <c r="D22" s="179">
        <f>VLOOKUP(A22,'Company Calc'!C:L,10,FALSE)</f>
        <v>-0.12983312720469012</v>
      </c>
      <c r="E22" s="35">
        <f t="shared" si="0"/>
        <v>18.140166872795309</v>
      </c>
      <c r="F22" s="170"/>
      <c r="G22" s="170"/>
    </row>
    <row r="23" spans="1:10">
      <c r="A23" s="185" t="s">
        <v>359</v>
      </c>
      <c r="B23" s="116" t="s">
        <v>383</v>
      </c>
      <c r="C23" s="126">
        <v>23.76</v>
      </c>
      <c r="D23" s="186">
        <f>VLOOKUP(A23,'Company Calc'!C:L,10,FALSE)</f>
        <v>-0.18784367340253044</v>
      </c>
      <c r="E23" s="126">
        <f t="shared" si="0"/>
        <v>23.572156326597472</v>
      </c>
      <c r="F23" s="170"/>
      <c r="G23" s="170"/>
      <c r="J23" s="180"/>
    </row>
    <row r="24" spans="1:10">
      <c r="A24" s="180" t="s">
        <v>122</v>
      </c>
      <c r="B24" s="55" t="s">
        <v>384</v>
      </c>
      <c r="C24" s="170">
        <v>7.52</v>
      </c>
      <c r="D24" s="179">
        <f>VLOOKUP(A24,'Company Calc'!C:L,10,FALSE)</f>
        <v>-4.3348540015968558E-2</v>
      </c>
      <c r="E24" s="35">
        <f t="shared" si="0"/>
        <v>7.4766514599840308</v>
      </c>
      <c r="F24" s="170"/>
      <c r="G24" s="170"/>
    </row>
    <row r="25" spans="1:10">
      <c r="A25" s="180" t="s">
        <v>124</v>
      </c>
      <c r="B25" s="55" t="s">
        <v>385</v>
      </c>
      <c r="C25" s="170">
        <v>8.6300000000000008</v>
      </c>
      <c r="D25" s="179">
        <f>VLOOKUP(A25,'Company Calc'!C:L,10,FALSE)</f>
        <v>-4.7173411193848144E-2</v>
      </c>
      <c r="E25" s="35">
        <f t="shared" si="0"/>
        <v>8.582826588806153</v>
      </c>
      <c r="F25" s="170"/>
      <c r="G25" s="170"/>
    </row>
    <row r="26" spans="1:10">
      <c r="A26" s="180" t="s">
        <v>125</v>
      </c>
      <c r="B26" s="55" t="s">
        <v>386</v>
      </c>
      <c r="C26" s="170">
        <v>12.36</v>
      </c>
      <c r="D26" s="179">
        <f>VLOOKUP(A26,'Company Calc'!C:L,10,FALSE)</f>
        <v>-5.9922981786780072E-2</v>
      </c>
      <c r="E26" s="35">
        <f t="shared" si="0"/>
        <v>12.300077018213219</v>
      </c>
      <c r="F26" s="170"/>
      <c r="G26" s="170"/>
    </row>
    <row r="27" spans="1:10">
      <c r="A27" s="184" t="s">
        <v>360</v>
      </c>
      <c r="B27" s="116" t="s">
        <v>387</v>
      </c>
      <c r="C27" s="126">
        <v>15.99</v>
      </c>
      <c r="D27" s="186">
        <f>VLOOKUP(A27,'Company Calc'!C:L,10,FALSE)</f>
        <v>-8.6697080031937115E-2</v>
      </c>
      <c r="E27" s="126">
        <f t="shared" si="0"/>
        <v>15.903302919968063</v>
      </c>
      <c r="F27" s="170"/>
      <c r="G27" s="170"/>
    </row>
    <row r="28" spans="1:10">
      <c r="A28" s="184"/>
      <c r="D28" s="35"/>
      <c r="E28" s="35"/>
      <c r="F28" s="170"/>
      <c r="G28" s="170"/>
    </row>
    <row r="29" spans="1:10">
      <c r="B29" s="125" t="s">
        <v>388</v>
      </c>
      <c r="E29" s="35"/>
      <c r="F29" s="170"/>
      <c r="G29" s="170"/>
    </row>
    <row r="30" spans="1:10">
      <c r="A30" s="180" t="s">
        <v>127</v>
      </c>
      <c r="B30" s="55" t="s">
        <v>389</v>
      </c>
      <c r="C30" s="35">
        <v>6.98</v>
      </c>
      <c r="D30" s="183">
        <f>VLOOKUP(A30,'Company Calc'!C:L,10,FALSE)</f>
        <v>-4.3348540015968558E-2</v>
      </c>
      <c r="E30" s="35">
        <f t="shared" si="0"/>
        <v>6.9366514599840317</v>
      </c>
      <c r="F30" s="170"/>
      <c r="G30" s="170"/>
    </row>
    <row r="31" spans="1:10">
      <c r="A31" s="180" t="s">
        <v>127</v>
      </c>
      <c r="B31" s="55" t="s">
        <v>390</v>
      </c>
      <c r="C31" s="172">
        <v>6.98</v>
      </c>
      <c r="D31" s="183">
        <f>VLOOKUP(A31,'Company Calc'!C:L,10,FALSE)</f>
        <v>-4.3348540015968558E-2</v>
      </c>
      <c r="E31" s="35">
        <f t="shared" si="0"/>
        <v>6.9366514599840317</v>
      </c>
      <c r="F31" s="170"/>
      <c r="G31" s="170"/>
    </row>
    <row r="32" spans="1:10">
      <c r="A32" s="180" t="s">
        <v>127</v>
      </c>
      <c r="B32" s="55" t="s">
        <v>391</v>
      </c>
      <c r="C32" s="172">
        <v>6.98</v>
      </c>
      <c r="D32" s="183">
        <f>VLOOKUP(A32,'Company Calc'!C:L,10,FALSE)</f>
        <v>-4.3348540015968558E-2</v>
      </c>
      <c r="E32" s="35">
        <f t="shared" si="0"/>
        <v>6.9366514599840317</v>
      </c>
      <c r="F32" s="170"/>
      <c r="G32" s="170"/>
    </row>
    <row r="33" spans="1:7">
      <c r="A33" s="180" t="s">
        <v>127</v>
      </c>
      <c r="B33" s="55" t="s">
        <v>392</v>
      </c>
      <c r="C33" s="172">
        <v>6.98</v>
      </c>
      <c r="D33" s="183">
        <f>VLOOKUP(A33,'Company Calc'!C:L,10,FALSE)</f>
        <v>-4.3348540015968558E-2</v>
      </c>
      <c r="E33" s="35">
        <f t="shared" si="0"/>
        <v>6.9366514599840317</v>
      </c>
      <c r="F33" s="170"/>
      <c r="G33" s="170"/>
    </row>
    <row r="34" spans="1:7">
      <c r="A34" s="180" t="s">
        <v>126</v>
      </c>
      <c r="B34" s="55" t="s">
        <v>393</v>
      </c>
      <c r="C34" s="35">
        <v>8.52</v>
      </c>
      <c r="D34" s="183">
        <f>VLOOKUP(A34,'Company Calc'!C:L,10,FALSE)</f>
        <v>-4.3348540015968558E-2</v>
      </c>
      <c r="E34" s="35">
        <f t="shared" si="0"/>
        <v>8.4766514599840317</v>
      </c>
      <c r="F34" s="170"/>
      <c r="G34" s="170"/>
    </row>
    <row r="35" spans="1:7">
      <c r="E35" s="35"/>
      <c r="F35" s="170"/>
      <c r="G35" s="170"/>
    </row>
    <row r="36" spans="1:7">
      <c r="B36" s="125" t="s">
        <v>394</v>
      </c>
      <c r="E36" s="35"/>
      <c r="F36" s="170"/>
      <c r="G36" s="170"/>
    </row>
    <row r="37" spans="1:7">
      <c r="A37" s="55" t="s">
        <v>448</v>
      </c>
      <c r="B37" s="116" t="s">
        <v>395</v>
      </c>
      <c r="C37" s="126">
        <v>28.52</v>
      </c>
      <c r="D37" s="186">
        <f>VLOOKUP(A37,'Company Calc'!C:L,10,FALSE)</f>
        <v>-0.15936963241164914</v>
      </c>
      <c r="E37" s="126">
        <f t="shared" si="0"/>
        <v>28.36063036758835</v>
      </c>
      <c r="F37" s="170"/>
      <c r="G37" s="170"/>
    </row>
    <row r="38" spans="1:7">
      <c r="A38" s="184" t="s">
        <v>448</v>
      </c>
      <c r="B38" s="55" t="s">
        <v>396</v>
      </c>
      <c r="C38" s="170">
        <v>28.52</v>
      </c>
      <c r="D38" s="183">
        <f>VLOOKUP(A38,'Company Calc'!C:L,10,FALSE)</f>
        <v>-0.15936963241164914</v>
      </c>
      <c r="E38" s="35">
        <f t="shared" si="0"/>
        <v>28.36063036758835</v>
      </c>
      <c r="F38" s="170"/>
      <c r="G38" s="170"/>
    </row>
    <row r="39" spans="1:7">
      <c r="A39" s="184" t="s">
        <v>448</v>
      </c>
      <c r="B39" s="55" t="s">
        <v>397</v>
      </c>
      <c r="C39" s="170">
        <v>28.52</v>
      </c>
      <c r="D39" s="183">
        <f>VLOOKUP(A39,'Company Calc'!C:L,10,FALSE)</f>
        <v>-0.15936963241164914</v>
      </c>
      <c r="E39" s="35">
        <f t="shared" si="0"/>
        <v>28.36063036758835</v>
      </c>
      <c r="F39" s="170"/>
      <c r="G39" s="170"/>
    </row>
    <row r="40" spans="1:7">
      <c r="E40" s="35"/>
      <c r="F40" s="170"/>
      <c r="G40" s="170"/>
    </row>
    <row r="41" spans="1:7">
      <c r="B41" s="125" t="s">
        <v>398</v>
      </c>
      <c r="E41" s="35"/>
      <c r="F41" s="170"/>
      <c r="G41" s="170"/>
    </row>
    <row r="42" spans="1:7">
      <c r="A42" s="180" t="s">
        <v>128</v>
      </c>
      <c r="B42" s="55" t="s">
        <v>399</v>
      </c>
      <c r="C42" s="170">
        <v>28.52</v>
      </c>
      <c r="D42" s="170">
        <f>D39</f>
        <v>-0.15936963241164914</v>
      </c>
      <c r="E42" s="170">
        <f t="shared" si="0"/>
        <v>28.36063036758835</v>
      </c>
      <c r="F42" s="170"/>
      <c r="G42" s="170"/>
    </row>
    <row r="43" spans="1:7">
      <c r="E43" s="35"/>
      <c r="F43" s="170"/>
      <c r="G43" s="170"/>
    </row>
    <row r="44" spans="1:7">
      <c r="B44" s="125" t="s">
        <v>400</v>
      </c>
      <c r="E44" s="35"/>
      <c r="F44" s="170"/>
      <c r="G44" s="170"/>
    </row>
    <row r="45" spans="1:7">
      <c r="B45" s="55" t="s">
        <v>401</v>
      </c>
      <c r="C45" s="35">
        <v>148.16999999999999</v>
      </c>
      <c r="D45" s="26">
        <f>References!B58</f>
        <v>-3.1799999999999784</v>
      </c>
      <c r="E45" s="35">
        <f t="shared" si="0"/>
        <v>144.99</v>
      </c>
      <c r="F45" s="170"/>
      <c r="G45" s="170"/>
    </row>
    <row r="46" spans="1:7">
      <c r="D46" s="172"/>
      <c r="E46" s="35"/>
      <c r="F46" s="170"/>
      <c r="G46" s="170"/>
    </row>
    <row r="47" spans="1:7">
      <c r="B47" s="125" t="s">
        <v>402</v>
      </c>
      <c r="E47" s="35"/>
      <c r="F47" s="170"/>
      <c r="G47" s="170"/>
    </row>
    <row r="48" spans="1:7">
      <c r="A48" s="184" t="s">
        <v>131</v>
      </c>
      <c r="B48" s="55" t="s">
        <v>403</v>
      </c>
      <c r="C48" s="35">
        <v>21.85</v>
      </c>
      <c r="D48" s="183">
        <f>VLOOKUP(A48,'Company Calc'!C:L,10,FALSE)</f>
        <v>-0.22311748537630879</v>
      </c>
      <c r="E48" s="35">
        <f t="shared" si="0"/>
        <v>21.626882514623691</v>
      </c>
      <c r="F48" s="170"/>
      <c r="G48" s="170"/>
    </row>
    <row r="49" spans="1:8">
      <c r="A49" s="184" t="s">
        <v>133</v>
      </c>
      <c r="B49" s="55" t="s">
        <v>404</v>
      </c>
      <c r="C49" s="35">
        <v>31.23</v>
      </c>
      <c r="D49" s="183">
        <f>VLOOKUP(A49,'Company Calc'!C:L,10,FALSE)</f>
        <v>-0.31873926482329817</v>
      </c>
      <c r="E49" s="35">
        <f t="shared" si="0"/>
        <v>30.911260735176704</v>
      </c>
      <c r="F49" s="170"/>
      <c r="G49" s="170"/>
      <c r="H49" s="184"/>
    </row>
    <row r="50" spans="1:8">
      <c r="A50" s="184" t="s">
        <v>136</v>
      </c>
      <c r="B50" s="55" t="s">
        <v>405</v>
      </c>
      <c r="C50" s="35">
        <v>43.11</v>
      </c>
      <c r="D50" s="183">
        <f>VLOOKUP(A50,'Company Calc'!C:L,10,FALSE)</f>
        <v>-0.41308608721099449</v>
      </c>
      <c r="E50" s="35">
        <f t="shared" si="0"/>
        <v>42.696913912789007</v>
      </c>
      <c r="F50" s="170"/>
      <c r="G50" s="170"/>
    </row>
    <row r="51" spans="1:8">
      <c r="A51" s="184" t="s">
        <v>140</v>
      </c>
      <c r="B51" s="55" t="s">
        <v>406</v>
      </c>
      <c r="C51" s="35">
        <v>57.29</v>
      </c>
      <c r="D51" s="183">
        <f>VLOOKUP(A51,'Company Calc'!C:L,10,FALSE)</f>
        <v>-0.60305468904568027</v>
      </c>
      <c r="E51" s="35">
        <f t="shared" si="0"/>
        <v>56.686945310954322</v>
      </c>
      <c r="F51" s="170"/>
      <c r="G51" s="170"/>
      <c r="H51" s="184"/>
    </row>
    <row r="52" spans="1:8">
      <c r="A52" s="184" t="s">
        <v>142</v>
      </c>
      <c r="B52" s="55" t="s">
        <v>407</v>
      </c>
      <c r="C52" s="35">
        <v>78.27</v>
      </c>
      <c r="D52" s="183">
        <f>VLOOKUP(A52,'Company Calc'!C:L,10,FALSE)</f>
        <v>-0.78154867734672739</v>
      </c>
      <c r="E52" s="35">
        <f t="shared" si="0"/>
        <v>77.488451322653262</v>
      </c>
      <c r="F52" s="170"/>
      <c r="G52" s="170"/>
      <c r="H52" s="184"/>
    </row>
    <row r="53" spans="1:8">
      <c r="A53" s="184" t="s">
        <v>144</v>
      </c>
      <c r="B53" s="55" t="s">
        <v>408</v>
      </c>
      <c r="C53" s="35">
        <v>109.42</v>
      </c>
      <c r="D53" s="183">
        <f>VLOOKUP(A53,'Company Calc'!C:L,10,FALSE)</f>
        <v>-1.0709639298062819</v>
      </c>
      <c r="E53" s="35">
        <f t="shared" si="0"/>
        <v>108.34903607019372</v>
      </c>
      <c r="F53" s="170"/>
      <c r="G53" s="170"/>
    </row>
    <row r="54" spans="1:8">
      <c r="A54" s="184" t="s">
        <v>145</v>
      </c>
      <c r="B54" s="56" t="s">
        <v>409</v>
      </c>
      <c r="C54" s="127">
        <v>146.63</v>
      </c>
      <c r="D54" s="183">
        <f>VLOOKUP(A54,'Company Calc'!C:L,10,FALSE)</f>
        <v>-1.2494579181073293</v>
      </c>
      <c r="E54" s="35">
        <f t="shared" si="0"/>
        <v>145.38054208189266</v>
      </c>
      <c r="F54" s="170"/>
      <c r="G54" s="170"/>
      <c r="H54" s="184"/>
    </row>
    <row r="55" spans="1:8">
      <c r="E55" s="35"/>
      <c r="F55" s="170"/>
      <c r="G55" s="170"/>
      <c r="H55" s="184"/>
    </row>
    <row r="56" spans="1:8">
      <c r="B56" s="55" t="s">
        <v>410</v>
      </c>
      <c r="C56" s="35">
        <v>24.85</v>
      </c>
      <c r="D56" s="35">
        <f>D48</f>
        <v>-0.22311748537630879</v>
      </c>
      <c r="E56" s="35">
        <f t="shared" si="0"/>
        <v>24.626882514623691</v>
      </c>
      <c r="F56" s="170"/>
      <c r="G56" s="170"/>
      <c r="H56" s="184"/>
    </row>
    <row r="57" spans="1:8">
      <c r="B57" s="55" t="s">
        <v>411</v>
      </c>
      <c r="C57" s="35">
        <v>34.229999999999997</v>
      </c>
      <c r="D57" s="35">
        <f t="shared" ref="D57:D62" si="1">D49</f>
        <v>-0.31873926482329817</v>
      </c>
      <c r="E57" s="35">
        <f t="shared" si="0"/>
        <v>33.911260735176697</v>
      </c>
      <c r="F57" s="170"/>
      <c r="G57" s="170"/>
    </row>
    <row r="58" spans="1:8">
      <c r="B58" s="55" t="s">
        <v>412</v>
      </c>
      <c r="C58" s="35">
        <v>46.11</v>
      </c>
      <c r="D58" s="35">
        <f t="shared" si="1"/>
        <v>-0.41308608721099449</v>
      </c>
      <c r="E58" s="35">
        <f t="shared" si="0"/>
        <v>45.696913912789007</v>
      </c>
      <c r="F58" s="170"/>
      <c r="G58" s="170"/>
      <c r="H58" s="184"/>
    </row>
    <row r="59" spans="1:8">
      <c r="B59" s="55" t="s">
        <v>413</v>
      </c>
      <c r="C59" s="35">
        <v>60.29</v>
      </c>
      <c r="D59" s="35">
        <f t="shared" si="1"/>
        <v>-0.60305468904568027</v>
      </c>
      <c r="E59" s="35">
        <f t="shared" si="0"/>
        <v>59.686945310954322</v>
      </c>
      <c r="F59" s="170"/>
      <c r="G59" s="170"/>
    </row>
    <row r="60" spans="1:8">
      <c r="B60" s="55" t="s">
        <v>414</v>
      </c>
      <c r="C60" s="35">
        <v>81.27</v>
      </c>
      <c r="D60" s="35">
        <f t="shared" si="1"/>
        <v>-0.78154867734672739</v>
      </c>
      <c r="E60" s="35">
        <f t="shared" si="0"/>
        <v>80.488451322653262</v>
      </c>
      <c r="F60" s="170"/>
      <c r="G60" s="170"/>
      <c r="H60" s="184"/>
    </row>
    <row r="61" spans="1:8">
      <c r="B61" s="55" t="s">
        <v>415</v>
      </c>
      <c r="C61" s="35">
        <v>112.42</v>
      </c>
      <c r="D61" s="35">
        <f t="shared" si="1"/>
        <v>-1.0709639298062819</v>
      </c>
      <c r="E61" s="35">
        <f t="shared" si="0"/>
        <v>111.34903607019372</v>
      </c>
      <c r="F61" s="170"/>
      <c r="G61" s="170"/>
    </row>
    <row r="62" spans="1:8">
      <c r="B62" s="56" t="s">
        <v>416</v>
      </c>
      <c r="C62" s="127">
        <v>149.63</v>
      </c>
      <c r="D62" s="127">
        <f t="shared" si="1"/>
        <v>-1.2494579181073293</v>
      </c>
      <c r="E62" s="35">
        <f t="shared" si="0"/>
        <v>148.38054208189266</v>
      </c>
      <c r="F62" s="170"/>
      <c r="G62" s="170"/>
      <c r="H62" s="184"/>
    </row>
    <row r="63" spans="1:8">
      <c r="E63" s="35"/>
      <c r="F63" s="170"/>
      <c r="G63" s="170"/>
    </row>
    <row r="64" spans="1:8">
      <c r="B64" s="55" t="s">
        <v>417</v>
      </c>
      <c r="C64" s="35">
        <v>26.86</v>
      </c>
      <c r="D64" s="35">
        <f>D48</f>
        <v>-0.22311748537630879</v>
      </c>
      <c r="E64" s="35">
        <f t="shared" si="0"/>
        <v>26.636882514623689</v>
      </c>
      <c r="F64" s="170"/>
      <c r="G64" s="170"/>
      <c r="H64" s="184"/>
    </row>
    <row r="65" spans="1:8">
      <c r="B65" s="55" t="s">
        <v>418</v>
      </c>
      <c r="C65" s="35">
        <v>31.23</v>
      </c>
      <c r="D65" s="35">
        <f t="shared" ref="D65:D68" si="2">D49</f>
        <v>-0.31873926482329817</v>
      </c>
      <c r="E65" s="35">
        <f t="shared" si="0"/>
        <v>30.911260735176704</v>
      </c>
      <c r="F65" s="170"/>
      <c r="G65" s="170"/>
      <c r="H65" s="184"/>
    </row>
    <row r="66" spans="1:8">
      <c r="B66" s="55" t="s">
        <v>419</v>
      </c>
      <c r="C66" s="35">
        <v>40.659999999999997</v>
      </c>
      <c r="D66" s="35">
        <f t="shared" si="2"/>
        <v>-0.41308608721099449</v>
      </c>
      <c r="E66" s="35">
        <f t="shared" si="0"/>
        <v>40.246913912789005</v>
      </c>
      <c r="F66" s="170"/>
      <c r="G66" s="170"/>
      <c r="H66" s="184"/>
    </row>
    <row r="67" spans="1:8">
      <c r="B67" s="116" t="s">
        <v>457</v>
      </c>
      <c r="C67" s="128">
        <v>57.29</v>
      </c>
      <c r="D67" s="126">
        <f t="shared" si="2"/>
        <v>-0.60305468904568027</v>
      </c>
      <c r="E67" s="126">
        <f t="shared" si="0"/>
        <v>56.686945310954322</v>
      </c>
      <c r="F67" s="170"/>
      <c r="G67" s="170"/>
      <c r="H67" s="184"/>
    </row>
    <row r="68" spans="1:8">
      <c r="B68" s="116" t="s">
        <v>458</v>
      </c>
      <c r="C68" s="128">
        <v>78.27</v>
      </c>
      <c r="D68" s="126">
        <f t="shared" si="2"/>
        <v>-0.78154867734672739</v>
      </c>
      <c r="E68" s="126">
        <f t="shared" si="0"/>
        <v>77.488451322653262</v>
      </c>
      <c r="F68" s="170"/>
      <c r="G68" s="170"/>
      <c r="H68" s="184"/>
    </row>
    <row r="69" spans="1:8">
      <c r="E69" s="35"/>
      <c r="F69" s="170"/>
      <c r="G69" s="170"/>
      <c r="H69" s="184"/>
    </row>
    <row r="70" spans="1:8">
      <c r="B70" s="125" t="s">
        <v>420</v>
      </c>
      <c r="E70" s="35"/>
      <c r="F70" s="170"/>
      <c r="G70" s="170"/>
      <c r="H70" s="184"/>
    </row>
    <row r="71" spans="1:8">
      <c r="E71" s="35"/>
      <c r="F71" s="170"/>
      <c r="G71" s="170"/>
      <c r="H71" s="184"/>
    </row>
    <row r="72" spans="1:8">
      <c r="A72" s="184" t="s">
        <v>177</v>
      </c>
      <c r="B72" s="55" t="s">
        <v>421</v>
      </c>
      <c r="C72" s="35">
        <v>6.03</v>
      </c>
      <c r="D72" s="183">
        <f>VLOOKUP(A72,'Company Calc'!C:L,10,FALSE)</f>
        <v>-4.7173411193848137E-2</v>
      </c>
      <c r="E72" s="35">
        <f t="shared" si="0"/>
        <v>5.9828265888061525</v>
      </c>
      <c r="F72" s="170"/>
      <c r="G72" s="170"/>
      <c r="H72" s="184"/>
    </row>
    <row r="73" spans="1:8">
      <c r="A73" s="184" t="s">
        <v>440</v>
      </c>
      <c r="B73" s="116" t="s">
        <v>422</v>
      </c>
      <c r="C73" s="126">
        <v>8.0299999999999994</v>
      </c>
      <c r="D73" s="126">
        <f>D72</f>
        <v>-4.7173411193848137E-2</v>
      </c>
      <c r="E73" s="126">
        <f t="shared" si="0"/>
        <v>7.9828265888061516</v>
      </c>
      <c r="F73" s="170"/>
      <c r="G73" s="170"/>
      <c r="H73" s="184"/>
    </row>
    <row r="74" spans="1:8">
      <c r="E74" s="35"/>
      <c r="F74" s="170"/>
      <c r="G74" s="170"/>
      <c r="H74" s="184"/>
    </row>
    <row r="75" spans="1:8">
      <c r="A75" s="184" t="s">
        <v>178</v>
      </c>
      <c r="B75" s="55" t="s">
        <v>203</v>
      </c>
      <c r="C75" s="35">
        <v>7.71</v>
      </c>
      <c r="D75" s="183">
        <f>VLOOKUP(A75,'Company Calc'!C:L,10,FALSE)</f>
        <v>-5.9922981786780079E-2</v>
      </c>
      <c r="E75" s="35">
        <f t="shared" ref="E75:E111" si="3">C75+D75</f>
        <v>7.6500770182132198</v>
      </c>
      <c r="F75" s="170"/>
      <c r="G75" s="170"/>
      <c r="H75" s="184"/>
    </row>
    <row r="76" spans="1:8">
      <c r="A76" s="184" t="s">
        <v>439</v>
      </c>
      <c r="B76" s="116" t="s">
        <v>423</v>
      </c>
      <c r="C76" s="126">
        <v>10.71</v>
      </c>
      <c r="D76" s="126">
        <f>D75</f>
        <v>-5.9922981786780079E-2</v>
      </c>
      <c r="E76" s="126">
        <f t="shared" si="3"/>
        <v>10.650077018213221</v>
      </c>
      <c r="F76" s="170"/>
      <c r="G76" s="170"/>
      <c r="H76" s="184"/>
    </row>
    <row r="77" spans="1:8">
      <c r="E77" s="35"/>
      <c r="F77" s="170"/>
      <c r="G77" s="170"/>
      <c r="H77" s="184"/>
    </row>
    <row r="78" spans="1:8">
      <c r="A78" s="184" t="s">
        <v>442</v>
      </c>
      <c r="B78" s="116" t="s">
        <v>424</v>
      </c>
      <c r="C78" s="126">
        <v>10.029999999999999</v>
      </c>
      <c r="D78" s="186">
        <f>VLOOKUP(A78,'Company Calc'!C:L,10,FALSE)</f>
        <v>-8.6697080031937115E-2</v>
      </c>
      <c r="E78" s="126">
        <f t="shared" si="3"/>
        <v>9.9433029199680618</v>
      </c>
      <c r="F78" s="170"/>
      <c r="G78" s="170"/>
      <c r="H78" s="184"/>
    </row>
    <row r="79" spans="1:8">
      <c r="A79" s="184" t="s">
        <v>443</v>
      </c>
      <c r="B79" s="116" t="s">
        <v>425</v>
      </c>
      <c r="C79" s="126">
        <v>13.03</v>
      </c>
      <c r="D79" s="126">
        <f>D78</f>
        <v>-8.6697080031937115E-2</v>
      </c>
      <c r="E79" s="126">
        <f t="shared" si="3"/>
        <v>12.943302919968062</v>
      </c>
      <c r="F79" s="170"/>
      <c r="G79" s="170"/>
      <c r="H79" s="184"/>
    </row>
    <row r="80" spans="1:8">
      <c r="B80" s="56"/>
      <c r="C80" s="127"/>
      <c r="D80" s="127"/>
      <c r="E80" s="127"/>
      <c r="F80" s="170"/>
      <c r="G80" s="170"/>
      <c r="H80" s="184"/>
    </row>
    <row r="81" spans="1:8">
      <c r="B81" s="56" t="s">
        <v>463</v>
      </c>
      <c r="C81" s="127">
        <v>28.52</v>
      </c>
      <c r="D81" s="183">
        <f>D37</f>
        <v>-0.15936963241164914</v>
      </c>
      <c r="E81" s="127">
        <f t="shared" si="3"/>
        <v>28.36063036758835</v>
      </c>
      <c r="F81" s="170"/>
      <c r="G81" s="170"/>
      <c r="H81" s="184"/>
    </row>
    <row r="82" spans="1:8">
      <c r="B82" s="56"/>
      <c r="C82" s="127"/>
      <c r="D82" s="127"/>
      <c r="E82" s="35"/>
      <c r="F82" s="170"/>
      <c r="G82" s="170"/>
      <c r="H82" s="184"/>
    </row>
    <row r="83" spans="1:8">
      <c r="A83" s="184" t="s">
        <v>434</v>
      </c>
      <c r="B83" s="116" t="s">
        <v>454</v>
      </c>
      <c r="C83" s="126">
        <v>6.65</v>
      </c>
      <c r="D83" s="186">
        <f>VLOOKUP(A83,'Company Calc'!C:L,10,FALSE)</f>
        <v>-0.15936963241164914</v>
      </c>
      <c r="E83" s="126">
        <f t="shared" si="3"/>
        <v>6.4906303675883512</v>
      </c>
      <c r="F83" s="170"/>
      <c r="G83" s="170"/>
      <c r="H83" s="184"/>
    </row>
    <row r="84" spans="1:8">
      <c r="C84" s="35"/>
      <c r="E84" s="35"/>
      <c r="F84" s="170"/>
      <c r="G84" s="170"/>
      <c r="H84" s="184"/>
    </row>
    <row r="85" spans="1:8">
      <c r="B85" s="55" t="s">
        <v>426</v>
      </c>
      <c r="C85" s="35">
        <v>26.1</v>
      </c>
      <c r="D85" s="35">
        <f>D72*References!B12</f>
        <v>-0.20441811517334191</v>
      </c>
      <c r="E85" s="35">
        <f t="shared" si="3"/>
        <v>25.895581884826658</v>
      </c>
      <c r="F85" s="170"/>
      <c r="G85" s="170"/>
      <c r="H85" s="184"/>
    </row>
    <row r="86" spans="1:8">
      <c r="B86" s="55" t="s">
        <v>427</v>
      </c>
      <c r="C86" s="35">
        <v>33.409999999999997</v>
      </c>
      <c r="D86" s="35">
        <f>D75*References!B12</f>
        <v>-0.25966625440938035</v>
      </c>
      <c r="E86" s="35">
        <f t="shared" si="3"/>
        <v>33.150333745590615</v>
      </c>
      <c r="F86" s="170"/>
      <c r="G86" s="170"/>
      <c r="H86" s="184"/>
    </row>
    <row r="87" spans="1:8">
      <c r="B87" s="55" t="s">
        <v>428</v>
      </c>
      <c r="C87" s="35">
        <v>43.46</v>
      </c>
      <c r="D87" s="35">
        <f>D78*References!B12</f>
        <v>-0.37568734680506083</v>
      </c>
      <c r="E87" s="35">
        <f t="shared" si="3"/>
        <v>43.084312653194942</v>
      </c>
      <c r="F87" s="170"/>
      <c r="G87" s="170"/>
      <c r="H87" s="184"/>
    </row>
    <row r="88" spans="1:8">
      <c r="C88" s="35"/>
      <c r="E88" s="35"/>
      <c r="F88" s="170"/>
      <c r="G88" s="170"/>
      <c r="H88" s="184"/>
    </row>
    <row r="89" spans="1:8">
      <c r="B89" s="125" t="s">
        <v>429</v>
      </c>
      <c r="E89" s="35"/>
      <c r="F89" s="170"/>
      <c r="G89" s="170"/>
      <c r="H89" s="184"/>
    </row>
    <row r="90" spans="1:8">
      <c r="B90" s="55" t="s">
        <v>430</v>
      </c>
      <c r="C90" s="35">
        <v>5.34</v>
      </c>
      <c r="D90" s="35">
        <f>'Company Calc'!L75</f>
        <v>-3.6973754719502601E-2</v>
      </c>
      <c r="E90" s="35">
        <f t="shared" si="3"/>
        <v>5.3030262452804973</v>
      </c>
      <c r="F90" s="170"/>
      <c r="G90" s="170"/>
      <c r="H90" s="184"/>
    </row>
    <row r="91" spans="1:8">
      <c r="B91" s="116" t="s">
        <v>431</v>
      </c>
      <c r="C91" s="126">
        <v>7.34</v>
      </c>
      <c r="D91" s="126">
        <f>D90</f>
        <v>-3.6973754719502601E-2</v>
      </c>
      <c r="E91" s="126">
        <f t="shared" si="3"/>
        <v>7.3030262452804973</v>
      </c>
      <c r="F91" s="170"/>
      <c r="G91" s="170"/>
      <c r="H91" s="184"/>
    </row>
    <row r="92" spans="1:8">
      <c r="E92" s="35"/>
      <c r="F92" s="170"/>
      <c r="G92" s="170"/>
      <c r="H92" s="184"/>
    </row>
    <row r="93" spans="1:8">
      <c r="B93" s="116" t="s">
        <v>405</v>
      </c>
      <c r="C93" s="126">
        <v>43.11</v>
      </c>
      <c r="D93" s="126">
        <f>D50</f>
        <v>-0.41308608721099449</v>
      </c>
      <c r="E93" s="126">
        <f t="shared" si="3"/>
        <v>42.696913912789007</v>
      </c>
      <c r="F93" s="170"/>
      <c r="G93" s="170"/>
      <c r="H93" s="184"/>
    </row>
    <row r="94" spans="1:8">
      <c r="B94" s="116" t="s">
        <v>406</v>
      </c>
      <c r="C94" s="126">
        <v>57.29</v>
      </c>
      <c r="D94" s="126">
        <f>D51</f>
        <v>-0.60305468904568027</v>
      </c>
      <c r="E94" s="126">
        <f t="shared" si="3"/>
        <v>56.686945310954322</v>
      </c>
      <c r="F94" s="170"/>
      <c r="G94" s="170"/>
      <c r="H94" s="184"/>
    </row>
    <row r="95" spans="1:8">
      <c r="B95" s="116" t="s">
        <v>407</v>
      </c>
      <c r="C95" s="126">
        <v>78.27</v>
      </c>
      <c r="D95" s="126">
        <f>D52</f>
        <v>-0.78154867734672739</v>
      </c>
      <c r="E95" s="126">
        <f t="shared" si="3"/>
        <v>77.488451322653262</v>
      </c>
      <c r="F95" s="170"/>
      <c r="G95" s="170"/>
      <c r="H95" s="184"/>
    </row>
    <row r="96" spans="1:8">
      <c r="B96" s="116" t="s">
        <v>432</v>
      </c>
      <c r="C96" s="126">
        <v>109.41</v>
      </c>
      <c r="D96" s="126">
        <f>D53</f>
        <v>-1.0709639298062819</v>
      </c>
      <c r="E96" s="126">
        <f t="shared" si="3"/>
        <v>108.33903607019371</v>
      </c>
      <c r="F96" s="170"/>
      <c r="G96" s="170"/>
      <c r="H96" s="184"/>
    </row>
    <row r="97" spans="2:8">
      <c r="E97" s="35"/>
      <c r="F97" s="170"/>
      <c r="G97" s="170"/>
      <c r="H97" s="184"/>
    </row>
    <row r="98" spans="2:8">
      <c r="B98" s="116" t="s">
        <v>412</v>
      </c>
      <c r="C98" s="126">
        <v>46.11</v>
      </c>
      <c r="D98" s="126">
        <f>D50</f>
        <v>-0.41308608721099449</v>
      </c>
      <c r="E98" s="126">
        <f t="shared" si="3"/>
        <v>45.696913912789007</v>
      </c>
      <c r="F98" s="170"/>
      <c r="G98" s="170"/>
    </row>
    <row r="99" spans="2:8">
      <c r="B99" s="116" t="s">
        <v>413</v>
      </c>
      <c r="C99" s="126">
        <v>60.29</v>
      </c>
      <c r="D99" s="126">
        <f t="shared" ref="D99:D101" si="4">D51</f>
        <v>-0.60305468904568027</v>
      </c>
      <c r="E99" s="126">
        <f t="shared" si="3"/>
        <v>59.686945310954322</v>
      </c>
      <c r="F99" s="170"/>
      <c r="G99" s="170"/>
    </row>
    <row r="100" spans="2:8">
      <c r="B100" s="116" t="s">
        <v>414</v>
      </c>
      <c r="C100" s="126">
        <v>81.27</v>
      </c>
      <c r="D100" s="126">
        <f t="shared" si="4"/>
        <v>-0.78154867734672739</v>
      </c>
      <c r="E100" s="126">
        <f t="shared" si="3"/>
        <v>80.488451322653262</v>
      </c>
      <c r="F100" s="170"/>
      <c r="G100" s="170"/>
      <c r="H100" s="184"/>
    </row>
    <row r="101" spans="2:8">
      <c r="B101" s="116" t="s">
        <v>452</v>
      </c>
      <c r="C101" s="126">
        <v>112.41</v>
      </c>
      <c r="D101" s="126">
        <f t="shared" si="4"/>
        <v>-1.0709639298062819</v>
      </c>
      <c r="E101" s="126">
        <f t="shared" si="3"/>
        <v>111.33903607019371</v>
      </c>
      <c r="F101" s="170"/>
      <c r="G101" s="170"/>
    </row>
    <row r="102" spans="2:8">
      <c r="E102" s="35"/>
      <c r="F102" s="170"/>
      <c r="G102" s="170"/>
    </row>
    <row r="103" spans="2:8">
      <c r="B103" s="116" t="s">
        <v>433</v>
      </c>
      <c r="C103" s="126">
        <v>28.52</v>
      </c>
      <c r="D103" s="126">
        <f>D42</f>
        <v>-0.15936963241164914</v>
      </c>
      <c r="E103" s="126">
        <f t="shared" si="3"/>
        <v>28.36063036758835</v>
      </c>
      <c r="F103" s="170"/>
      <c r="G103" s="170"/>
    </row>
    <row r="104" spans="2:8">
      <c r="E104" s="35"/>
      <c r="F104" s="170"/>
      <c r="G104" s="170"/>
    </row>
    <row r="105" spans="2:8">
      <c r="B105" s="116" t="s">
        <v>434</v>
      </c>
      <c r="C105" s="126">
        <v>6.96</v>
      </c>
      <c r="D105" s="126">
        <f>D90</f>
        <v>-3.6973754719502601E-2</v>
      </c>
      <c r="E105" s="126">
        <f t="shared" si="3"/>
        <v>6.9230262452804974</v>
      </c>
      <c r="F105" s="170"/>
      <c r="G105" s="170"/>
    </row>
    <row r="106" spans="2:8">
      <c r="E106" s="35"/>
      <c r="F106" s="170"/>
      <c r="G106" s="170"/>
    </row>
    <row r="107" spans="2:8">
      <c r="B107" s="55" t="s">
        <v>435</v>
      </c>
      <c r="C107" s="35">
        <v>23.11</v>
      </c>
      <c r="D107" s="35">
        <f>D90*References!B12</f>
        <v>-0.16021960378451125</v>
      </c>
      <c r="E107" s="35">
        <f t="shared" si="3"/>
        <v>22.949780396215488</v>
      </c>
      <c r="F107" s="170"/>
      <c r="G107" s="170"/>
    </row>
    <row r="108" spans="2:8">
      <c r="E108" s="35"/>
      <c r="F108" s="170"/>
      <c r="G108" s="170"/>
    </row>
    <row r="109" spans="2:8">
      <c r="B109" s="125" t="s">
        <v>436</v>
      </c>
      <c r="E109" s="35"/>
      <c r="F109" s="170"/>
      <c r="G109" s="170"/>
    </row>
    <row r="110" spans="2:8">
      <c r="B110" s="55" t="s">
        <v>407</v>
      </c>
      <c r="C110" s="35">
        <v>161.72</v>
      </c>
      <c r="D110" s="127">
        <f>'Company Calc'!$L$104</f>
        <v>-2.1495776019683235</v>
      </c>
      <c r="E110" s="35">
        <f t="shared" si="3"/>
        <v>159.57042239803167</v>
      </c>
      <c r="F110" s="170"/>
      <c r="G110" s="170"/>
    </row>
    <row r="111" spans="2:8">
      <c r="B111" s="116" t="s">
        <v>414</v>
      </c>
      <c r="C111" s="126">
        <v>166.72</v>
      </c>
      <c r="D111" s="126">
        <f>D110</f>
        <v>-2.1495776019683235</v>
      </c>
      <c r="E111" s="126">
        <f t="shared" si="3"/>
        <v>164.57042239803167</v>
      </c>
      <c r="F111" s="170"/>
      <c r="G111" s="170"/>
    </row>
    <row r="114" spans="4:6">
      <c r="D114" s="35"/>
      <c r="F114" s="168"/>
    </row>
  </sheetData>
  <pageMargins left="0.7" right="0.7" top="0.75" bottom="0.75" header="0.3" footer="0.3"/>
  <pageSetup scale="71" fitToHeight="2" orientation="portrait" r:id="rId1"/>
  <headerFooter>
    <oddFooter>&amp;L&amp;F - &amp;A&amp;R&amp;P of &amp;N</oddFooter>
  </headerFooter>
  <rowBreaks count="2" manualBreakCount="2">
    <brk id="43" max="16383" man="1"/>
    <brk id="88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N132"/>
  <sheetViews>
    <sheetView zoomScale="85" zoomScaleNormal="85" workbookViewId="0">
      <selection activeCell="B47" sqref="B47"/>
    </sheetView>
  </sheetViews>
  <sheetFormatPr defaultRowHeight="15"/>
  <cols>
    <col min="1" max="1" width="21.140625" style="140" customWidth="1"/>
    <col min="2" max="2" width="27.85546875" style="140" bestFit="1" customWidth="1"/>
    <col min="3" max="3" width="15.7109375" style="140" bestFit="1" customWidth="1"/>
    <col min="4" max="4" width="15.85546875" style="140" bestFit="1" customWidth="1"/>
    <col min="5" max="5" width="14" style="140" bestFit="1" customWidth="1"/>
    <col min="6" max="6" width="14.5703125" style="140" bestFit="1" customWidth="1"/>
    <col min="7" max="7" width="14.140625" style="140" bestFit="1" customWidth="1"/>
    <col min="8" max="10" width="10.140625" style="140" bestFit="1" customWidth="1"/>
    <col min="11" max="11" width="8.5703125" style="140" bestFit="1" customWidth="1"/>
    <col min="12" max="12" width="12.7109375" style="140" customWidth="1"/>
    <col min="13" max="14" width="14.28515625" style="140" bestFit="1" customWidth="1"/>
    <col min="15" max="16384" width="9.140625" style="15"/>
  </cols>
  <sheetData>
    <row r="1" spans="1:14">
      <c r="A1" s="158" t="s">
        <v>367</v>
      </c>
    </row>
    <row r="2" spans="1:14">
      <c r="A2" s="158" t="s">
        <v>464</v>
      </c>
    </row>
    <row r="3" spans="1:14">
      <c r="A3" s="158" t="s">
        <v>466</v>
      </c>
    </row>
    <row r="4" spans="1:14" s="155" customFormat="1">
      <c r="A4" s="158" t="s">
        <v>183</v>
      </c>
      <c r="B4" s="157"/>
      <c r="C4" s="157"/>
      <c r="D4" s="157"/>
      <c r="E4" s="157"/>
      <c r="F4" s="157"/>
      <c r="G4" s="157"/>
      <c r="H4" s="157"/>
      <c r="I4" s="157"/>
      <c r="J4" s="157"/>
      <c r="K4" s="157"/>
      <c r="L4" s="157"/>
      <c r="M4" s="157"/>
      <c r="N4" s="157"/>
    </row>
    <row r="5" spans="1:14" ht="61.5" customHeight="1">
      <c r="A5" s="197" t="s">
        <v>462</v>
      </c>
      <c r="B5" s="197"/>
      <c r="C5" s="197"/>
      <c r="D5" s="197"/>
      <c r="E5" s="141"/>
      <c r="F5" s="141"/>
      <c r="G5" s="141"/>
      <c r="I5" s="136"/>
      <c r="L5" s="141"/>
    </row>
    <row r="6" spans="1:14">
      <c r="C6" s="141" t="s">
        <v>184</v>
      </c>
      <c r="D6" s="141" t="s">
        <v>185</v>
      </c>
      <c r="E6" s="141" t="s">
        <v>186</v>
      </c>
      <c r="F6" s="141" t="s">
        <v>187</v>
      </c>
      <c r="G6" s="141" t="s">
        <v>188</v>
      </c>
      <c r="H6" s="141" t="s">
        <v>189</v>
      </c>
      <c r="I6" s="141" t="s">
        <v>190</v>
      </c>
      <c r="J6" s="141" t="s">
        <v>190</v>
      </c>
      <c r="K6" s="141" t="s">
        <v>87</v>
      </c>
      <c r="L6" s="141" t="s">
        <v>191</v>
      </c>
      <c r="M6" s="141" t="s">
        <v>192</v>
      </c>
      <c r="N6" s="141" t="s">
        <v>193</v>
      </c>
    </row>
    <row r="7" spans="1:14">
      <c r="A7" s="141" t="s">
        <v>102</v>
      </c>
      <c r="B7" s="141" t="s">
        <v>103</v>
      </c>
      <c r="C7" s="141" t="s">
        <v>194</v>
      </c>
      <c r="D7" s="141" t="s">
        <v>194</v>
      </c>
      <c r="E7" s="141" t="s">
        <v>88</v>
      </c>
      <c r="F7" s="141" t="s">
        <v>88</v>
      </c>
      <c r="G7" s="141" t="s">
        <v>88</v>
      </c>
      <c r="H7" s="141" t="s">
        <v>89</v>
      </c>
      <c r="I7" s="141" t="s">
        <v>89</v>
      </c>
      <c r="J7" s="141" t="s">
        <v>195</v>
      </c>
      <c r="K7" s="141" t="s">
        <v>196</v>
      </c>
      <c r="L7" s="141" t="s">
        <v>197</v>
      </c>
      <c r="M7" s="141" t="s">
        <v>198</v>
      </c>
      <c r="N7" s="141" t="s">
        <v>198</v>
      </c>
    </row>
    <row r="8" spans="1:14" s="161" customFormat="1">
      <c r="A8" s="142" t="s">
        <v>12</v>
      </c>
      <c r="B8" s="157"/>
      <c r="C8" s="141"/>
      <c r="D8" s="141"/>
      <c r="E8" s="141"/>
      <c r="F8" s="141"/>
      <c r="G8" s="141"/>
      <c r="H8" s="141"/>
      <c r="I8" s="141"/>
      <c r="J8" s="141"/>
      <c r="K8" s="141"/>
      <c r="L8" s="141"/>
      <c r="M8" s="141"/>
      <c r="N8" s="141"/>
    </row>
    <row r="9" spans="1:14">
      <c r="A9" s="143" t="s">
        <v>199</v>
      </c>
      <c r="B9" s="143" t="s">
        <v>110</v>
      </c>
      <c r="C9" s="145">
        <v>15.5</v>
      </c>
      <c r="D9" s="145">
        <v>15.76</v>
      </c>
      <c r="E9" s="144">
        <v>434</v>
      </c>
      <c r="F9" s="144">
        <v>994.47999999999979</v>
      </c>
      <c r="G9" s="144">
        <v>1428.4799999999998</v>
      </c>
      <c r="H9" s="147">
        <v>91.101522842639582</v>
      </c>
      <c r="I9" s="147">
        <v>7.5917935702199655</v>
      </c>
      <c r="J9" s="146">
        <v>4.33</v>
      </c>
      <c r="K9" s="137">
        <v>394.46959390862941</v>
      </c>
      <c r="L9" s="145">
        <v>20</v>
      </c>
      <c r="M9" s="147">
        <v>7889.3918781725879</v>
      </c>
      <c r="N9" s="148">
        <v>6203.1218651162353</v>
      </c>
    </row>
    <row r="10" spans="1:14">
      <c r="A10" s="143" t="s">
        <v>200</v>
      </c>
      <c r="B10" s="143" t="s">
        <v>111</v>
      </c>
      <c r="C10" s="145">
        <v>19.75</v>
      </c>
      <c r="D10" s="145">
        <v>20.170000000000002</v>
      </c>
      <c r="E10" s="144">
        <v>66733.25</v>
      </c>
      <c r="F10" s="144">
        <v>130118.86</v>
      </c>
      <c r="G10" s="144">
        <v>196852.11</v>
      </c>
      <c r="H10" s="147">
        <v>9830.007311271911</v>
      </c>
      <c r="I10" s="147">
        <v>819.16727593932592</v>
      </c>
      <c r="J10" s="146">
        <v>4.33</v>
      </c>
      <c r="K10" s="137">
        <v>42563.931657807378</v>
      </c>
      <c r="L10" s="145">
        <v>34</v>
      </c>
      <c r="M10" s="147">
        <v>1447173.676365451</v>
      </c>
      <c r="N10" s="148">
        <v>1137856.3535827945</v>
      </c>
    </row>
    <row r="11" spans="1:14">
      <c r="A11" s="143" t="s">
        <v>201</v>
      </c>
      <c r="B11" s="143" t="s">
        <v>112</v>
      </c>
      <c r="C11" s="145">
        <v>30.23</v>
      </c>
      <c r="D11" s="145">
        <v>30.93</v>
      </c>
      <c r="E11" s="144">
        <v>11706.55</v>
      </c>
      <c r="F11" s="144">
        <v>22739.440000000002</v>
      </c>
      <c r="G11" s="144">
        <v>34445.990000000005</v>
      </c>
      <c r="H11" s="147">
        <v>1122.4398511080958</v>
      </c>
      <c r="I11" s="147">
        <v>93.536654259007989</v>
      </c>
      <c r="J11" s="146">
        <v>4.33</v>
      </c>
      <c r="K11" s="137">
        <v>4860.1645552980553</v>
      </c>
      <c r="L11" s="145">
        <v>51</v>
      </c>
      <c r="M11" s="147">
        <v>247868.39232020083</v>
      </c>
      <c r="N11" s="148">
        <v>194889.27255934331</v>
      </c>
    </row>
    <row r="12" spans="1:14">
      <c r="A12" s="143" t="s">
        <v>202</v>
      </c>
      <c r="B12" s="143" t="s">
        <v>113</v>
      </c>
      <c r="C12" s="145">
        <v>41.07</v>
      </c>
      <c r="D12" s="145">
        <v>42.18</v>
      </c>
      <c r="E12" s="144">
        <v>954.87999999999988</v>
      </c>
      <c r="F12" s="144">
        <v>2250.9299999999998</v>
      </c>
      <c r="G12" s="144">
        <v>3205.8099999999995</v>
      </c>
      <c r="H12" s="147">
        <v>76.614925736547349</v>
      </c>
      <c r="I12" s="147">
        <v>6.3845771447122788</v>
      </c>
      <c r="J12" s="146">
        <v>4.33</v>
      </c>
      <c r="K12" s="137">
        <v>331.74262843924998</v>
      </c>
      <c r="L12" s="145">
        <v>77</v>
      </c>
      <c r="M12" s="147">
        <v>25544.18238982225</v>
      </c>
      <c r="N12" s="148">
        <v>20084.39671341639</v>
      </c>
    </row>
    <row r="13" spans="1:14">
      <c r="A13" s="143" t="s">
        <v>204</v>
      </c>
      <c r="B13" s="143" t="s">
        <v>114</v>
      </c>
      <c r="C13" s="145">
        <v>21.96</v>
      </c>
      <c r="D13" s="145">
        <v>22.42</v>
      </c>
      <c r="E13" s="144">
        <v>81456.12000000001</v>
      </c>
      <c r="F13" s="144">
        <v>171247.91</v>
      </c>
      <c r="G13" s="144">
        <v>252704.03000000003</v>
      </c>
      <c r="H13" s="147">
        <v>11347.471263947587</v>
      </c>
      <c r="I13" s="147">
        <v>945.62260532896562</v>
      </c>
      <c r="J13" s="146">
        <v>4.33</v>
      </c>
      <c r="K13" s="137">
        <v>49134.550572893058</v>
      </c>
      <c r="L13" s="145">
        <v>37</v>
      </c>
      <c r="M13" s="147">
        <v>1817978.3711970432</v>
      </c>
      <c r="N13" s="148">
        <v>1429405.6574729169</v>
      </c>
    </row>
    <row r="14" spans="1:14">
      <c r="A14" s="143" t="s">
        <v>205</v>
      </c>
      <c r="B14" s="143" t="s">
        <v>115</v>
      </c>
      <c r="C14" s="145">
        <v>28.58</v>
      </c>
      <c r="D14" s="145">
        <v>29.3</v>
      </c>
      <c r="E14" s="144">
        <v>334235.32</v>
      </c>
      <c r="F14" s="144">
        <v>696412.8</v>
      </c>
      <c r="G14" s="144">
        <v>1030648.1200000001</v>
      </c>
      <c r="H14" s="147">
        <v>35463.082730470967</v>
      </c>
      <c r="I14" s="147">
        <v>2955.2568942059138</v>
      </c>
      <c r="J14" s="146">
        <v>4.33</v>
      </c>
      <c r="K14" s="137">
        <v>153555.14822293929</v>
      </c>
      <c r="L14" s="145">
        <v>47</v>
      </c>
      <c r="M14" s="147">
        <v>7217091.9664781466</v>
      </c>
      <c r="N14" s="148">
        <v>5674518.603097328</v>
      </c>
    </row>
    <row r="15" spans="1:14">
      <c r="A15" s="143" t="s">
        <v>206</v>
      </c>
      <c r="B15" s="143" t="s">
        <v>116</v>
      </c>
      <c r="C15" s="145">
        <v>57.16</v>
      </c>
      <c r="D15" s="145">
        <v>58.6</v>
      </c>
      <c r="E15" s="144">
        <v>8545.42</v>
      </c>
      <c r="F15" s="144">
        <v>17883.22</v>
      </c>
      <c r="G15" s="144">
        <v>26428.639999999999</v>
      </c>
      <c r="H15" s="147">
        <v>454.67440273037545</v>
      </c>
      <c r="I15" s="147">
        <v>37.889533560864621</v>
      </c>
      <c r="J15" s="146">
        <v>4.33</v>
      </c>
      <c r="K15" s="137">
        <v>1968.7401638225256</v>
      </c>
      <c r="L15" s="145">
        <v>94</v>
      </c>
      <c r="M15" s="147">
        <v>185061.5753993174</v>
      </c>
      <c r="N15" s="148">
        <v>145506.71616761712</v>
      </c>
    </row>
    <row r="16" spans="1:14">
      <c r="A16" s="143" t="s">
        <v>207</v>
      </c>
      <c r="B16" s="143" t="s">
        <v>117</v>
      </c>
      <c r="C16" s="145">
        <v>11.57</v>
      </c>
      <c r="D16" s="145">
        <v>11.78</v>
      </c>
      <c r="E16" s="144">
        <v>20461.55</v>
      </c>
      <c r="F16" s="144">
        <v>39511.980000000003</v>
      </c>
      <c r="G16" s="144">
        <v>59973.53</v>
      </c>
      <c r="H16" s="147">
        <v>5122.6583268889599</v>
      </c>
      <c r="I16" s="147">
        <v>426.88819390741332</v>
      </c>
      <c r="J16" s="146">
        <v>2.165</v>
      </c>
      <c r="K16" s="137">
        <v>11090.555277714599</v>
      </c>
      <c r="L16" s="145">
        <v>34</v>
      </c>
      <c r="M16" s="147">
        <v>377078.87944229634</v>
      </c>
      <c r="N16" s="148">
        <v>296482.45112699777</v>
      </c>
    </row>
    <row r="17" spans="1:14">
      <c r="A17" s="143" t="s">
        <v>208</v>
      </c>
      <c r="B17" s="143" t="s">
        <v>118</v>
      </c>
      <c r="C17" s="145">
        <v>23.14</v>
      </c>
      <c r="D17" s="145">
        <v>23.56</v>
      </c>
      <c r="E17" s="144">
        <v>242.97000000000003</v>
      </c>
      <c r="F17" s="144">
        <v>401.54</v>
      </c>
      <c r="G17" s="144">
        <v>644.51</v>
      </c>
      <c r="H17" s="147">
        <v>27.543293718166389</v>
      </c>
      <c r="I17" s="147">
        <v>2.2952744765138657</v>
      </c>
      <c r="J17" s="146">
        <v>2.165</v>
      </c>
      <c r="K17" s="137">
        <v>59.631230899830229</v>
      </c>
      <c r="L17" s="145">
        <v>34</v>
      </c>
      <c r="M17" s="147">
        <v>2027.4618505942278</v>
      </c>
      <c r="N17" s="148">
        <v>1594.1143665211348</v>
      </c>
    </row>
    <row r="18" spans="1:14">
      <c r="A18" s="143" t="s">
        <v>209</v>
      </c>
      <c r="B18" s="143" t="s">
        <v>119</v>
      </c>
      <c r="C18" s="145">
        <v>12.86</v>
      </c>
      <c r="D18" s="145">
        <v>13.09</v>
      </c>
      <c r="E18" s="144">
        <v>26623.02</v>
      </c>
      <c r="F18" s="144">
        <v>58987.979999999996</v>
      </c>
      <c r="G18" s="144">
        <v>85611</v>
      </c>
      <c r="H18" s="147">
        <v>6576.5584748249639</v>
      </c>
      <c r="I18" s="147">
        <v>548.04653956874699</v>
      </c>
      <c r="J18" s="146">
        <v>2.165</v>
      </c>
      <c r="K18" s="137">
        <v>14238.249097996049</v>
      </c>
      <c r="L18" s="145">
        <v>37</v>
      </c>
      <c r="M18" s="147">
        <v>526815.21662585379</v>
      </c>
      <c r="N18" s="148">
        <v>414214.30695678917</v>
      </c>
    </row>
    <row r="19" spans="1:14">
      <c r="A19" s="143" t="s">
        <v>210</v>
      </c>
      <c r="B19" s="143" t="s">
        <v>120</v>
      </c>
      <c r="C19" s="145">
        <v>16.61</v>
      </c>
      <c r="D19" s="145">
        <v>16.97</v>
      </c>
      <c r="E19" s="144">
        <v>107803.18000000001</v>
      </c>
      <c r="F19" s="144">
        <v>235144.75</v>
      </c>
      <c r="G19" s="144">
        <v>342947.93</v>
      </c>
      <c r="H19" s="147">
        <v>20346.754435085186</v>
      </c>
      <c r="I19" s="147">
        <v>1695.5628695904322</v>
      </c>
      <c r="J19" s="146">
        <v>2.165</v>
      </c>
      <c r="K19" s="137">
        <v>44050.72335195943</v>
      </c>
      <c r="L19" s="145">
        <v>47</v>
      </c>
      <c r="M19" s="147">
        <v>2070383.9975420933</v>
      </c>
      <c r="N19" s="148">
        <v>1627862.3806065635</v>
      </c>
    </row>
    <row r="20" spans="1:14" s="123" customFormat="1">
      <c r="A20" s="143" t="s">
        <v>211</v>
      </c>
      <c r="B20" s="143" t="s">
        <v>121</v>
      </c>
      <c r="C20" s="145">
        <v>33.22</v>
      </c>
      <c r="D20" s="145">
        <v>33.94</v>
      </c>
      <c r="E20" s="144">
        <v>265.76</v>
      </c>
      <c r="F20" s="144">
        <v>662.98999999999978</v>
      </c>
      <c r="G20" s="144">
        <v>928.74999999999977</v>
      </c>
      <c r="H20" s="147">
        <v>27.534177961107833</v>
      </c>
      <c r="I20" s="147">
        <v>2.2945148300923193</v>
      </c>
      <c r="J20" s="146">
        <v>2.165</v>
      </c>
      <c r="K20" s="137">
        <v>59.611495285798455</v>
      </c>
      <c r="L20" s="145">
        <v>94</v>
      </c>
      <c r="M20" s="147">
        <v>5603.4805568650545</v>
      </c>
      <c r="N20" s="148">
        <v>4405.7987357948969</v>
      </c>
    </row>
    <row r="21" spans="1:14" s="123" customFormat="1">
      <c r="A21" s="143" t="s">
        <v>212</v>
      </c>
      <c r="B21" s="143" t="s">
        <v>122</v>
      </c>
      <c r="C21" s="145">
        <v>6.98</v>
      </c>
      <c r="D21" s="145">
        <v>7.08</v>
      </c>
      <c r="E21" s="144">
        <v>2373.2000000000003</v>
      </c>
      <c r="F21" s="144">
        <v>4714.5400000000009</v>
      </c>
      <c r="G21" s="144">
        <v>7087.7400000000016</v>
      </c>
      <c r="H21" s="147">
        <v>1005.8954802259888</v>
      </c>
      <c r="I21" s="147">
        <v>83.82462335216573</v>
      </c>
      <c r="J21" s="146">
        <v>1</v>
      </c>
      <c r="K21" s="137">
        <v>1005.8954802259888</v>
      </c>
      <c r="L21" s="145">
        <v>34</v>
      </c>
      <c r="M21" s="147">
        <v>34200.446327683618</v>
      </c>
      <c r="N21" s="148">
        <v>26890.480240807672</v>
      </c>
    </row>
    <row r="22" spans="1:14" s="123" customFormat="1">
      <c r="A22" s="143" t="s">
        <v>213</v>
      </c>
      <c r="B22" s="143" t="s">
        <v>123</v>
      </c>
      <c r="C22" s="145">
        <v>13.96</v>
      </c>
      <c r="D22" s="145">
        <v>14.16</v>
      </c>
      <c r="E22" s="144">
        <v>167.52</v>
      </c>
      <c r="F22" s="144">
        <v>340.32</v>
      </c>
      <c r="G22" s="144">
        <v>507.84000000000003</v>
      </c>
      <c r="H22" s="147">
        <v>36.033898305084747</v>
      </c>
      <c r="I22" s="147">
        <v>3.0028248587570623</v>
      </c>
      <c r="J22" s="146">
        <v>1</v>
      </c>
      <c r="K22" s="137">
        <v>36.033898305084747</v>
      </c>
      <c r="L22" s="145">
        <v>51</v>
      </c>
      <c r="M22" s="147">
        <v>1837.7288135593221</v>
      </c>
      <c r="N22" s="148">
        <v>1444.9346618315581</v>
      </c>
    </row>
    <row r="23" spans="1:14">
      <c r="A23" s="143" t="s">
        <v>214</v>
      </c>
      <c r="B23" s="143" t="s">
        <v>124</v>
      </c>
      <c r="C23" s="145">
        <v>8.0399999999999991</v>
      </c>
      <c r="D23" s="145">
        <v>8.15</v>
      </c>
      <c r="E23" s="144">
        <v>2701.44</v>
      </c>
      <c r="F23" s="144">
        <v>5259.7800000000007</v>
      </c>
      <c r="G23" s="144">
        <v>7961.2200000000012</v>
      </c>
      <c r="H23" s="147">
        <v>981.3717791411043</v>
      </c>
      <c r="I23" s="147">
        <v>81.78098159509203</v>
      </c>
      <c r="J23" s="146">
        <v>1</v>
      </c>
      <c r="K23" s="137">
        <v>981.3717791411043</v>
      </c>
      <c r="L23" s="145">
        <v>37</v>
      </c>
      <c r="M23" s="147">
        <v>36310.755828220856</v>
      </c>
      <c r="N23" s="148">
        <v>28549.734490956187</v>
      </c>
    </row>
    <row r="24" spans="1:14">
      <c r="A24" s="143" t="s">
        <v>215</v>
      </c>
      <c r="B24" s="143" t="s">
        <v>125</v>
      </c>
      <c r="C24" s="145">
        <v>11.58</v>
      </c>
      <c r="D24" s="145">
        <v>11.75</v>
      </c>
      <c r="E24" s="144">
        <v>7399.619999999999</v>
      </c>
      <c r="F24" s="144">
        <v>15082.48</v>
      </c>
      <c r="G24" s="144">
        <v>22482.1</v>
      </c>
      <c r="H24" s="147">
        <v>1922.6153191489361</v>
      </c>
      <c r="I24" s="147">
        <v>160.21794326241135</v>
      </c>
      <c r="J24" s="146">
        <v>1</v>
      </c>
      <c r="K24" s="137">
        <v>1922.6153191489361</v>
      </c>
      <c r="L24" s="145">
        <v>47</v>
      </c>
      <c r="M24" s="147">
        <v>90362.92</v>
      </c>
      <c r="N24" s="148">
        <v>71048.848061225304</v>
      </c>
    </row>
    <row r="25" spans="1:14">
      <c r="A25" s="143" t="s">
        <v>216</v>
      </c>
      <c r="B25" s="143" t="s">
        <v>126</v>
      </c>
      <c r="C25" s="145">
        <v>7.98</v>
      </c>
      <c r="D25" s="145">
        <v>8.08</v>
      </c>
      <c r="E25" s="144">
        <v>135.66</v>
      </c>
      <c r="F25" s="144">
        <v>306.94</v>
      </c>
      <c r="G25" s="144">
        <v>442.6</v>
      </c>
      <c r="H25" s="147">
        <v>54.987623762376238</v>
      </c>
      <c r="I25" s="147">
        <v>4.5823019801980198</v>
      </c>
      <c r="J25" s="146">
        <v>1</v>
      </c>
      <c r="K25" s="137">
        <v>54.987623762376238</v>
      </c>
      <c r="L25" s="145">
        <v>34</v>
      </c>
      <c r="M25" s="147">
        <v>1869.579207920792</v>
      </c>
      <c r="N25" s="148">
        <v>1469.9773876496056</v>
      </c>
    </row>
    <row r="26" spans="1:14">
      <c r="A26" s="143" t="s">
        <v>217</v>
      </c>
      <c r="B26" s="143" t="s">
        <v>127</v>
      </c>
      <c r="C26" s="145">
        <v>6.44</v>
      </c>
      <c r="D26" s="145">
        <v>6.54</v>
      </c>
      <c r="E26" s="144">
        <v>3645.04</v>
      </c>
      <c r="F26" s="144">
        <v>13330.93</v>
      </c>
      <c r="G26" s="144">
        <v>16975.97</v>
      </c>
      <c r="H26" s="147">
        <v>2604.3685015290521</v>
      </c>
      <c r="I26" s="147">
        <v>217.03070846075434</v>
      </c>
      <c r="J26" s="146">
        <v>1</v>
      </c>
      <c r="K26" s="137">
        <v>2604.3685015290521</v>
      </c>
      <c r="L26" s="145">
        <v>34</v>
      </c>
      <c r="M26" s="147">
        <v>88548.529051987774</v>
      </c>
      <c r="N26" s="148">
        <v>69622.263055019401</v>
      </c>
    </row>
    <row r="27" spans="1:14">
      <c r="A27" s="143" t="s">
        <v>218</v>
      </c>
      <c r="B27" s="143" t="s">
        <v>128</v>
      </c>
      <c r="C27" s="145">
        <v>6.02</v>
      </c>
      <c r="D27" s="145">
        <v>6.12</v>
      </c>
      <c r="E27" s="144">
        <v>409.35999999999996</v>
      </c>
      <c r="F27" s="144">
        <v>1394.96</v>
      </c>
      <c r="G27" s="144">
        <v>1804.32</v>
      </c>
      <c r="H27" s="147">
        <v>295.93464052287584</v>
      </c>
      <c r="I27" s="147">
        <v>24.661220043572985</v>
      </c>
      <c r="J27" s="146">
        <v>1</v>
      </c>
      <c r="K27" s="137">
        <v>295.93464052287584</v>
      </c>
      <c r="L27" s="145">
        <v>34</v>
      </c>
      <c r="M27" s="147">
        <v>10061.777777777779</v>
      </c>
      <c r="N27" s="148">
        <v>7911.1843725185799</v>
      </c>
    </row>
    <row r="28" spans="1:14">
      <c r="A28" s="143" t="s">
        <v>219</v>
      </c>
      <c r="B28" s="143" t="s">
        <v>220</v>
      </c>
      <c r="E28" s="144">
        <v>30.749999999999996</v>
      </c>
      <c r="F28" s="144">
        <v>60.79</v>
      </c>
      <c r="G28" s="144">
        <v>91.539999999999992</v>
      </c>
    </row>
    <row r="29" spans="1:14">
      <c r="A29" s="143" t="s">
        <v>221</v>
      </c>
      <c r="B29" s="143" t="s">
        <v>222</v>
      </c>
      <c r="E29" s="144">
        <v>3.32</v>
      </c>
      <c r="F29" s="144">
        <v>9.9599999999999991</v>
      </c>
      <c r="G29" s="144">
        <v>13.28</v>
      </c>
    </row>
    <row r="30" spans="1:14">
      <c r="A30" s="143" t="s">
        <v>223</v>
      </c>
      <c r="B30" s="143" t="s">
        <v>224</v>
      </c>
      <c r="E30" s="144">
        <v>33.82</v>
      </c>
      <c r="F30" s="144">
        <v>140.25</v>
      </c>
      <c r="G30" s="144">
        <v>174.07</v>
      </c>
    </row>
    <row r="31" spans="1:14">
      <c r="A31" s="143" t="s">
        <v>225</v>
      </c>
      <c r="B31" s="143" t="s">
        <v>226</v>
      </c>
      <c r="E31" s="144">
        <v>1449.91</v>
      </c>
      <c r="F31" s="144">
        <v>2593.62</v>
      </c>
      <c r="G31" s="144">
        <v>4043.5299999999997</v>
      </c>
    </row>
    <row r="32" spans="1:14">
      <c r="A32" s="143" t="s">
        <v>227</v>
      </c>
      <c r="B32" s="143" t="s">
        <v>228</v>
      </c>
      <c r="E32" s="144">
        <v>85.12</v>
      </c>
      <c r="F32" s="144">
        <v>155.53999999999996</v>
      </c>
      <c r="G32" s="144">
        <v>240.65999999999997</v>
      </c>
    </row>
    <row r="33" spans="1:14">
      <c r="A33" s="143" t="s">
        <v>229</v>
      </c>
      <c r="B33" s="143" t="s">
        <v>230</v>
      </c>
      <c r="E33" s="144">
        <v>4.5199999999999996</v>
      </c>
      <c r="F33" s="144">
        <v>2.2599999999999998</v>
      </c>
      <c r="G33" s="144">
        <v>6.7799999999999994</v>
      </c>
    </row>
    <row r="34" spans="1:14">
      <c r="A34" s="143" t="s">
        <v>231</v>
      </c>
      <c r="B34" s="143" t="s">
        <v>232</v>
      </c>
      <c r="E34" s="144">
        <v>270.34000000000003</v>
      </c>
      <c r="F34" s="144">
        <v>466.71</v>
      </c>
      <c r="G34" s="144">
        <v>737.05</v>
      </c>
    </row>
    <row r="35" spans="1:14">
      <c r="A35" s="143" t="s">
        <v>233</v>
      </c>
      <c r="B35" s="143" t="s">
        <v>234</v>
      </c>
      <c r="E35" s="144">
        <v>43.04</v>
      </c>
      <c r="F35" s="144">
        <v>-59.22000000000002</v>
      </c>
      <c r="G35" s="144">
        <v>-16.180000000000021</v>
      </c>
    </row>
    <row r="36" spans="1:14">
      <c r="A36" s="143" t="s">
        <v>235</v>
      </c>
      <c r="B36" s="143" t="s">
        <v>236</v>
      </c>
      <c r="E36" s="144">
        <v>388.55</v>
      </c>
      <c r="F36" s="144">
        <v>1288.3499999999999</v>
      </c>
      <c r="G36" s="144">
        <v>1676.8999999999999</v>
      </c>
    </row>
    <row r="37" spans="1:14">
      <c r="A37" s="143" t="s">
        <v>237</v>
      </c>
      <c r="B37" s="143" t="s">
        <v>238</v>
      </c>
      <c r="E37" s="144">
        <v>45.36</v>
      </c>
      <c r="F37" s="144">
        <v>83.23</v>
      </c>
      <c r="G37" s="144">
        <v>128.59</v>
      </c>
    </row>
    <row r="38" spans="1:14">
      <c r="A38" s="143" t="s">
        <v>239</v>
      </c>
      <c r="B38" s="143" t="s">
        <v>240</v>
      </c>
      <c r="E38" s="144">
        <v>132.23000000000002</v>
      </c>
      <c r="F38" s="144">
        <v>208.50000000000003</v>
      </c>
      <c r="G38" s="144">
        <v>340.73</v>
      </c>
    </row>
    <row r="39" spans="1:14">
      <c r="A39" s="143" t="s">
        <v>241</v>
      </c>
      <c r="B39" s="143" t="s">
        <v>242</v>
      </c>
      <c r="E39" s="144">
        <v>63.12</v>
      </c>
      <c r="F39" s="144">
        <v>27.609999999999992</v>
      </c>
      <c r="G39" s="144">
        <v>90.72999999999999</v>
      </c>
    </row>
    <row r="40" spans="1:14">
      <c r="A40" s="143" t="s">
        <v>243</v>
      </c>
      <c r="B40" s="143" t="s">
        <v>244</v>
      </c>
      <c r="E40" s="144">
        <v>35.51</v>
      </c>
      <c r="F40" s="144">
        <v>38.129999999999988</v>
      </c>
      <c r="G40" s="144">
        <v>73.639999999999986</v>
      </c>
    </row>
    <row r="41" spans="1:14">
      <c r="A41" s="143" t="s">
        <v>245</v>
      </c>
      <c r="B41" s="143" t="s">
        <v>246</v>
      </c>
      <c r="E41" s="144">
        <v>12.15</v>
      </c>
      <c r="F41" s="144">
        <v>55.2</v>
      </c>
      <c r="G41" s="144">
        <v>67.350000000000009</v>
      </c>
    </row>
    <row r="42" spans="1:14">
      <c r="A42" s="143" t="s">
        <v>247</v>
      </c>
      <c r="B42" s="143" t="s">
        <v>248</v>
      </c>
      <c r="E42" s="144">
        <v>49.2</v>
      </c>
      <c r="F42" s="144">
        <v>116.85000000000002</v>
      </c>
      <c r="G42" s="144">
        <v>166.05</v>
      </c>
    </row>
    <row r="43" spans="1:14">
      <c r="A43" s="143" t="s">
        <v>249</v>
      </c>
      <c r="B43" s="143" t="s">
        <v>250</v>
      </c>
      <c r="E43" s="144">
        <v>449.68</v>
      </c>
      <c r="F43" s="144">
        <v>1471.6800000000003</v>
      </c>
      <c r="G43" s="144">
        <v>1921.3600000000004</v>
      </c>
    </row>
    <row r="44" spans="1:14" ht="15.75" thickBot="1">
      <c r="G44" s="134">
        <v>2102836.7699999996</v>
      </c>
      <c r="M44" s="134">
        <v>14193708.329053007</v>
      </c>
      <c r="N44" s="134">
        <v>11159960.59552121</v>
      </c>
    </row>
    <row r="45" spans="1:14">
      <c r="A45" s="135"/>
      <c r="B45" s="135"/>
      <c r="C45" s="132"/>
      <c r="D45" s="132"/>
      <c r="E45" s="132"/>
      <c r="F45" s="132"/>
      <c r="G45" s="132"/>
      <c r="H45" s="133"/>
      <c r="I45" s="133"/>
      <c r="J45" s="133"/>
      <c r="K45" s="133"/>
      <c r="L45" s="133"/>
      <c r="M45" s="133"/>
      <c r="N45" s="133"/>
    </row>
    <row r="46" spans="1:14">
      <c r="A46" s="142" t="s">
        <v>13</v>
      </c>
      <c r="C46" s="196" t="s">
        <v>251</v>
      </c>
      <c r="D46" s="196"/>
    </row>
    <row r="47" spans="1:14">
      <c r="A47" s="143" t="s">
        <v>252</v>
      </c>
      <c r="B47" s="143" t="s">
        <v>131</v>
      </c>
      <c r="C47" s="145">
        <v>82.75</v>
      </c>
      <c r="D47" s="145">
        <v>84.87</v>
      </c>
      <c r="E47" s="144">
        <v>30989.890000000003</v>
      </c>
      <c r="F47" s="144">
        <v>97515.87000000001</v>
      </c>
      <c r="G47" s="144">
        <v>128505.76000000001</v>
      </c>
      <c r="H47" s="147">
        <v>1523.5030091232477</v>
      </c>
      <c r="I47" s="147">
        <v>126.95858409360397</v>
      </c>
      <c r="J47" s="146">
        <v>4.33</v>
      </c>
      <c r="K47" s="146">
        <v>6596.7680295036625</v>
      </c>
      <c r="L47" s="145">
        <v>175</v>
      </c>
      <c r="M47" s="147">
        <v>1154434.405163141</v>
      </c>
      <c r="N47" s="148">
        <v>907686.85484142182</v>
      </c>
    </row>
    <row r="48" spans="1:14">
      <c r="A48" s="143" t="s">
        <v>253</v>
      </c>
      <c r="B48" s="143" t="s">
        <v>132</v>
      </c>
      <c r="C48" s="145">
        <v>82.75</v>
      </c>
      <c r="D48" s="145">
        <v>84.87</v>
      </c>
      <c r="E48" s="144">
        <v>2523.87</v>
      </c>
      <c r="F48" s="144">
        <v>6874.48</v>
      </c>
      <c r="G48" s="144">
        <v>9398.3499999999985</v>
      </c>
      <c r="H48" s="147">
        <v>111.50005740430448</v>
      </c>
      <c r="I48" s="147">
        <v>9.2916714503587077</v>
      </c>
      <c r="J48" s="146">
        <v>4.33</v>
      </c>
      <c r="K48" s="146">
        <v>482.79524856063847</v>
      </c>
      <c r="L48" s="145">
        <v>175</v>
      </c>
      <c r="M48" s="147">
        <v>84489.168498111729</v>
      </c>
      <c r="N48" s="148">
        <v>66430.54579734258</v>
      </c>
    </row>
    <row r="49" spans="1:14">
      <c r="A49" s="143" t="s">
        <v>254</v>
      </c>
      <c r="B49" s="143" t="s">
        <v>133</v>
      </c>
      <c r="C49" s="144">
        <v>118.04</v>
      </c>
      <c r="D49" s="145">
        <v>121.28</v>
      </c>
      <c r="E49" s="144">
        <v>15286.18</v>
      </c>
      <c r="F49" s="144">
        <v>46784.92</v>
      </c>
      <c r="G49" s="144">
        <v>62071.1</v>
      </c>
      <c r="H49" s="147">
        <v>515.25956464379942</v>
      </c>
      <c r="I49" s="147">
        <v>42.938297053649954</v>
      </c>
      <c r="J49" s="146">
        <v>4.33</v>
      </c>
      <c r="K49" s="146">
        <v>2231.0739149076517</v>
      </c>
      <c r="L49" s="145">
        <v>250</v>
      </c>
      <c r="M49" s="147">
        <v>557768.47872691287</v>
      </c>
      <c r="N49" s="148">
        <v>438551.65258503391</v>
      </c>
    </row>
    <row r="50" spans="1:14">
      <c r="A50" s="143" t="s">
        <v>255</v>
      </c>
      <c r="B50" s="143" t="s">
        <v>134</v>
      </c>
      <c r="C50" s="144">
        <v>118.04</v>
      </c>
      <c r="D50" s="145">
        <v>121.28</v>
      </c>
      <c r="E50" s="144">
        <v>354.12</v>
      </c>
      <c r="F50" s="144">
        <v>1121.8399999999999</v>
      </c>
      <c r="G50" s="144">
        <v>1475.96</v>
      </c>
      <c r="H50" s="147">
        <v>12.25</v>
      </c>
      <c r="I50" s="147">
        <v>1.0208333333333333</v>
      </c>
      <c r="J50" s="146">
        <v>4.33</v>
      </c>
      <c r="K50" s="146">
        <v>53.042499999999997</v>
      </c>
      <c r="L50" s="145">
        <v>250</v>
      </c>
      <c r="M50" s="147">
        <v>13260.625</v>
      </c>
      <c r="N50" s="148">
        <v>10426.313479266561</v>
      </c>
    </row>
    <row r="51" spans="1:14">
      <c r="A51" s="143" t="s">
        <v>256</v>
      </c>
      <c r="B51" s="143" t="s">
        <v>135</v>
      </c>
      <c r="C51" s="144">
        <v>236.07</v>
      </c>
      <c r="D51" s="145">
        <v>242.57</v>
      </c>
      <c r="E51" s="144">
        <v>0</v>
      </c>
      <c r="F51" s="144">
        <v>303.20999999999998</v>
      </c>
      <c r="G51" s="144">
        <v>303.20999999999998</v>
      </c>
      <c r="H51" s="147">
        <v>1.2499896936966648</v>
      </c>
      <c r="I51" s="147">
        <v>0.1041658078080554</v>
      </c>
      <c r="J51" s="144">
        <v>8.66</v>
      </c>
      <c r="K51" s="146">
        <v>10.824910747413117</v>
      </c>
      <c r="L51" s="145">
        <v>250</v>
      </c>
      <c r="M51" s="147">
        <v>2706.2276868532795</v>
      </c>
      <c r="N51" s="148">
        <v>2127.8015334422557</v>
      </c>
    </row>
    <row r="52" spans="1:14">
      <c r="A52" s="143" t="s">
        <v>257</v>
      </c>
      <c r="B52" s="143" t="s">
        <v>136</v>
      </c>
      <c r="C52" s="144">
        <v>164.32</v>
      </c>
      <c r="D52" s="145">
        <v>168.65</v>
      </c>
      <c r="E52" s="144">
        <v>33808.840000000004</v>
      </c>
      <c r="F52" s="144">
        <v>113229.41000000002</v>
      </c>
      <c r="G52" s="144">
        <v>147038.25000000003</v>
      </c>
      <c r="H52" s="147">
        <v>877.13695523273054</v>
      </c>
      <c r="I52" s="147">
        <v>73.094746269394207</v>
      </c>
      <c r="J52" s="146">
        <v>4.33</v>
      </c>
      <c r="K52" s="146">
        <v>3798.0030161577233</v>
      </c>
      <c r="L52" s="145">
        <v>324</v>
      </c>
      <c r="M52" s="147">
        <v>1230552.9772351023</v>
      </c>
      <c r="N52" s="148">
        <v>967535.92636078189</v>
      </c>
    </row>
    <row r="53" spans="1:14">
      <c r="A53" s="143" t="s">
        <v>258</v>
      </c>
      <c r="B53" s="143" t="s">
        <v>137</v>
      </c>
      <c r="C53" s="144">
        <v>164.32</v>
      </c>
      <c r="D53" s="145">
        <v>168.65</v>
      </c>
      <c r="E53" s="144">
        <v>10927.279999999999</v>
      </c>
      <c r="F53" s="144">
        <v>14672.58</v>
      </c>
      <c r="G53" s="144">
        <v>25599.86</v>
      </c>
      <c r="H53" s="147">
        <v>153.50017788319002</v>
      </c>
      <c r="I53" s="147">
        <v>12.791681490265836</v>
      </c>
      <c r="J53" s="146">
        <v>4.33</v>
      </c>
      <c r="K53" s="146">
        <v>664.65577023421292</v>
      </c>
      <c r="L53" s="145">
        <v>324</v>
      </c>
      <c r="M53" s="147">
        <v>215348.46955588498</v>
      </c>
      <c r="N53" s="148">
        <v>169320.12260884748</v>
      </c>
    </row>
    <row r="54" spans="1:14">
      <c r="A54" s="143" t="s">
        <v>259</v>
      </c>
      <c r="B54" s="143" t="s">
        <v>138</v>
      </c>
      <c r="C54" s="144">
        <v>328.65</v>
      </c>
      <c r="D54" s="145">
        <v>337.31</v>
      </c>
      <c r="E54" s="144">
        <v>0</v>
      </c>
      <c r="F54" s="144">
        <v>2108.1899999999996</v>
      </c>
      <c r="G54" s="144">
        <v>2108.1899999999996</v>
      </c>
      <c r="H54" s="147">
        <v>6.2500074115798512</v>
      </c>
      <c r="I54" s="147">
        <v>0.52083395096498764</v>
      </c>
      <c r="J54" s="144">
        <v>8.66</v>
      </c>
      <c r="K54" s="146">
        <v>54.12506418428152</v>
      </c>
      <c r="L54" s="145">
        <v>324</v>
      </c>
      <c r="M54" s="147">
        <v>17536.520795707213</v>
      </c>
      <c r="N54" s="148">
        <v>13788.283972416115</v>
      </c>
    </row>
    <row r="55" spans="1:14">
      <c r="A55" s="143" t="s">
        <v>260</v>
      </c>
      <c r="B55" s="143" t="s">
        <v>139</v>
      </c>
      <c r="C55" s="144">
        <v>328.65</v>
      </c>
      <c r="D55" s="145">
        <v>337.31</v>
      </c>
      <c r="E55" s="144">
        <v>0</v>
      </c>
      <c r="F55" s="144">
        <v>10119.299999999999</v>
      </c>
      <c r="G55" s="144">
        <v>10119.299999999999</v>
      </c>
      <c r="H55" s="147">
        <v>29.999999999999996</v>
      </c>
      <c r="I55" s="147">
        <v>2.4999999999999996</v>
      </c>
      <c r="J55" s="144">
        <v>8.66</v>
      </c>
      <c r="K55" s="146">
        <v>259.79999999999995</v>
      </c>
      <c r="L55" s="145">
        <v>324</v>
      </c>
      <c r="M55" s="147">
        <v>84175.199999999983</v>
      </c>
      <c r="N55" s="148">
        <v>66183.684583491224</v>
      </c>
    </row>
    <row r="56" spans="1:14">
      <c r="A56" s="143" t="s">
        <v>261</v>
      </c>
      <c r="B56" s="143" t="s">
        <v>140</v>
      </c>
      <c r="C56" s="144">
        <v>215.55</v>
      </c>
      <c r="D56" s="145">
        <v>221.74</v>
      </c>
      <c r="E56" s="144">
        <v>10508.07</v>
      </c>
      <c r="F56" s="144">
        <v>36143.640000000007</v>
      </c>
      <c r="G56" s="144">
        <v>46651.710000000006</v>
      </c>
      <c r="H56" s="147">
        <v>211.75012499043595</v>
      </c>
      <c r="I56" s="147">
        <v>17.645843749202996</v>
      </c>
      <c r="J56" s="146">
        <v>4.33</v>
      </c>
      <c r="K56" s="146">
        <v>916.87804120858766</v>
      </c>
      <c r="L56" s="145">
        <v>473</v>
      </c>
      <c r="M56" s="147">
        <v>433683.31349166197</v>
      </c>
      <c r="N56" s="148">
        <v>340988.31519563374</v>
      </c>
    </row>
    <row r="57" spans="1:14">
      <c r="A57" s="143" t="s">
        <v>262</v>
      </c>
      <c r="B57" s="143" t="s">
        <v>141</v>
      </c>
      <c r="C57" s="144">
        <v>215.55</v>
      </c>
      <c r="D57" s="145">
        <v>221.74</v>
      </c>
      <c r="E57" s="144">
        <v>0</v>
      </c>
      <c r="F57" s="144">
        <v>942.40000000000009</v>
      </c>
      <c r="G57" s="144">
        <v>942.40000000000009</v>
      </c>
      <c r="H57" s="147">
        <v>4.2500225489311809</v>
      </c>
      <c r="I57" s="147">
        <v>0.3541685457442651</v>
      </c>
      <c r="J57" s="146">
        <v>4.33</v>
      </c>
      <c r="K57" s="146">
        <v>18.402597636872017</v>
      </c>
      <c r="L57" s="145">
        <v>473</v>
      </c>
      <c r="M57" s="147">
        <v>8704.4286822404647</v>
      </c>
      <c r="N57" s="148">
        <v>6843.9535918524361</v>
      </c>
    </row>
    <row r="58" spans="1:14">
      <c r="A58" s="143" t="s">
        <v>263</v>
      </c>
      <c r="B58" s="143" t="s">
        <v>142</v>
      </c>
      <c r="C58" s="144">
        <v>296.08999999999997</v>
      </c>
      <c r="D58" s="145">
        <v>304.79000000000002</v>
      </c>
      <c r="E58" s="144">
        <v>39676.06</v>
      </c>
      <c r="F58" s="144">
        <v>125543.06999999999</v>
      </c>
      <c r="G58" s="144">
        <v>165219.13</v>
      </c>
      <c r="H58" s="147">
        <v>545.90022638538005</v>
      </c>
      <c r="I58" s="147">
        <v>45.491685532115007</v>
      </c>
      <c r="J58" s="146">
        <v>4.33</v>
      </c>
      <c r="K58" s="146">
        <v>2363.747980248696</v>
      </c>
      <c r="L58" s="145">
        <v>613</v>
      </c>
      <c r="M58" s="147">
        <v>1448977.5118924507</v>
      </c>
      <c r="N58" s="148">
        <v>1139274.6392721597</v>
      </c>
    </row>
    <row r="59" spans="1:14">
      <c r="A59" s="143" t="s">
        <v>264</v>
      </c>
      <c r="B59" s="143" t="s">
        <v>143</v>
      </c>
      <c r="C59" s="144">
        <v>415.85</v>
      </c>
      <c r="D59" s="145">
        <v>427.02</v>
      </c>
      <c r="E59" s="144">
        <v>0</v>
      </c>
      <c r="F59" s="144">
        <v>854.04</v>
      </c>
      <c r="G59" s="144">
        <v>854.04</v>
      </c>
      <c r="H59" s="147">
        <v>2</v>
      </c>
      <c r="I59" s="147">
        <v>0.16666666666666666</v>
      </c>
      <c r="J59" s="146">
        <v>4.33</v>
      </c>
      <c r="K59" s="146">
        <v>8.66</v>
      </c>
      <c r="L59" s="145">
        <v>840</v>
      </c>
      <c r="M59" s="147">
        <v>7274.4000000000005</v>
      </c>
      <c r="N59" s="148">
        <v>5719.5776800547992</v>
      </c>
    </row>
    <row r="60" spans="1:14">
      <c r="A60" s="143" t="s">
        <v>265</v>
      </c>
      <c r="B60" s="143" t="s">
        <v>144</v>
      </c>
      <c r="C60" s="144">
        <v>415.85</v>
      </c>
      <c r="D60" s="145">
        <v>427.02</v>
      </c>
      <c r="E60" s="144">
        <v>3742.6499999999996</v>
      </c>
      <c r="F60" s="144">
        <v>11529.539999999997</v>
      </c>
      <c r="G60" s="144">
        <v>15272.189999999997</v>
      </c>
      <c r="H60" s="147">
        <v>35.999999999999993</v>
      </c>
      <c r="I60" s="147">
        <v>2.9999999999999996</v>
      </c>
      <c r="J60" s="146">
        <v>4.33</v>
      </c>
      <c r="K60" s="146">
        <v>155.88</v>
      </c>
      <c r="L60" s="145">
        <v>840</v>
      </c>
      <c r="M60" s="147">
        <v>130939.2</v>
      </c>
      <c r="N60" s="148">
        <v>102952.39824098637</v>
      </c>
    </row>
    <row r="61" spans="1:14">
      <c r="A61" s="143" t="s">
        <v>265</v>
      </c>
      <c r="B61" s="143" t="s">
        <v>144</v>
      </c>
      <c r="C61" s="144">
        <v>415.85</v>
      </c>
      <c r="D61" s="145">
        <v>427.02</v>
      </c>
      <c r="E61" s="144">
        <v>26198.550000000003</v>
      </c>
      <c r="F61" s="144">
        <v>78936.709999999992</v>
      </c>
      <c r="G61" s="144">
        <v>105135.26</v>
      </c>
      <c r="H61" s="147">
        <v>247.85483115544938</v>
      </c>
      <c r="I61" s="147">
        <v>20.654569262954116</v>
      </c>
      <c r="J61" s="146">
        <v>4.33</v>
      </c>
      <c r="K61" s="146">
        <v>1073.2114189030958</v>
      </c>
      <c r="L61" s="145">
        <v>840</v>
      </c>
      <c r="M61" s="147">
        <v>901497.59187860053</v>
      </c>
      <c r="N61" s="148">
        <v>708812.4800852295</v>
      </c>
    </row>
    <row r="62" spans="1:14">
      <c r="A62" s="143" t="s">
        <v>266</v>
      </c>
      <c r="B62" s="143" t="s">
        <v>145</v>
      </c>
      <c r="C62" s="144">
        <v>565.5</v>
      </c>
      <c r="D62" s="145">
        <v>580.39</v>
      </c>
      <c r="E62" s="144">
        <v>1696.5</v>
      </c>
      <c r="F62" s="144">
        <v>5223.51</v>
      </c>
      <c r="G62" s="144">
        <v>6920.01</v>
      </c>
      <c r="H62" s="147">
        <v>12</v>
      </c>
      <c r="I62" s="147">
        <v>1</v>
      </c>
      <c r="J62" s="146">
        <v>4.33</v>
      </c>
      <c r="K62" s="146">
        <v>51.96</v>
      </c>
      <c r="L62" s="145">
        <v>980</v>
      </c>
      <c r="M62" s="147">
        <v>50920.800000000003</v>
      </c>
      <c r="N62" s="148">
        <v>40037.043760383589</v>
      </c>
    </row>
    <row r="63" spans="1:14">
      <c r="A63" s="143" t="s">
        <v>267</v>
      </c>
      <c r="B63" s="143" t="s">
        <v>146</v>
      </c>
      <c r="C63" s="144">
        <v>41.47</v>
      </c>
      <c r="D63" s="145">
        <v>42.53</v>
      </c>
      <c r="E63" s="144">
        <v>3690.84</v>
      </c>
      <c r="F63" s="144">
        <v>9952.02</v>
      </c>
      <c r="G63" s="144">
        <v>13642.86</v>
      </c>
      <c r="H63" s="147">
        <v>323.00024113817221</v>
      </c>
      <c r="I63" s="147">
        <v>26.916686761514352</v>
      </c>
      <c r="J63" s="146">
        <v>2.165</v>
      </c>
      <c r="K63" s="146">
        <v>699.29552206414292</v>
      </c>
      <c r="L63" s="145">
        <v>175</v>
      </c>
      <c r="M63" s="147">
        <v>122376.71636122502</v>
      </c>
      <c r="N63" s="148">
        <v>96220.05051386499</v>
      </c>
    </row>
    <row r="64" spans="1:14">
      <c r="A64" s="143" t="s">
        <v>268</v>
      </c>
      <c r="B64" s="143" t="s">
        <v>147</v>
      </c>
      <c r="C64" s="144">
        <v>41.47</v>
      </c>
      <c r="D64" s="145">
        <v>42.53</v>
      </c>
      <c r="E64" s="144">
        <v>15634.21</v>
      </c>
      <c r="F64" s="144">
        <v>47888.87</v>
      </c>
      <c r="G64" s="144">
        <v>63523.08</v>
      </c>
      <c r="H64" s="147">
        <v>1503.0025984296481</v>
      </c>
      <c r="I64" s="147">
        <v>125.250216535804</v>
      </c>
      <c r="J64" s="146">
        <v>2.165</v>
      </c>
      <c r="K64" s="146">
        <v>3254.000625600188</v>
      </c>
      <c r="L64" s="145">
        <v>175</v>
      </c>
      <c r="M64" s="147">
        <v>569450.10948003293</v>
      </c>
      <c r="N64" s="148">
        <v>447736.46432513441</v>
      </c>
    </row>
    <row r="65" spans="1:14">
      <c r="A65" s="143" t="s">
        <v>269</v>
      </c>
      <c r="B65" s="143" t="s">
        <v>148</v>
      </c>
      <c r="C65" s="144">
        <v>59.15</v>
      </c>
      <c r="D65" s="145">
        <v>60.78</v>
      </c>
      <c r="E65" s="144">
        <v>768.95</v>
      </c>
      <c r="F65" s="144">
        <v>2309.64</v>
      </c>
      <c r="G65" s="144">
        <v>3078.59</v>
      </c>
      <c r="H65" s="147">
        <v>51</v>
      </c>
      <c r="I65" s="147">
        <v>4.25</v>
      </c>
      <c r="J65" s="146">
        <v>2.165</v>
      </c>
      <c r="K65" s="146">
        <v>110.41499999999999</v>
      </c>
      <c r="L65" s="145">
        <v>250</v>
      </c>
      <c r="M65" s="147">
        <v>27603.749999999996</v>
      </c>
      <c r="N65" s="148">
        <v>21703.754589493652</v>
      </c>
    </row>
    <row r="66" spans="1:14">
      <c r="A66" s="143" t="s">
        <v>270</v>
      </c>
      <c r="B66" s="143" t="s">
        <v>149</v>
      </c>
      <c r="C66" s="144">
        <v>59.15</v>
      </c>
      <c r="D66" s="145">
        <v>60.78</v>
      </c>
      <c r="E66" s="144">
        <v>4791.16</v>
      </c>
      <c r="F66" s="144">
        <v>14070.569999999998</v>
      </c>
      <c r="G66" s="144">
        <v>18861.729999999996</v>
      </c>
      <c r="H66" s="147">
        <v>312.50016906170748</v>
      </c>
      <c r="I66" s="147">
        <v>26.041680755142291</v>
      </c>
      <c r="J66" s="146">
        <v>2.165</v>
      </c>
      <c r="K66" s="146">
        <v>676.56286601859665</v>
      </c>
      <c r="L66" s="145">
        <v>250</v>
      </c>
      <c r="M66" s="147">
        <v>169140.71650464917</v>
      </c>
      <c r="N66" s="148">
        <v>132988.76428412896</v>
      </c>
    </row>
    <row r="67" spans="1:14">
      <c r="A67" s="143" t="s">
        <v>271</v>
      </c>
      <c r="B67" s="143" t="s">
        <v>150</v>
      </c>
      <c r="C67" s="144">
        <v>82.35</v>
      </c>
      <c r="D67" s="145">
        <v>84.52</v>
      </c>
      <c r="E67" s="144">
        <v>1194.08</v>
      </c>
      <c r="F67" s="144">
        <v>6085.4400000000005</v>
      </c>
      <c r="G67" s="144">
        <v>7279.52</v>
      </c>
      <c r="H67" s="147">
        <v>86.500060716454172</v>
      </c>
      <c r="I67" s="147">
        <v>7.208338393037848</v>
      </c>
      <c r="J67" s="146">
        <v>2.165</v>
      </c>
      <c r="K67" s="146">
        <v>187.27263145112329</v>
      </c>
      <c r="L67" s="145">
        <v>324</v>
      </c>
      <c r="M67" s="147">
        <v>60676.332590163947</v>
      </c>
      <c r="N67" s="148">
        <v>47707.439457588705</v>
      </c>
    </row>
    <row r="68" spans="1:14">
      <c r="A68" s="143" t="s">
        <v>272</v>
      </c>
      <c r="B68" s="143" t="s">
        <v>151</v>
      </c>
      <c r="C68" s="144">
        <v>82.35</v>
      </c>
      <c r="D68" s="145">
        <v>84.52</v>
      </c>
      <c r="E68" s="144">
        <v>7488.93</v>
      </c>
      <c r="F68" s="144">
        <v>24826.67</v>
      </c>
      <c r="G68" s="144">
        <v>32315.599999999999</v>
      </c>
      <c r="H68" s="147">
        <v>384.67747696840706</v>
      </c>
      <c r="I68" s="147">
        <v>32.056456414033924</v>
      </c>
      <c r="J68" s="146">
        <v>2.165</v>
      </c>
      <c r="K68" s="146">
        <v>832.82673763660137</v>
      </c>
      <c r="L68" s="145">
        <v>324</v>
      </c>
      <c r="M68" s="147">
        <v>269835.86299425882</v>
      </c>
      <c r="N68" s="148">
        <v>212161.44001708558</v>
      </c>
    </row>
    <row r="69" spans="1:14">
      <c r="A69" s="143" t="s">
        <v>273</v>
      </c>
      <c r="B69" s="143" t="s">
        <v>152</v>
      </c>
      <c r="C69" s="144">
        <v>108.02</v>
      </c>
      <c r="D69" s="145">
        <v>111.13</v>
      </c>
      <c r="E69" s="144">
        <v>1836.3400000000001</v>
      </c>
      <c r="F69" s="144">
        <v>5111.9900000000016</v>
      </c>
      <c r="G69" s="144">
        <v>6948.3300000000017</v>
      </c>
      <c r="H69" s="147">
        <v>63.000089984702626</v>
      </c>
      <c r="I69" s="147">
        <v>5.2500074987252185</v>
      </c>
      <c r="J69" s="146">
        <v>2.165</v>
      </c>
      <c r="K69" s="146">
        <v>136.3951948168812</v>
      </c>
      <c r="L69" s="145">
        <v>473</v>
      </c>
      <c r="M69" s="147">
        <v>64514.927148384806</v>
      </c>
      <c r="N69" s="148">
        <v>50725.577002675564</v>
      </c>
    </row>
    <row r="70" spans="1:14">
      <c r="A70" s="143" t="s">
        <v>274</v>
      </c>
      <c r="B70" s="143" t="s">
        <v>153</v>
      </c>
      <c r="C70" s="144">
        <v>148.38</v>
      </c>
      <c r="D70" s="145">
        <v>152.75</v>
      </c>
      <c r="E70" s="144">
        <v>1187.04</v>
      </c>
      <c r="F70" s="144">
        <v>5940.01</v>
      </c>
      <c r="G70" s="144">
        <v>7127.05</v>
      </c>
      <c r="H70" s="147">
        <v>46.887135842880525</v>
      </c>
      <c r="I70" s="147">
        <v>3.9072613202400439</v>
      </c>
      <c r="J70" s="146">
        <v>2.165</v>
      </c>
      <c r="K70" s="146">
        <v>101.51064909983634</v>
      </c>
      <c r="L70" s="145">
        <v>613</v>
      </c>
      <c r="M70" s="147">
        <v>62226.027898199682</v>
      </c>
      <c r="N70" s="148">
        <v>48925.904581135226</v>
      </c>
    </row>
    <row r="71" spans="1:14">
      <c r="A71" s="143" t="s">
        <v>275</v>
      </c>
      <c r="B71" s="143" t="s">
        <v>154</v>
      </c>
      <c r="C71" s="144">
        <v>208.41</v>
      </c>
      <c r="D71" s="145">
        <v>214.01</v>
      </c>
      <c r="E71" s="144">
        <v>521.03</v>
      </c>
      <c r="F71" s="144">
        <v>4280.2</v>
      </c>
      <c r="G71" s="144">
        <v>4801.2299999999996</v>
      </c>
      <c r="H71" s="147">
        <v>22.500023991171247</v>
      </c>
      <c r="I71" s="147">
        <v>1.8750019992642706</v>
      </c>
      <c r="J71" s="146">
        <v>2.165</v>
      </c>
      <c r="K71" s="146">
        <v>48.712551940885746</v>
      </c>
      <c r="L71" s="145">
        <v>840</v>
      </c>
      <c r="M71" s="147">
        <v>40918.543630344029</v>
      </c>
      <c r="N71" s="148">
        <v>32172.658755150136</v>
      </c>
    </row>
    <row r="72" spans="1:14">
      <c r="A72" s="143" t="s">
        <v>276</v>
      </c>
      <c r="B72" s="143" t="s">
        <v>155</v>
      </c>
      <c r="C72" s="144">
        <v>19.11</v>
      </c>
      <c r="D72" s="145">
        <v>19.600000000000001</v>
      </c>
      <c r="E72" s="144">
        <v>248.43</v>
      </c>
      <c r="F72" s="144">
        <v>882</v>
      </c>
      <c r="G72" s="144">
        <v>1130.43</v>
      </c>
      <c r="H72" s="147">
        <v>58</v>
      </c>
      <c r="I72" s="147">
        <v>4.833333333333333</v>
      </c>
      <c r="J72" s="144">
        <v>1</v>
      </c>
      <c r="K72" s="146">
        <v>58</v>
      </c>
      <c r="L72" s="145">
        <v>175</v>
      </c>
      <c r="M72" s="147">
        <v>10150</v>
      </c>
      <c r="N72" s="148">
        <v>7980.5500732096398</v>
      </c>
    </row>
    <row r="73" spans="1:14">
      <c r="A73" s="143" t="s">
        <v>277</v>
      </c>
      <c r="B73" s="143" t="s">
        <v>156</v>
      </c>
      <c r="C73" s="144">
        <v>19.11</v>
      </c>
      <c r="D73" s="145">
        <v>19.600000000000001</v>
      </c>
      <c r="E73" s="144">
        <v>0</v>
      </c>
      <c r="F73" s="144">
        <v>78.400000000000006</v>
      </c>
      <c r="G73" s="144">
        <v>78.400000000000006</v>
      </c>
      <c r="H73" s="147">
        <v>4</v>
      </c>
      <c r="I73" s="147">
        <v>0.33333333333333331</v>
      </c>
      <c r="J73" s="144">
        <v>1</v>
      </c>
      <c r="K73" s="146">
        <v>4</v>
      </c>
      <c r="L73" s="145">
        <v>175</v>
      </c>
      <c r="M73" s="147">
        <v>700</v>
      </c>
      <c r="N73" s="148">
        <v>550.38276366963032</v>
      </c>
    </row>
    <row r="74" spans="1:14">
      <c r="A74" s="143" t="s">
        <v>278</v>
      </c>
      <c r="B74" s="143" t="s">
        <v>157</v>
      </c>
      <c r="C74" s="144">
        <v>37.950000000000003</v>
      </c>
      <c r="D74" s="145">
        <v>38.950000000000003</v>
      </c>
      <c r="E74" s="144">
        <v>0</v>
      </c>
      <c r="F74" s="144">
        <v>116.85000000000001</v>
      </c>
      <c r="G74" s="144">
        <v>116.85000000000001</v>
      </c>
      <c r="H74" s="147">
        <v>3</v>
      </c>
      <c r="I74" s="147">
        <v>0.25</v>
      </c>
      <c r="J74" s="144">
        <v>1</v>
      </c>
      <c r="K74" s="146">
        <v>3</v>
      </c>
      <c r="L74" s="145">
        <v>250</v>
      </c>
      <c r="M74" s="147">
        <v>750</v>
      </c>
      <c r="N74" s="148">
        <v>589.69581821746112</v>
      </c>
    </row>
    <row r="75" spans="1:14">
      <c r="A75" s="143" t="s">
        <v>279</v>
      </c>
      <c r="B75" s="143" t="s">
        <v>157</v>
      </c>
      <c r="C75" s="144">
        <v>37.950000000000003</v>
      </c>
      <c r="D75" s="145">
        <v>38.950000000000003</v>
      </c>
      <c r="E75" s="144">
        <v>0</v>
      </c>
      <c r="F75" s="144">
        <v>817.95</v>
      </c>
      <c r="G75" s="144">
        <v>817.95</v>
      </c>
      <c r="H75" s="147">
        <v>21</v>
      </c>
      <c r="I75" s="147">
        <v>1.75</v>
      </c>
      <c r="J75" s="144">
        <v>1</v>
      </c>
      <c r="K75" s="146">
        <v>21</v>
      </c>
      <c r="L75" s="145">
        <v>250</v>
      </c>
      <c r="M75" s="147">
        <v>5250</v>
      </c>
      <c r="N75" s="148">
        <v>4127.8707275222278</v>
      </c>
    </row>
    <row r="76" spans="1:14">
      <c r="A76" s="143" t="s">
        <v>280</v>
      </c>
      <c r="B76" s="143" t="s">
        <v>158</v>
      </c>
      <c r="C76" s="144">
        <v>68.38</v>
      </c>
      <c r="D76" s="145">
        <v>70.39</v>
      </c>
      <c r="E76" s="144">
        <v>0</v>
      </c>
      <c r="F76" s="144">
        <v>351.95</v>
      </c>
      <c r="G76" s="144">
        <v>351.95</v>
      </c>
      <c r="H76" s="147">
        <v>5</v>
      </c>
      <c r="I76" s="147">
        <v>0.41666666666666669</v>
      </c>
      <c r="J76" s="144">
        <v>1</v>
      </c>
      <c r="K76" s="146">
        <v>5</v>
      </c>
      <c r="L76" s="145">
        <v>613</v>
      </c>
      <c r="M76" s="147">
        <v>3065</v>
      </c>
      <c r="N76" s="148">
        <v>2409.8902437820243</v>
      </c>
    </row>
    <row r="77" spans="1:14">
      <c r="A77" s="143" t="s">
        <v>281</v>
      </c>
      <c r="B77" s="143" t="s">
        <v>159</v>
      </c>
      <c r="C77" s="144">
        <v>96.04</v>
      </c>
      <c r="D77" s="145">
        <v>98.62</v>
      </c>
      <c r="E77" s="144">
        <v>0</v>
      </c>
      <c r="F77" s="144">
        <v>690.34</v>
      </c>
      <c r="G77" s="144">
        <v>690.34</v>
      </c>
      <c r="H77" s="147">
        <v>7</v>
      </c>
      <c r="I77" s="147">
        <v>0.58333333333333337</v>
      </c>
      <c r="J77" s="144">
        <v>1</v>
      </c>
      <c r="K77" s="146">
        <v>7</v>
      </c>
      <c r="L77" s="145">
        <v>840</v>
      </c>
      <c r="M77" s="147">
        <v>5880</v>
      </c>
      <c r="N77" s="148">
        <v>4623.2152148248952</v>
      </c>
    </row>
    <row r="78" spans="1:14">
      <c r="A78" s="143" t="s">
        <v>282</v>
      </c>
      <c r="B78" s="143" t="s">
        <v>160</v>
      </c>
      <c r="C78" s="144">
        <v>22.11</v>
      </c>
      <c r="D78" s="145">
        <v>22.6</v>
      </c>
      <c r="E78" s="144">
        <v>198.99</v>
      </c>
      <c r="F78" s="144">
        <v>904</v>
      </c>
      <c r="G78" s="144">
        <v>1102.99</v>
      </c>
      <c r="H78" s="147">
        <v>49</v>
      </c>
      <c r="I78" s="147">
        <v>4.083333333333333</v>
      </c>
      <c r="J78" s="144">
        <v>1</v>
      </c>
      <c r="K78" s="146">
        <v>49</v>
      </c>
      <c r="L78" s="145">
        <v>175</v>
      </c>
      <c r="M78" s="147">
        <v>8575</v>
      </c>
      <c r="N78" s="148">
        <v>6742.1888549529722</v>
      </c>
    </row>
    <row r="79" spans="1:14">
      <c r="A79" s="143" t="s">
        <v>283</v>
      </c>
      <c r="B79" s="143" t="s">
        <v>161</v>
      </c>
      <c r="C79" s="144">
        <v>22.11</v>
      </c>
      <c r="D79" s="145">
        <v>22.6</v>
      </c>
      <c r="E79" s="144">
        <v>22.11</v>
      </c>
      <c r="F79" s="144">
        <v>90.4</v>
      </c>
      <c r="G79" s="144">
        <v>112.51</v>
      </c>
      <c r="H79" s="147">
        <v>5</v>
      </c>
      <c r="I79" s="147">
        <v>0.41666666666666669</v>
      </c>
      <c r="J79" s="144">
        <v>1</v>
      </c>
      <c r="K79" s="146">
        <v>5</v>
      </c>
      <c r="L79" s="145">
        <v>175</v>
      </c>
      <c r="M79" s="147">
        <v>875</v>
      </c>
      <c r="N79" s="148">
        <v>687.97845458703796</v>
      </c>
    </row>
    <row r="80" spans="1:14">
      <c r="A80" s="143" t="s">
        <v>284</v>
      </c>
      <c r="B80" s="143" t="s">
        <v>162</v>
      </c>
      <c r="C80" s="144">
        <v>24.12</v>
      </c>
      <c r="D80" s="145">
        <v>24.61</v>
      </c>
      <c r="E80" s="144">
        <v>0</v>
      </c>
      <c r="F80" s="144">
        <v>98.44</v>
      </c>
      <c r="G80" s="144">
        <v>98.44</v>
      </c>
      <c r="H80" s="147">
        <v>4</v>
      </c>
      <c r="I80" s="147">
        <v>0.33333333333333331</v>
      </c>
      <c r="J80" s="144">
        <v>1</v>
      </c>
      <c r="K80" s="146">
        <v>4</v>
      </c>
      <c r="L80" s="145">
        <v>175</v>
      </c>
      <c r="M80" s="147">
        <v>700</v>
      </c>
      <c r="N80" s="148">
        <v>550.38276366963032</v>
      </c>
    </row>
    <row r="81" spans="1:14">
      <c r="A81" s="143" t="s">
        <v>285</v>
      </c>
      <c r="B81" s="143" t="s">
        <v>162</v>
      </c>
      <c r="C81" s="144">
        <v>24.12</v>
      </c>
      <c r="D81" s="145">
        <v>24.61</v>
      </c>
      <c r="E81" s="144">
        <v>217.08</v>
      </c>
      <c r="F81" s="144">
        <v>861.35000000000014</v>
      </c>
      <c r="G81" s="144">
        <v>1078.43</v>
      </c>
      <c r="H81" s="147">
        <v>44.000000000000007</v>
      </c>
      <c r="I81" s="147">
        <v>3.6666666666666674</v>
      </c>
      <c r="J81" s="144">
        <v>1</v>
      </c>
      <c r="K81" s="146">
        <v>44.000000000000007</v>
      </c>
      <c r="L81" s="145">
        <v>175</v>
      </c>
      <c r="M81" s="147">
        <v>7700.0000000000009</v>
      </c>
      <c r="N81" s="148">
        <v>6054.2104003659342</v>
      </c>
    </row>
    <row r="82" spans="1:14">
      <c r="A82" s="143" t="s">
        <v>286</v>
      </c>
      <c r="B82" s="143" t="s">
        <v>163</v>
      </c>
      <c r="C82" s="144">
        <v>30.26</v>
      </c>
      <c r="D82" s="145">
        <v>31.01</v>
      </c>
      <c r="E82" s="144">
        <v>60.52</v>
      </c>
      <c r="F82" s="144">
        <v>62.02</v>
      </c>
      <c r="G82" s="144">
        <v>122.54</v>
      </c>
      <c r="H82" s="147">
        <v>4</v>
      </c>
      <c r="I82" s="147">
        <v>0.33333333333333331</v>
      </c>
      <c r="J82" s="144">
        <v>1</v>
      </c>
      <c r="K82" s="146">
        <v>4</v>
      </c>
      <c r="L82" s="145">
        <v>250</v>
      </c>
      <c r="M82" s="147">
        <v>1000</v>
      </c>
      <c r="N82" s="148">
        <v>786.26109095661479</v>
      </c>
    </row>
    <row r="83" spans="1:14">
      <c r="A83" s="143" t="s">
        <v>287</v>
      </c>
      <c r="B83" s="143" t="s">
        <v>164</v>
      </c>
      <c r="C83" s="144">
        <v>30.26</v>
      </c>
      <c r="D83" s="145">
        <v>31.01</v>
      </c>
      <c r="E83" s="144">
        <v>30.26</v>
      </c>
      <c r="F83" s="144">
        <v>0</v>
      </c>
      <c r="G83" s="144">
        <v>30.26</v>
      </c>
      <c r="H83" s="147">
        <v>1</v>
      </c>
      <c r="I83" s="147">
        <v>8.3333333333333329E-2</v>
      </c>
      <c r="J83" s="144">
        <v>1</v>
      </c>
      <c r="K83" s="146">
        <v>1</v>
      </c>
      <c r="L83" s="145">
        <v>250</v>
      </c>
      <c r="M83" s="147">
        <v>250</v>
      </c>
      <c r="N83" s="148">
        <v>196.5652727391537</v>
      </c>
    </row>
    <row r="84" spans="1:14">
      <c r="A84" s="143" t="s">
        <v>288</v>
      </c>
      <c r="B84" s="143" t="s">
        <v>165</v>
      </c>
      <c r="C84" s="144">
        <v>27.26</v>
      </c>
      <c r="D84" s="145">
        <v>28.01</v>
      </c>
      <c r="E84" s="144">
        <v>136.30000000000001</v>
      </c>
      <c r="F84" s="144">
        <v>1512.54</v>
      </c>
      <c r="G84" s="144">
        <v>1648.84</v>
      </c>
      <c r="H84" s="147">
        <v>58.999999999999993</v>
      </c>
      <c r="I84" s="147">
        <v>4.9166666666666661</v>
      </c>
      <c r="J84" s="144">
        <v>1</v>
      </c>
      <c r="K84" s="146">
        <v>58.999999999999993</v>
      </c>
      <c r="L84" s="145">
        <v>250</v>
      </c>
      <c r="M84" s="147">
        <v>14749.999999999998</v>
      </c>
      <c r="N84" s="148">
        <v>11597.351091610066</v>
      </c>
    </row>
    <row r="85" spans="1:14">
      <c r="A85" s="143" t="s">
        <v>289</v>
      </c>
      <c r="B85" s="143" t="s">
        <v>166</v>
      </c>
      <c r="C85" s="144">
        <v>27.26</v>
      </c>
      <c r="D85" s="145">
        <v>28.01</v>
      </c>
      <c r="E85" s="144">
        <v>81.78</v>
      </c>
      <c r="F85" s="144">
        <v>0</v>
      </c>
      <c r="G85" s="144">
        <v>81.78</v>
      </c>
      <c r="H85" s="147">
        <v>3</v>
      </c>
      <c r="I85" s="147">
        <v>0.25</v>
      </c>
      <c r="J85" s="144">
        <v>1</v>
      </c>
      <c r="K85" s="146">
        <v>3</v>
      </c>
      <c r="L85" s="145">
        <v>250</v>
      </c>
      <c r="M85" s="147">
        <v>750</v>
      </c>
      <c r="N85" s="148">
        <v>589.69581821746112</v>
      </c>
    </row>
    <row r="86" spans="1:14">
      <c r="A86" s="143" t="s">
        <v>290</v>
      </c>
      <c r="B86" s="143" t="s">
        <v>167</v>
      </c>
      <c r="C86" s="144">
        <v>40.950000000000003</v>
      </c>
      <c r="D86" s="145">
        <v>41.95</v>
      </c>
      <c r="E86" s="144">
        <v>81.900000000000006</v>
      </c>
      <c r="F86" s="144">
        <v>545.35</v>
      </c>
      <c r="G86" s="144">
        <v>627.25</v>
      </c>
      <c r="H86" s="147">
        <v>15</v>
      </c>
      <c r="I86" s="147">
        <v>1.25</v>
      </c>
      <c r="J86" s="144">
        <v>1</v>
      </c>
      <c r="K86" s="146">
        <v>15</v>
      </c>
      <c r="L86" s="145">
        <v>324</v>
      </c>
      <c r="M86" s="147">
        <v>4860</v>
      </c>
      <c r="N86" s="148">
        <v>3821.228902049148</v>
      </c>
    </row>
    <row r="87" spans="1:14">
      <c r="A87" s="143" t="s">
        <v>291</v>
      </c>
      <c r="B87" s="143" t="s">
        <v>168</v>
      </c>
      <c r="C87" s="144">
        <v>40.950000000000003</v>
      </c>
      <c r="D87" s="145">
        <v>41.95</v>
      </c>
      <c r="E87" s="144">
        <v>0</v>
      </c>
      <c r="F87" s="144">
        <v>587.29999999999995</v>
      </c>
      <c r="G87" s="144">
        <v>587.29999999999995</v>
      </c>
      <c r="H87" s="147">
        <v>13.999999999999998</v>
      </c>
      <c r="I87" s="147">
        <v>1.1666666666666665</v>
      </c>
      <c r="J87" s="144">
        <v>1</v>
      </c>
      <c r="K87" s="146">
        <v>13.999999999999998</v>
      </c>
      <c r="L87" s="145">
        <v>324</v>
      </c>
      <c r="M87" s="147">
        <v>4535.9999999999991</v>
      </c>
      <c r="N87" s="148">
        <v>3566.4803085792041</v>
      </c>
    </row>
    <row r="88" spans="1:14">
      <c r="A88" s="143" t="s">
        <v>292</v>
      </c>
      <c r="B88" s="143" t="s">
        <v>169</v>
      </c>
      <c r="C88" s="144">
        <v>35.5</v>
      </c>
      <c r="D88" s="145">
        <v>36.5</v>
      </c>
      <c r="E88" s="144">
        <v>8803</v>
      </c>
      <c r="F88" s="144">
        <v>25759.1</v>
      </c>
      <c r="G88" s="144">
        <v>34562.1</v>
      </c>
      <c r="H88" s="147">
        <v>953.70059810920316</v>
      </c>
      <c r="I88" s="147">
        <v>79.475049842433592</v>
      </c>
      <c r="J88" s="144">
        <v>1</v>
      </c>
      <c r="K88" s="146">
        <v>953.70059810920316</v>
      </c>
      <c r="L88" s="145">
        <v>324</v>
      </c>
      <c r="M88" s="147">
        <v>308998.9937873818</v>
      </c>
      <c r="N88" s="148">
        <v>242953.88595976305</v>
      </c>
    </row>
    <row r="89" spans="1:14">
      <c r="A89" s="143" t="s">
        <v>293</v>
      </c>
      <c r="B89" s="143" t="s">
        <v>170</v>
      </c>
      <c r="C89" s="144">
        <v>35.5</v>
      </c>
      <c r="D89" s="145">
        <v>36.5</v>
      </c>
      <c r="E89" s="144">
        <v>142</v>
      </c>
      <c r="F89" s="144">
        <v>1934.5</v>
      </c>
      <c r="G89" s="144">
        <v>2076.5</v>
      </c>
      <c r="H89" s="147">
        <v>57</v>
      </c>
      <c r="I89" s="147">
        <v>4.75</v>
      </c>
      <c r="J89" s="144">
        <v>1</v>
      </c>
      <c r="K89" s="146">
        <v>57</v>
      </c>
      <c r="L89" s="145">
        <v>324</v>
      </c>
      <c r="M89" s="147">
        <v>18468</v>
      </c>
      <c r="N89" s="148">
        <v>14520.669827786762</v>
      </c>
    </row>
    <row r="90" spans="1:14">
      <c r="A90" s="143" t="s">
        <v>294</v>
      </c>
      <c r="B90" s="143" t="s">
        <v>171</v>
      </c>
      <c r="C90" s="144">
        <v>52.78</v>
      </c>
      <c r="D90" s="145">
        <v>54.21</v>
      </c>
      <c r="E90" s="144">
        <v>0</v>
      </c>
      <c r="F90" s="144">
        <v>2276.8199999999997</v>
      </c>
      <c r="G90" s="144">
        <v>2276.8199999999997</v>
      </c>
      <c r="H90" s="147">
        <v>41.999999999999993</v>
      </c>
      <c r="I90" s="147">
        <v>3.4999999999999996</v>
      </c>
      <c r="J90" s="144">
        <v>1</v>
      </c>
      <c r="K90" s="146">
        <v>41.999999999999993</v>
      </c>
      <c r="L90" s="145">
        <v>473</v>
      </c>
      <c r="M90" s="147">
        <v>19865.999999999996</v>
      </c>
      <c r="N90" s="148">
        <v>15619.862832944107</v>
      </c>
    </row>
    <row r="91" spans="1:14">
      <c r="A91" s="143" t="s">
        <v>295</v>
      </c>
      <c r="B91" s="143" t="s">
        <v>172</v>
      </c>
      <c r="C91" s="144">
        <v>71.38</v>
      </c>
      <c r="D91" s="145">
        <v>73.39</v>
      </c>
      <c r="E91" s="144">
        <v>356.9</v>
      </c>
      <c r="F91" s="144">
        <v>511.71999999999991</v>
      </c>
      <c r="G91" s="144">
        <v>868.61999999999989</v>
      </c>
      <c r="H91" s="147">
        <v>11.97261207248944</v>
      </c>
      <c r="I91" s="147">
        <v>0.99771767270745337</v>
      </c>
      <c r="J91" s="144">
        <v>1</v>
      </c>
      <c r="K91" s="146">
        <v>11.97261207248944</v>
      </c>
      <c r="L91" s="145">
        <v>613</v>
      </c>
      <c r="M91" s="147">
        <v>7339.211200436027</v>
      </c>
      <c r="N91" s="148">
        <v>5770.5362052158371</v>
      </c>
    </row>
    <row r="92" spans="1:14">
      <c r="A92" s="143" t="s">
        <v>296</v>
      </c>
      <c r="B92" s="143" t="s">
        <v>172</v>
      </c>
      <c r="C92" s="144">
        <v>71.38</v>
      </c>
      <c r="D92" s="145">
        <v>73.39</v>
      </c>
      <c r="E92" s="144">
        <v>0</v>
      </c>
      <c r="F92" s="144">
        <v>73.39</v>
      </c>
      <c r="G92" s="144">
        <v>73.39</v>
      </c>
      <c r="H92" s="147">
        <v>1</v>
      </c>
      <c r="I92" s="147">
        <v>8.3333333333333329E-2</v>
      </c>
      <c r="J92" s="144">
        <v>1</v>
      </c>
      <c r="K92" s="146">
        <v>1</v>
      </c>
      <c r="L92" s="145">
        <v>613</v>
      </c>
      <c r="M92" s="147">
        <v>613</v>
      </c>
      <c r="N92" s="148">
        <v>481.97804875640486</v>
      </c>
    </row>
    <row r="93" spans="1:14">
      <c r="A93" s="143" t="s">
        <v>297</v>
      </c>
      <c r="B93" s="143" t="s">
        <v>173</v>
      </c>
      <c r="C93" s="144">
        <v>99.04</v>
      </c>
      <c r="D93" s="145">
        <v>101.62</v>
      </c>
      <c r="E93" s="144">
        <v>0</v>
      </c>
      <c r="F93" s="144">
        <v>101.62</v>
      </c>
      <c r="G93" s="144">
        <v>101.62</v>
      </c>
      <c r="H93" s="147">
        <v>1</v>
      </c>
      <c r="I93" s="147">
        <v>8.3333333333333329E-2</v>
      </c>
      <c r="J93" s="144">
        <v>1</v>
      </c>
      <c r="K93" s="146">
        <v>1</v>
      </c>
      <c r="L93" s="145">
        <v>840</v>
      </c>
      <c r="M93" s="147">
        <v>840</v>
      </c>
      <c r="N93" s="148">
        <v>660.45931640355639</v>
      </c>
    </row>
    <row r="94" spans="1:14">
      <c r="A94" s="143" t="s">
        <v>298</v>
      </c>
      <c r="B94" s="143" t="s">
        <v>174</v>
      </c>
      <c r="C94" s="144">
        <v>580.44000000000005</v>
      </c>
      <c r="D94" s="145">
        <v>606.50310000000002</v>
      </c>
      <c r="E94" s="144">
        <v>1688.5500000000002</v>
      </c>
      <c r="F94" s="144">
        <v>5065.6500000000005</v>
      </c>
      <c r="G94" s="144">
        <v>6754.2000000000007</v>
      </c>
      <c r="H94" s="147">
        <v>11.261310626131783</v>
      </c>
      <c r="I94" s="147">
        <v>0.9384425521776486</v>
      </c>
      <c r="J94" s="146">
        <v>4.33</v>
      </c>
      <c r="K94" s="146">
        <v>48.761475011150623</v>
      </c>
      <c r="L94" s="145">
        <v>1680</v>
      </c>
      <c r="M94" s="147">
        <v>81919.27801873305</v>
      </c>
      <c r="N94" s="148">
        <v>64409.940905387281</v>
      </c>
    </row>
    <row r="95" spans="1:14">
      <c r="A95" s="143" t="s">
        <v>299</v>
      </c>
      <c r="B95" s="143" t="s">
        <v>175</v>
      </c>
      <c r="C95" s="144">
        <v>20.9</v>
      </c>
      <c r="D95" s="145">
        <v>21.3</v>
      </c>
      <c r="E95" s="144">
        <v>376.20000000000005</v>
      </c>
      <c r="F95" s="144">
        <v>1112.93</v>
      </c>
      <c r="G95" s="144">
        <v>1489.13</v>
      </c>
      <c r="H95" s="147">
        <v>70.250234741784041</v>
      </c>
      <c r="I95" s="147">
        <v>5.8541862284820034</v>
      </c>
      <c r="J95" s="146">
        <v>4.33</v>
      </c>
      <c r="K95" s="146">
        <v>304.18351643192489</v>
      </c>
      <c r="L95" s="145">
        <v>29</v>
      </c>
      <c r="M95" s="147">
        <v>8821.3219765258218</v>
      </c>
      <c r="N95" s="148">
        <v>6935.8622409427544</v>
      </c>
    </row>
    <row r="96" spans="1:14">
      <c r="A96" s="143" t="s">
        <v>300</v>
      </c>
      <c r="B96" s="143" t="s">
        <v>176</v>
      </c>
      <c r="C96" s="144">
        <v>62.61</v>
      </c>
      <c r="D96" s="145">
        <v>63.91</v>
      </c>
      <c r="E96" s="144">
        <v>187.82999999999998</v>
      </c>
      <c r="F96" s="144">
        <v>63.91</v>
      </c>
      <c r="G96" s="144">
        <v>251.73999999999998</v>
      </c>
      <c r="H96" s="147">
        <v>3.9999999999999996</v>
      </c>
      <c r="I96" s="147">
        <v>0.33333333333333331</v>
      </c>
      <c r="J96" s="146">
        <v>4.33</v>
      </c>
      <c r="K96" s="146">
        <v>17.32</v>
      </c>
      <c r="L96" s="145">
        <v>87</v>
      </c>
      <c r="M96" s="147">
        <v>1506.84</v>
      </c>
      <c r="N96" s="148">
        <v>1184.7696622970655</v>
      </c>
    </row>
    <row r="97" spans="1:14">
      <c r="A97" s="143" t="s">
        <v>301</v>
      </c>
      <c r="B97" s="143" t="s">
        <v>177</v>
      </c>
      <c r="C97" s="144">
        <v>23.55</v>
      </c>
      <c r="D97" s="145">
        <v>24.03</v>
      </c>
      <c r="E97" s="144">
        <v>241.4</v>
      </c>
      <c r="F97" s="144">
        <v>672.84000000000015</v>
      </c>
      <c r="G97" s="144">
        <v>914.24000000000012</v>
      </c>
      <c r="H97" s="147">
        <v>38.250530785562638</v>
      </c>
      <c r="I97" s="147">
        <v>3.1875442321302199</v>
      </c>
      <c r="J97" s="146">
        <v>4.33</v>
      </c>
      <c r="K97" s="146">
        <v>165.62479830148624</v>
      </c>
      <c r="L97" s="145">
        <v>37</v>
      </c>
      <c r="M97" s="147">
        <v>6128.1175371549907</v>
      </c>
      <c r="N97" s="148">
        <v>4818.3003802738467</v>
      </c>
    </row>
    <row r="98" spans="1:14">
      <c r="A98" s="143" t="s">
        <v>302</v>
      </c>
      <c r="B98" s="143" t="s">
        <v>178</v>
      </c>
      <c r="C98" s="144">
        <v>30.05</v>
      </c>
      <c r="D98" s="145">
        <v>30.79</v>
      </c>
      <c r="E98" s="144">
        <v>4079.3</v>
      </c>
      <c r="F98" s="144">
        <v>13047.29</v>
      </c>
      <c r="G98" s="144">
        <v>17126.59</v>
      </c>
      <c r="H98" s="147">
        <v>559.50130912050349</v>
      </c>
      <c r="I98" s="147">
        <v>46.625109093375293</v>
      </c>
      <c r="J98" s="146">
        <v>4.33</v>
      </c>
      <c r="K98" s="146">
        <v>2422.6406684917802</v>
      </c>
      <c r="L98" s="145">
        <v>47</v>
      </c>
      <c r="M98" s="147">
        <v>113864.11141911367</v>
      </c>
      <c r="N98" s="148">
        <v>89526.920465197851</v>
      </c>
    </row>
    <row r="99" spans="1:14">
      <c r="A99" s="143" t="s">
        <v>303</v>
      </c>
      <c r="B99" s="143" t="s">
        <v>179</v>
      </c>
      <c r="C99" s="144">
        <v>60.1</v>
      </c>
      <c r="D99" s="145">
        <v>61.57</v>
      </c>
      <c r="E99" s="144">
        <v>480.8</v>
      </c>
      <c r="F99" s="144">
        <v>1108.26</v>
      </c>
      <c r="G99" s="144">
        <v>1589.06</v>
      </c>
      <c r="H99" s="147">
        <v>26</v>
      </c>
      <c r="I99" s="147">
        <v>2.1666666666666665</v>
      </c>
      <c r="J99" s="146">
        <v>4.33</v>
      </c>
      <c r="K99" s="146">
        <v>112.57999999999998</v>
      </c>
      <c r="L99" s="145">
        <v>94</v>
      </c>
      <c r="M99" s="147">
        <v>10582.519999999999</v>
      </c>
      <c r="N99" s="148">
        <v>8320.6237202701941</v>
      </c>
    </row>
    <row r="100" spans="1:14">
      <c r="A100" s="143" t="s">
        <v>304</v>
      </c>
      <c r="B100" s="143" t="s">
        <v>220</v>
      </c>
      <c r="E100" s="144">
        <v>2.1700000000000004</v>
      </c>
      <c r="F100" s="144">
        <v>16.600000000000001</v>
      </c>
      <c r="G100" s="144">
        <v>18.770000000000003</v>
      </c>
      <c r="H100" s="147"/>
      <c r="I100" s="147"/>
    </row>
    <row r="101" spans="1:14">
      <c r="A101" s="143" t="s">
        <v>305</v>
      </c>
      <c r="B101" s="143" t="s">
        <v>306</v>
      </c>
      <c r="E101" s="144">
        <v>1204.73</v>
      </c>
      <c r="F101" s="144">
        <v>3636.9</v>
      </c>
      <c r="G101" s="144">
        <v>4841.63</v>
      </c>
      <c r="H101" s="147"/>
      <c r="I101" s="147"/>
    </row>
    <row r="102" spans="1:14">
      <c r="A102" s="143" t="s">
        <v>307</v>
      </c>
      <c r="B102" s="143" t="s">
        <v>308</v>
      </c>
      <c r="E102" s="144">
        <v>12.32</v>
      </c>
      <c r="F102" s="144">
        <v>117.6</v>
      </c>
      <c r="G102" s="144">
        <v>129.91999999999999</v>
      </c>
      <c r="H102" s="147"/>
      <c r="I102" s="147"/>
    </row>
    <row r="103" spans="1:14">
      <c r="A103" s="143" t="s">
        <v>309</v>
      </c>
      <c r="B103" s="143" t="s">
        <v>310</v>
      </c>
      <c r="E103" s="144">
        <v>76.23</v>
      </c>
      <c r="F103" s="144">
        <v>258.06000000000006</v>
      </c>
      <c r="G103" s="144">
        <v>334.29000000000008</v>
      </c>
      <c r="H103" s="147"/>
      <c r="I103" s="147"/>
    </row>
    <row r="104" spans="1:14">
      <c r="A104" s="143" t="s">
        <v>311</v>
      </c>
      <c r="B104" s="143" t="s">
        <v>312</v>
      </c>
      <c r="E104" s="144">
        <v>16.799999999999997</v>
      </c>
      <c r="F104" s="144">
        <v>16.799999999999997</v>
      </c>
      <c r="G104" s="144">
        <v>33.599999999999994</v>
      </c>
      <c r="H104" s="147"/>
      <c r="I104" s="147"/>
    </row>
    <row r="105" spans="1:14">
      <c r="A105" s="143" t="s">
        <v>313</v>
      </c>
      <c r="B105" s="143" t="s">
        <v>314</v>
      </c>
      <c r="E105" s="144">
        <v>0</v>
      </c>
      <c r="F105" s="144">
        <v>19.04</v>
      </c>
      <c r="G105" s="144">
        <v>19.04</v>
      </c>
      <c r="H105" s="147"/>
      <c r="I105" s="147"/>
    </row>
    <row r="106" spans="1:14">
      <c r="A106" s="143" t="s">
        <v>315</v>
      </c>
      <c r="B106" s="143" t="s">
        <v>316</v>
      </c>
      <c r="E106" s="144">
        <v>260.92</v>
      </c>
      <c r="F106" s="144">
        <v>2625.7</v>
      </c>
      <c r="G106" s="144">
        <v>2886.62</v>
      </c>
      <c r="H106" s="147"/>
      <c r="I106" s="147"/>
    </row>
    <row r="107" spans="1:14">
      <c r="A107" s="143" t="s">
        <v>317</v>
      </c>
      <c r="B107" s="143" t="s">
        <v>318</v>
      </c>
      <c r="E107" s="144">
        <v>7.7</v>
      </c>
      <c r="F107" s="144">
        <v>161.69999999999999</v>
      </c>
      <c r="G107" s="144">
        <v>169.39999999999998</v>
      </c>
      <c r="H107" s="147"/>
      <c r="I107" s="147"/>
    </row>
    <row r="108" spans="1:14">
      <c r="A108" s="143" t="s">
        <v>319</v>
      </c>
      <c r="B108" s="143" t="s">
        <v>320</v>
      </c>
      <c r="E108" s="144">
        <v>0</v>
      </c>
      <c r="F108" s="144">
        <v>15.4</v>
      </c>
      <c r="G108" s="144">
        <v>15.4</v>
      </c>
      <c r="H108" s="147"/>
      <c r="I108" s="147"/>
    </row>
    <row r="109" spans="1:14">
      <c r="A109" s="143" t="s">
        <v>321</v>
      </c>
      <c r="B109" s="143" t="s">
        <v>322</v>
      </c>
      <c r="E109" s="144">
        <v>46.2</v>
      </c>
      <c r="F109" s="144">
        <v>77</v>
      </c>
      <c r="G109" s="144">
        <v>123.2</v>
      </c>
      <c r="H109" s="147"/>
      <c r="I109" s="147"/>
    </row>
    <row r="110" spans="1:14">
      <c r="A110" s="143" t="s">
        <v>323</v>
      </c>
      <c r="B110" s="143" t="s">
        <v>324</v>
      </c>
      <c r="E110" s="144">
        <v>0</v>
      </c>
      <c r="F110" s="144">
        <v>125.46000000000001</v>
      </c>
      <c r="G110" s="144">
        <v>125.46000000000001</v>
      </c>
      <c r="H110" s="147"/>
      <c r="I110" s="147"/>
    </row>
    <row r="111" spans="1:14">
      <c r="A111" s="143" t="s">
        <v>325</v>
      </c>
      <c r="B111" s="143" t="s">
        <v>326</v>
      </c>
      <c r="E111" s="144">
        <v>742.1</v>
      </c>
      <c r="F111" s="144">
        <v>653.54</v>
      </c>
      <c r="G111" s="144">
        <v>1395.6399999999999</v>
      </c>
      <c r="H111" s="147"/>
      <c r="I111" s="147"/>
    </row>
    <row r="112" spans="1:14">
      <c r="A112" s="143" t="s">
        <v>327</v>
      </c>
      <c r="B112" s="143" t="s">
        <v>328</v>
      </c>
      <c r="E112" s="144">
        <v>18.059999999999999</v>
      </c>
      <c r="F112" s="144">
        <v>216.72</v>
      </c>
      <c r="G112" s="144">
        <v>234.78</v>
      </c>
      <c r="H112" s="147"/>
      <c r="I112" s="147"/>
    </row>
    <row r="113" spans="1:14">
      <c r="A113" s="143" t="s">
        <v>329</v>
      </c>
      <c r="B113" s="143" t="s">
        <v>330</v>
      </c>
      <c r="E113" s="144">
        <v>0</v>
      </c>
      <c r="F113" s="144">
        <v>81</v>
      </c>
      <c r="G113" s="144">
        <v>81</v>
      </c>
      <c r="H113" s="147"/>
      <c r="I113" s="147"/>
    </row>
    <row r="114" spans="1:14">
      <c r="A114" s="143" t="s">
        <v>331</v>
      </c>
      <c r="B114" s="143" t="s">
        <v>332</v>
      </c>
      <c r="E114" s="144">
        <v>0</v>
      </c>
      <c r="F114" s="144">
        <v>26.400000000000002</v>
      </c>
      <c r="G114" s="144">
        <v>26.400000000000002</v>
      </c>
      <c r="H114" s="147"/>
      <c r="I114" s="147"/>
    </row>
    <row r="115" spans="1:14">
      <c r="A115" s="143" t="s">
        <v>333</v>
      </c>
      <c r="B115" s="143" t="s">
        <v>334</v>
      </c>
      <c r="E115" s="144">
        <v>4.9499999999999993</v>
      </c>
      <c r="F115" s="144">
        <v>28.050000000000004</v>
      </c>
      <c r="G115" s="144">
        <v>33</v>
      </c>
      <c r="H115" s="147"/>
      <c r="I115" s="147"/>
    </row>
    <row r="116" spans="1:14">
      <c r="A116" s="143" t="s">
        <v>335</v>
      </c>
      <c r="B116" s="143" t="s">
        <v>336</v>
      </c>
      <c r="E116" s="144">
        <v>47.339999999999996</v>
      </c>
      <c r="F116" s="144">
        <v>142.01999999999998</v>
      </c>
      <c r="G116" s="144">
        <v>189.35999999999999</v>
      </c>
      <c r="H116" s="147"/>
      <c r="I116" s="147"/>
    </row>
    <row r="117" spans="1:14">
      <c r="A117" s="143" t="s">
        <v>337</v>
      </c>
      <c r="B117" s="143" t="s">
        <v>338</v>
      </c>
      <c r="E117" s="144">
        <v>28.74</v>
      </c>
      <c r="F117" s="144">
        <v>14.369999999999997</v>
      </c>
      <c r="G117" s="144">
        <v>43.11</v>
      </c>
      <c r="H117" s="147"/>
      <c r="I117" s="147"/>
    </row>
    <row r="118" spans="1:14">
      <c r="A118" s="143" t="s">
        <v>339</v>
      </c>
      <c r="B118" s="143" t="s">
        <v>340</v>
      </c>
      <c r="E118" s="144">
        <v>11</v>
      </c>
      <c r="F118" s="144">
        <v>67.25</v>
      </c>
      <c r="G118" s="144">
        <v>78.25</v>
      </c>
      <c r="H118" s="147"/>
      <c r="I118" s="147"/>
    </row>
    <row r="119" spans="1:14">
      <c r="A119" s="143" t="s">
        <v>341</v>
      </c>
      <c r="B119" s="143" t="s">
        <v>342</v>
      </c>
      <c r="E119" s="144">
        <v>72.75</v>
      </c>
      <c r="F119" s="144">
        <v>257.05</v>
      </c>
      <c r="G119" s="144">
        <v>329.8</v>
      </c>
      <c r="H119" s="147"/>
      <c r="I119" s="147"/>
    </row>
    <row r="120" spans="1:14">
      <c r="A120" s="143" t="s">
        <v>343</v>
      </c>
      <c r="B120" s="143" t="s">
        <v>344</v>
      </c>
      <c r="E120" s="144">
        <v>0</v>
      </c>
      <c r="F120" s="144">
        <v>10.94</v>
      </c>
      <c r="G120" s="144">
        <v>10.94</v>
      </c>
      <c r="H120" s="147"/>
      <c r="I120" s="147"/>
    </row>
    <row r="121" spans="1:14">
      <c r="A121" s="143" t="s">
        <v>345</v>
      </c>
      <c r="B121" s="143" t="s">
        <v>346</v>
      </c>
      <c r="E121" s="144">
        <v>32.74</v>
      </c>
      <c r="F121" s="144">
        <v>129.33000000000001</v>
      </c>
      <c r="G121" s="144">
        <v>162.07000000000002</v>
      </c>
      <c r="H121" s="147"/>
      <c r="I121" s="147"/>
    </row>
    <row r="122" spans="1:14">
      <c r="A122" s="143" t="s">
        <v>347</v>
      </c>
      <c r="B122" s="143" t="s">
        <v>348</v>
      </c>
      <c r="E122" s="144">
        <v>0</v>
      </c>
      <c r="F122" s="144">
        <v>122.76</v>
      </c>
      <c r="G122" s="144">
        <v>122.76</v>
      </c>
      <c r="H122" s="147"/>
      <c r="I122" s="147"/>
    </row>
    <row r="123" spans="1:14">
      <c r="A123" s="143" t="s">
        <v>349</v>
      </c>
      <c r="B123" s="143" t="s">
        <v>350</v>
      </c>
      <c r="E123" s="144">
        <v>184.56</v>
      </c>
      <c r="F123" s="144">
        <v>123.04</v>
      </c>
      <c r="G123" s="144">
        <v>307.60000000000002</v>
      </c>
      <c r="H123" s="147"/>
      <c r="I123" s="147"/>
    </row>
    <row r="124" spans="1:14">
      <c r="A124" s="143" t="s">
        <v>351</v>
      </c>
      <c r="B124" s="143" t="s">
        <v>352</v>
      </c>
      <c r="E124" s="144">
        <v>6.15</v>
      </c>
      <c r="F124" s="144">
        <v>36.900000000000006</v>
      </c>
      <c r="G124" s="144">
        <v>43.050000000000004</v>
      </c>
      <c r="H124" s="147"/>
      <c r="I124" s="147"/>
    </row>
    <row r="125" spans="1:14">
      <c r="A125" s="143" t="s">
        <v>353</v>
      </c>
      <c r="B125" s="143" t="s">
        <v>354</v>
      </c>
      <c r="E125" s="144">
        <v>0</v>
      </c>
      <c r="F125" s="144">
        <v>366</v>
      </c>
      <c r="G125" s="144">
        <v>366</v>
      </c>
      <c r="H125" s="147"/>
      <c r="I125" s="147"/>
    </row>
    <row r="126" spans="1:14">
      <c r="A126" s="143" t="s">
        <v>355</v>
      </c>
      <c r="B126" s="143" t="s">
        <v>356</v>
      </c>
      <c r="E126" s="144">
        <v>1602.87</v>
      </c>
      <c r="F126" s="144">
        <v>5377.8499999999995</v>
      </c>
      <c r="G126" s="144">
        <v>6980.7199999999993</v>
      </c>
      <c r="H126" s="147"/>
      <c r="I126" s="147"/>
    </row>
    <row r="127" spans="1:14" ht="15.75" thickBot="1">
      <c r="E127" s="131"/>
      <c r="F127" s="131"/>
      <c r="G127" s="134">
        <v>981054.7899999998</v>
      </c>
      <c r="M127" s="134">
        <v>8377750.6991532706</v>
      </c>
      <c r="N127" s="134">
        <v>6587099.4044787949</v>
      </c>
    </row>
    <row r="128" spans="1:14">
      <c r="E128" s="144"/>
      <c r="F128" s="144"/>
    </row>
    <row r="129" spans="1:14" ht="15.75" thickBot="1">
      <c r="A129" s="138"/>
      <c r="B129" s="138"/>
      <c r="C129" s="138"/>
      <c r="D129" s="138"/>
      <c r="E129" s="149"/>
      <c r="F129" s="138"/>
      <c r="G129" s="134">
        <v>3083891.5599999996</v>
      </c>
      <c r="H129" s="138"/>
      <c r="I129" s="138"/>
      <c r="J129" s="138"/>
      <c r="K129" s="138"/>
      <c r="L129" s="138"/>
      <c r="M129" s="134">
        <v>22571459.028206278</v>
      </c>
      <c r="N129" s="134">
        <v>17747060.000000004</v>
      </c>
    </row>
    <row r="131" spans="1:14">
      <c r="K131" s="130"/>
      <c r="L131" s="130" t="s">
        <v>357</v>
      </c>
      <c r="M131" s="144">
        <v>17747060</v>
      </c>
    </row>
    <row r="132" spans="1:14">
      <c r="M132" s="129">
        <v>0.78626109095661478</v>
      </c>
    </row>
  </sheetData>
  <mergeCells count="2">
    <mergeCell ref="C46:D46"/>
    <mergeCell ref="A5:D5"/>
  </mergeCells>
  <pageMargins left="0.7" right="0.7" top="0.75" bottom="0.75" header="0.3" footer="0.3"/>
  <pageSetup scale="58" fitToHeight="0" orientation="landscape" r:id="rId1"/>
  <headerFooter>
    <oddFooter>&amp;L&amp;F - &amp;A&amp;R&amp;P of &amp;N</oddFooter>
  </headerFooter>
  <rowBreaks count="1" manualBreakCount="1">
    <brk id="45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227</IndustryCode>
    <CaseStatus xmlns="dc463f71-b30c-4ab2-9473-d307f9d35888">Closed</CaseStatus>
    <OpenedDate xmlns="dc463f71-b30c-4ab2-9473-d307f9d35888">2019-11-12T08:00:00+00:00</OpenedDate>
    <SignificantOrder xmlns="dc463f71-b30c-4ab2-9473-d307f9d35888">false</SignificantOrder>
    <Date1 xmlns="dc463f71-b30c-4ab2-9473-d307f9d35888">2019-11-11T08:00:00+00:00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MURREY'S DISPOSAL COMPANY, INC.</CaseCompanyNames>
    <Nickname xmlns="http://schemas.microsoft.com/sharepoint/v3" xsi:nil="true"/>
    <DocketNumber xmlns="dc463f71-b30c-4ab2-9473-d307f9d35888">190940</DocketNumber>
    <DelegatedOrder xmlns="dc463f71-b30c-4ab2-9473-d307f9d35888">false</DelegatedOrder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0BE3D0C5142F04093A5B8E0BEB2F302" ma:contentTypeVersion="28" ma:contentTypeDescription="" ma:contentTypeScope="" ma:versionID="70c75177a980cd875a8db6962a38a76b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6e47e429e4effda81204f7fbcca7ba38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DocumentGroup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Process" minOccurs="0"/>
                <xsd:element ref="ns2:Visibility" minOccurs="0"/>
                <xsd:element ref="ns2:IsEFSEC" minOccurs="0"/>
                <xsd:element ref="ns1:Nickna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20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DocumentGroup" ma:index="7" nillable="true" ma:displayName="Document Group" ma:internalName="DocumentGroup" ma:readOnly="fals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XXXXXYZ"/>
                  </xsd:restriction>
                </xsd:simpleType>
              </xsd:element>
            </xsd:sequence>
          </xsd:extension>
        </xsd:complexContent>
      </xsd:complexType>
    </xsd:element>
    <xsd:element name="IndustryCode" ma:index="8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9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10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1" nillable="true" ma:displayName="Agenda Order" ma:default="0" ma:internalName="AgendaOrder" ma:readOnly="false">
      <xsd:simpleType>
        <xsd:restriction base="dms:Boolean"/>
      </xsd:simpleType>
    </xsd:element>
    <xsd:element name="DelegatedOrder" ma:index="12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3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4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5" nillable="true" ma:displayName="OpenedDate" ma:format="DateOnly" ma:internalName="OpenedDate">
      <xsd:simpleType>
        <xsd:restriction base="dms:DateTime"/>
      </xsd:simpleType>
    </xsd:element>
    <xsd:element name="Prefix" ma:index="16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Process" ma:index="17" nillable="true" ma:displayName="Process" ma:description="EFSEC Process" ma:internalName="Process">
      <xsd:simpleType>
        <xsd:restriction base="dms:Text">
          <xsd:maxLength value="255"/>
        </xsd:restriction>
      </xsd:simpleType>
    </xsd:element>
    <xsd:element name="Visibility" ma:index="18" nillable="true" ma:displayName="Visibility" ma:default="Full Visibility" ma:format="Dropdown" ma:internalName="Visibility" ma:readOnly="false">
      <xsd:simpleType>
        <xsd:restriction base="dms:Choice">
          <xsd:enumeration value="Full Visibility"/>
          <xsd:enumeration value="Internal Only"/>
          <xsd:enumeration value="Internal and Public Website Only"/>
          <xsd:enumeration value="Internal and EFSEC Council Only"/>
        </xsd:restriction>
      </xsd:simpleType>
    </xsd:element>
    <xsd:element name="IsEFSEC" ma:index="19" nillable="true" ma:displayName="IsEFSEC" ma:default="0" ma:internalName="IsEFSEC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3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28D64D701A26664FA0CF0A2D563FAB98" ma:contentTypeVersion="56" ma:contentTypeDescription="" ma:contentTypeScope="" ma:versionID="18158fe0ed909107b98c68c131a90ff4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2B09F9A-AE3B-4E8F-AFB7-15BAB48D0A8C}">
  <ds:schemaRefs>
    <ds:schemaRef ds:uri="http://schemas.openxmlformats.org/package/2006/metadata/core-properties"/>
    <ds:schemaRef ds:uri="http://purl.org/dc/dcmitype/"/>
    <ds:schemaRef ds:uri="http://www.w3.org/XML/1998/namespace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dc463f71-b30c-4ab2-9473-d307f9d35888"/>
    <ds:schemaRef ds:uri="http://schemas.microsoft.com/sharepoint/v3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2133B455-0C56-4185-AAD1-1F5A71F42BA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dc463f71-b30c-4ab2-9473-d307f9d3588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8C1058A-7EA6-475C-B985-CA8165812312}"/>
</file>

<file path=customXml/itemProps4.xml><?xml version="1.0" encoding="utf-8"?>
<ds:datastoreItem xmlns:ds="http://schemas.openxmlformats.org/officeDocument/2006/customXml" ds:itemID="{FA12FD04-0E39-44D6-A644-C5CF5343C236}">
  <ds:schemaRefs>
    <ds:schemaRef ds:uri="http://schemas.microsoft.com/sharepoint/v3/contenttype/forms"/>
  </ds:schemaRefs>
</ds:datastoreItem>
</file>

<file path=customXml/itemProps5.xml><?xml version="1.0" encoding="utf-8"?>
<ds:datastoreItem xmlns:ds="http://schemas.openxmlformats.org/officeDocument/2006/customXml" ds:itemID="{6B53A674-3EED-4A2E-8D7E-DABFF992384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References</vt:lpstr>
      <vt:lpstr>Company Calc</vt:lpstr>
      <vt:lpstr>Proposed Rates</vt:lpstr>
      <vt:lpstr>Co Provided Price Out</vt:lpstr>
      <vt:lpstr>'Company Calc'!Print_Area</vt:lpstr>
      <vt:lpstr>'Proposed Rates'!Print_Area</vt:lpstr>
      <vt:lpstr>References!Print_Area</vt:lpstr>
      <vt:lpstr>'Co Provided Price Out'!Print_Titles</vt:lpstr>
      <vt:lpstr>'Company Calc'!Print_Titles</vt:lpstr>
      <vt:lpstr>'Proposed Rates'!Print_Titles</vt:lpstr>
    </vt:vector>
  </TitlesOfParts>
  <Company>Washington Utilities and Transportation Commission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Young</dc:creator>
  <cp:lastModifiedBy>Heather Garland</cp:lastModifiedBy>
  <cp:lastPrinted>2019-11-09T19:43:07Z</cp:lastPrinted>
  <dcterms:created xsi:type="dcterms:W3CDTF">2013-10-29T22:33:54Z</dcterms:created>
  <dcterms:modified xsi:type="dcterms:W3CDTF">2019-11-09T19:43:24Z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0x0101006E56B4D1795A2E4DB2F0B01679ED314A0028D64D701A26664FA0CF0A2D563FAB98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