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nvironmental Policy and Strategy\GHG\WA\2018 (Reporting Year 2017) - Updates\To Be Filed\"/>
    </mc:Choice>
  </mc:AlternateContent>
  <bookViews>
    <workbookView xWindow="0" yWindow="300" windowWidth="19200" windowHeight="6045" firstSheet="1" activeTab="2"/>
  </bookViews>
  <sheets>
    <sheet name="Summary 2009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18" i="4" l="1"/>
  <c r="E18" i="4" s="1"/>
  <c r="C41" i="4" l="1"/>
  <c r="E41" i="4" s="1"/>
  <c r="C46" i="4" l="1"/>
  <c r="E46" i="4" s="1"/>
  <c r="C45" i="4" l="1"/>
  <c r="E45" i="4" s="1"/>
  <c r="C14" i="4" l="1"/>
  <c r="E14" i="4" s="1"/>
  <c r="B35" i="3" l="1"/>
  <c r="C35" i="3"/>
  <c r="C17" i="3" s="1"/>
  <c r="C47" i="4"/>
  <c r="E47" i="4" s="1"/>
  <c r="C38" i="4"/>
  <c r="E38" i="4" s="1"/>
  <c r="C16" i="3" l="1"/>
  <c r="C15" i="3"/>
  <c r="C6" i="3"/>
  <c r="C11" i="3" l="1"/>
  <c r="D11" i="3" s="1"/>
  <c r="D16" i="3" l="1"/>
  <c r="E16" i="3" s="1"/>
  <c r="D17" i="3"/>
  <c r="E17" i="3" s="1"/>
  <c r="D15" i="3"/>
  <c r="E15" i="3" s="1"/>
  <c r="D6" i="3"/>
  <c r="E6" i="3" s="1"/>
  <c r="E11" i="3"/>
  <c r="H2" i="3" l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11" i="4"/>
  <c r="E11" i="4" s="1"/>
  <c r="C12" i="4"/>
  <c r="E12" i="4" s="1"/>
  <c r="C13" i="4"/>
  <c r="E13" i="4" s="1"/>
  <c r="C15" i="4"/>
  <c r="E15" i="4" s="1"/>
  <c r="C16" i="4"/>
  <c r="E16" i="4" s="1"/>
  <c r="C17" i="4"/>
  <c r="E17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9" i="4"/>
  <c r="E39" i="4" s="1"/>
  <c r="C40" i="4"/>
  <c r="E40" i="4" s="1"/>
  <c r="C42" i="4"/>
  <c r="E42" i="4" s="1"/>
  <c r="C43" i="4"/>
  <c r="E43" i="4" s="1"/>
  <c r="C44" i="4"/>
  <c r="E44" i="4" s="1"/>
  <c r="C3" i="4"/>
  <c r="C7" i="4"/>
  <c r="H12" i="1"/>
  <c r="H13" i="1"/>
  <c r="H14" i="1"/>
  <c r="H24" i="1"/>
  <c r="C3" i="3"/>
  <c r="C1" i="3"/>
  <c r="C1" i="4"/>
  <c r="D2" i="4"/>
  <c r="E22" i="1"/>
  <c r="H11" i="1"/>
  <c r="H10" i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C5" i="3" l="1"/>
  <c r="C4" i="3"/>
  <c r="E38" i="7"/>
  <c r="F10" i="1"/>
  <c r="D38" i="7"/>
  <c r="E39" i="7"/>
  <c r="C39" i="7"/>
  <c r="C40" i="7"/>
  <c r="E40" i="7"/>
  <c r="D40" i="7"/>
  <c r="C38" i="7"/>
  <c r="D39" i="7"/>
  <c r="E5" i="1"/>
  <c r="F13" i="1"/>
  <c r="F14" i="1"/>
  <c r="F11" i="1"/>
  <c r="E10" i="3"/>
  <c r="G48" i="4"/>
  <c r="C48" i="4"/>
  <c r="E20" i="1" s="1"/>
  <c r="E7" i="4"/>
  <c r="E48" i="4" s="1"/>
  <c r="G20" i="1" s="1"/>
  <c r="D4" i="3" l="1"/>
  <c r="E4" i="3" s="1"/>
  <c r="C33" i="3"/>
  <c r="E21" i="1" s="1"/>
  <c r="F21" i="1" s="1"/>
  <c r="D5" i="3"/>
  <c r="E5" i="3" s="1"/>
  <c r="G33" i="3"/>
  <c r="F20" i="1" l="1"/>
  <c r="E33" i="3"/>
  <c r="G21" i="1" s="1"/>
  <c r="G22" i="1" s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<sst xmlns="http://schemas.openxmlformats.org/spreadsheetml/2006/main" count="235" uniqueCount="146">
  <si>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</si>
  <si>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</si>
  <si>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</si>
  <si>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</si>
  <si>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</si>
  <si>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</si>
  <si>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</si>
  <si>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</si>
  <si>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</si>
  <si>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</si>
  <si>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</si>
  <si>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</si>
  <si>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</si>
  <si>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</si>
  <si>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</si>
  <si>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</si>
  <si>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</si>
  <si>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</si>
  <si>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</si>
  <si>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</si>
  <si>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</si>
  <si>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</si>
  <si>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</si>
  <si>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</si>
  <si>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</si>
  <si>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</si>
  <si>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</si>
  <si>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</si>
  <si>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</si>
  <si>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</si>
  <si>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</si>
  <si>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</si>
  <si>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</si>
  <si>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</si>
  <si>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</si>
  <si>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</si>
  <si>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</si>
  <si>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</si>
  <si>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</si>
  <si>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</si>
  <si>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</si>
  <si>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</si>
  <si>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</si>
  <si>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</si>
  <si>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</si>
  <si>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</si>
  <si>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</si>
  <si>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</si>
  <si>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</si>
  <si>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</si>
  <si>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</si>
  <si>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</si>
  <si>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</si>
  <si>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</si>
  <si>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</si>
  <si>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</si>
  <si>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</si>
  <si>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</si>
  <si>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</si>
  <si>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</si>
  <si>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</si>
  <si>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</si>
  <si>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</si>
  <si>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</si>
  <si>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</si>
  <si>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</si>
  <si>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</si>
  <si>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</si>
  <si>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</si>
  <si>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</si>
  <si>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</si>
  <si>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</si>
  <si>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</si>
  <si>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</si>
  <si>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</si>
  <si>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</si>
  <si>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</si>
  <si>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</si>
  <si>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</si>
  <si>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</si>
  <si>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>Grant PUD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</si>
  <si>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</si>
  <si>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</si>
  <si>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</si>
  <si>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</si>
  <si>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</si>
  <si>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</si>
  <si>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</si>
  <si>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</si>
  <si>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</si>
  <si>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</si>
  <si>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</si>
  <si>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</si>
  <si>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</si>
  <si>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</si>
  <si>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</si>
  <si>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</si>
  <si>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</si>
  <si>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</si>
  <si>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</si>
  <si>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</si>
  <si>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</si>
  <si>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</si>
  <si>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</si>
  <si>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</si>
  <si>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</si>
  <si>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</si>
  <si>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</si>
  <si>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</si>
  <si>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</si>
  <si>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</si>
  <si>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</si>
  <si>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</si>
  <si>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</si>
  <si>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</si>
  <si>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</si>
  <si>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</si>
  <si>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</si>
  <si>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</si>
  <si>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</si>
  <si>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</si>
  <si>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</si>
  <si>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</si>
  <si>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</si>
  <si>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</si>
  <si>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</si>
  <si>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</si>
  <si>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</si>
  <si>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</si>
  <si>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</si>
  <si>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</si>
  <si>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 xml:space="preserve">Walla Walla Hydro </t>
  </si>
  <si>
    <t>Grant County 10 aMW</t>
  </si>
  <si>
    <t xml:space="preserve">              </t>
  </si>
  <si>
    <t>STF Purchases</t>
  </si>
  <si>
    <t>Condit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</si>
  <si>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</si>
  <si>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</si>
  <si>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</si>
  <si>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</si>
  <si>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</si>
  <si>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 xml:space="preserve">Misc. Purchase </t>
  </si>
  <si>
    <t>East Side</t>
  </si>
  <si>
    <t>Summary Energy and Emissions Intensity Report - 2009</t>
  </si>
  <si>
    <t>Annual (Unallocated) MWh 2009</t>
  </si>
  <si>
    <t>2009 Washington - WCA Allocation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</si>
</sst>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0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55" fillId="0" borderId="0" xfId="0" applyFont="1" applyBorder="1"/>
    <xf numFmtId="0" fontId="34" fillId="2" borderId="3" xfId="0" applyFont="1" applyFill="1" applyBorder="1"/>
    <xf numFmtId="0" fontId="0" fillId="0" borderId="0" xfId="0"/>
    <xf numFmtId="0" fontId="34" fillId="0" borderId="0" xfId="0" applyFont="1" applyAlignment="1"/>
    <xf numFmtId="0" fontId="0" fillId="0" borderId="0" xfId="0"/>
    <xf numFmtId="37" fontId="34" fillId="2" borderId="3" xfId="1" applyNumberFormat="1" applyFont="1" applyFill="1" applyBorder="1" applyAlignment="1">
      <alignment horizontal="center" vertical="center"/>
    </xf>
    <xf numFmtId="37" fontId="34" fillId="0" borderId="50" xfId="0" applyNumberFormat="1" applyFont="1" applyBorder="1" applyAlignment="1">
      <alignment horizontal="center"/>
    </xf>
    <xf numFmtId="0" fontId="0" fillId="0" borderId="0" xfId="0" applyFill="1"/>
    <xf numFmtId="37" fontId="0" fillId="2" borderId="5" xfId="0" applyNumberFormat="1" applyFill="1" applyBorder="1"/>
    <xf numFmtId="165" fontId="0" fillId="0" borderId="6" xfId="0" applyNumberFormat="1" applyBorder="1"/>
    <xf numFmtId="165" fontId="34" fillId="2" borderId="10" xfId="1" applyNumberFormat="1" applyFont="1" applyFill="1" applyBorder="1"/>
    <xf numFmtId="3" fontId="40" fillId="0" borderId="2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48" xfId="0" applyBorder="1" applyAlignment="1">
      <alignment horizontal="center" textRotation="90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D38" sqref="D38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143</v>
      </c>
    </row>
    <row r="2" spans="2:8" ht="15.75" thickBot="1"/>
    <row r="3" spans="2:8">
      <c r="B3" s="39"/>
      <c r="C3" s="40" t="s">
        <v>14</v>
      </c>
      <c r="D3" s="120" t="s">
        <v>42</v>
      </c>
      <c r="E3" s="121"/>
      <c r="F3" s="41"/>
    </row>
    <row r="4" spans="2:8">
      <c r="B4" s="168" t="s">
        <v>15</v>
      </c>
      <c r="C4" s="170"/>
      <c r="D4" s="24">
        <v>2009</v>
      </c>
      <c r="E4" s="44" t="s">
        <v>38</v>
      </c>
      <c r="F4" s="42"/>
    </row>
    <row r="5" spans="2:8" ht="15.75" thickBot="1">
      <c r="B5" s="171" t="s">
        <v>20</v>
      </c>
      <c r="C5" s="172"/>
      <c r="D5" s="167">
        <v>290624</v>
      </c>
      <c r="E5" s="128">
        <f>+E15/D5</f>
        <v>15.916208942769385</v>
      </c>
      <c r="F5" s="80"/>
      <c r="G5" s="80"/>
      <c r="H5" s="80"/>
    </row>
    <row r="6" spans="2:8">
      <c r="B6" s="132"/>
      <c r="C6" s="132"/>
      <c r="D6" s="154"/>
      <c r="E6" s="80"/>
      <c r="F6" s="155"/>
      <c r="G6" s="80"/>
      <c r="H6" s="80"/>
    </row>
    <row r="7" spans="2:8" ht="19.5" thickBot="1">
      <c r="B7" s="132"/>
      <c r="C7" s="156" t="s">
        <v>35</v>
      </c>
      <c r="D7" s="154"/>
      <c r="E7" s="80"/>
      <c r="F7" s="155"/>
      <c r="G7" s="80"/>
      <c r="H7" s="80"/>
    </row>
    <row r="8" spans="2:8">
      <c r="B8" s="133"/>
      <c r="C8" s="134"/>
      <c r="D8" s="134"/>
      <c r="E8" s="134"/>
      <c r="F8" s="134"/>
      <c r="G8" s="135" t="s">
        <v>19</v>
      </c>
      <c r="H8" s="136" t="s">
        <v>39</v>
      </c>
    </row>
    <row r="9" spans="2:8">
      <c r="B9" s="137"/>
      <c r="C9" s="138"/>
      <c r="D9" s="138"/>
      <c r="E9" s="139" t="s">
        <v>13</v>
      </c>
      <c r="F9" s="127" t="s">
        <v>27</v>
      </c>
      <c r="G9" s="140" t="s">
        <v>34</v>
      </c>
      <c r="H9" s="126" t="s">
        <v>19</v>
      </c>
    </row>
    <row r="10" spans="2:8">
      <c r="B10" s="173" t="s">
        <v>11</v>
      </c>
      <c r="C10" s="174"/>
      <c r="D10" s="175"/>
      <c r="E10" s="61">
        <v>1851754.1941271091</v>
      </c>
      <c r="F10" s="141">
        <f>+E10/E15</f>
        <v>0.40032455476653839</v>
      </c>
      <c r="G10" s="142">
        <v>102938.5</v>
      </c>
      <c r="H10" s="143">
        <f>+E10/G10</f>
        <v>17.988937026740327</v>
      </c>
    </row>
    <row r="11" spans="2:8">
      <c r="B11" s="173" t="s">
        <v>16</v>
      </c>
      <c r="C11" s="174"/>
      <c r="D11" s="175"/>
      <c r="E11" s="61">
        <v>1636774.0066694585</v>
      </c>
      <c r="F11" s="141">
        <f>+E11/E15</f>
        <v>0.35384870602778107</v>
      </c>
      <c r="G11" s="144">
        <v>17617.583333333332</v>
      </c>
      <c r="H11" s="143">
        <f>+E11/G11</f>
        <v>92.905705379727181</v>
      </c>
    </row>
    <row r="12" spans="2:8">
      <c r="B12" s="173" t="s">
        <v>17</v>
      </c>
      <c r="C12" s="174"/>
      <c r="D12" s="175"/>
      <c r="E12" s="61">
        <v>937995.20347741921</v>
      </c>
      <c r="F12" s="141">
        <f>+E12/E15</f>
        <v>0.20278205033700655</v>
      </c>
      <c r="G12" s="145">
        <v>613.75</v>
      </c>
      <c r="H12" s="143">
        <f>+E12/G12</f>
        <v>1528.301757193351</v>
      </c>
    </row>
    <row r="13" spans="2:8">
      <c r="B13" s="173" t="s">
        <v>40</v>
      </c>
      <c r="C13" s="174"/>
      <c r="D13" s="175"/>
      <c r="E13" s="146">
        <v>186757.25773961504</v>
      </c>
      <c r="F13" s="141">
        <f>+E13/E15</f>
        <v>4.0374427821546544E-2</v>
      </c>
      <c r="G13" s="145">
        <v>5233.666666666667</v>
      </c>
      <c r="H13" s="143">
        <f>+E13/G13</f>
        <v>35.68382734977677</v>
      </c>
    </row>
    <row r="14" spans="2:8">
      <c r="B14" s="176" t="s">
        <v>41</v>
      </c>
      <c r="C14" s="177"/>
      <c r="D14" s="178"/>
      <c r="E14" s="146">
        <v>12351.645769807981</v>
      </c>
      <c r="F14" s="141">
        <f>+E14/E15</f>
        <v>2.6702610471273829E-3</v>
      </c>
      <c r="G14" s="145">
        <v>261.83333333333331</v>
      </c>
      <c r="H14" s="143">
        <f>+E14/G14</f>
        <v>47.173694856045763</v>
      </c>
    </row>
    <row r="15" spans="2:8" ht="15.75" thickBot="1">
      <c r="B15" s="153"/>
      <c r="C15" s="147" t="s">
        <v>12</v>
      </c>
      <c r="D15" s="148"/>
      <c r="E15" s="149">
        <f>SUM(E10:E14)</f>
        <v>4625632.30778341</v>
      </c>
      <c r="F15" s="150"/>
      <c r="G15" s="151"/>
      <c r="H15" s="152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168" t="s">
        <v>32</v>
      </c>
      <c r="C20" s="169"/>
      <c r="D20" s="170"/>
      <c r="E20" s="122">
        <f>+'Known Resources'!C48</f>
        <v>4731932.3648114633</v>
      </c>
      <c r="F20" s="9">
        <f>+E20/(E20+E21)</f>
        <v>1.0365060959746502</v>
      </c>
      <c r="G20" s="122">
        <f>+'Known Resources'!E48</f>
        <v>2940588.8905549804</v>
      </c>
      <c r="H20" s="123"/>
    </row>
    <row r="21" spans="2:9" ht="18">
      <c r="B21" s="168" t="s">
        <v>33</v>
      </c>
      <c r="C21" s="169"/>
      <c r="D21" s="170"/>
      <c r="E21" s="124">
        <f>+'Unknown Resources'!C33</f>
        <v>-166660.26155198368</v>
      </c>
      <c r="F21" s="37">
        <f>+E21/(E20+E21)</f>
        <v>-3.6506095974650189E-2</v>
      </c>
      <c r="G21" s="125">
        <f>+'Unknown Resources'!E33</f>
        <v>-93229.238977012545</v>
      </c>
      <c r="H21" s="47" t="s">
        <v>37</v>
      </c>
    </row>
    <row r="22" spans="2:9" ht="18.75" thickBot="1">
      <c r="B22" s="31"/>
      <c r="C22" s="32"/>
      <c r="D22" s="32"/>
      <c r="E22" s="45">
        <f>+D4</f>
        <v>2009</v>
      </c>
      <c r="F22" s="36" t="s">
        <v>4</v>
      </c>
      <c r="G22" s="46">
        <f>SUM(G20:G21)</f>
        <v>2847359.6515779677</v>
      </c>
      <c r="H22" s="48">
        <f>+G22/H24</f>
        <v>1.186855805262675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workbookViewId="0">
      <selection activeCell="B41" sqref="B41"/>
    </sheetView>
  </sheetViews>
  <sheetFormatPr defaultRowHeight="15"/>
  <cols>
    <col min="1" max="1" width="4.28515625" style="7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3">
        <f>+'Summary 2009'!D4</f>
        <v>2009</v>
      </c>
      <c r="D1" s="1"/>
      <c r="E1" s="1"/>
      <c r="F1" s="56"/>
      <c r="G1" s="56"/>
    </row>
    <row r="2" spans="1:8" ht="18.75">
      <c r="B2" s="2"/>
      <c r="C2" s="7" t="s">
        <v>30</v>
      </c>
      <c r="D2" s="7">
        <f>+'Summary 2009'!D4</f>
        <v>2009</v>
      </c>
      <c r="E2" s="7" t="s">
        <v>5</v>
      </c>
      <c r="F2" s="56"/>
      <c r="G2" s="56"/>
    </row>
    <row r="3" spans="1:8" ht="19.5">
      <c r="B3" s="4" t="s">
        <v>0</v>
      </c>
      <c r="C3" s="8">
        <f>+'Summary 2009'!D4</f>
        <v>2009</v>
      </c>
      <c r="D3" s="8" t="s">
        <v>7</v>
      </c>
      <c r="E3" s="8" t="s">
        <v>8</v>
      </c>
      <c r="F3" s="6"/>
      <c r="G3" s="56" t="s">
        <v>144</v>
      </c>
    </row>
    <row r="4" spans="1:8">
      <c r="A4" s="118"/>
      <c r="B4" s="52" t="s">
        <v>47</v>
      </c>
      <c r="C4" s="53">
        <f t="shared" ref="C4:C44" si="0">G4*$C$50</f>
        <v>96694.972596000007</v>
      </c>
      <c r="D4" s="53">
        <v>2268.5640103015849</v>
      </c>
      <c r="E4" s="75">
        <f>(+C4*D4)/2000</f>
        <v>109679.36740419181</v>
      </c>
      <c r="F4" s="56" t="s">
        <v>83</v>
      </c>
      <c r="G4" s="58">
        <v>436767</v>
      </c>
    </row>
    <row r="5" spans="1:8">
      <c r="A5" s="118"/>
      <c r="B5" s="52" t="s">
        <v>46</v>
      </c>
      <c r="C5" s="53">
        <f t="shared" si="0"/>
        <v>2165308.9382974794</v>
      </c>
      <c r="D5" s="53">
        <v>2180.7435042405937</v>
      </c>
      <c r="E5" s="75">
        <f t="shared" ref="E5:E23" si="1">(+C5*D5)/2000</f>
        <v>2360991.7009331621</v>
      </c>
      <c r="F5" s="56" t="s">
        <v>83</v>
      </c>
      <c r="G5" s="58">
        <v>9780606.619588593</v>
      </c>
      <c r="H5" s="51"/>
    </row>
    <row r="6" spans="1:8">
      <c r="A6" s="118"/>
      <c r="B6" s="52" t="s">
        <v>45</v>
      </c>
      <c r="C6" s="53">
        <f t="shared" si="0"/>
        <v>386820.62577600003</v>
      </c>
      <c r="D6" s="53">
        <v>901.714722318246</v>
      </c>
      <c r="E6" s="75">
        <f t="shared" si="1"/>
        <v>174400.926579288</v>
      </c>
      <c r="F6" s="56" t="s">
        <v>84</v>
      </c>
      <c r="G6" s="58">
        <v>1747252</v>
      </c>
      <c r="H6" s="49"/>
    </row>
    <row r="7" spans="1:8">
      <c r="A7" s="118"/>
      <c r="B7" s="52" t="s">
        <v>136</v>
      </c>
      <c r="C7" s="53">
        <f t="shared" si="0"/>
        <v>686584.23949499999</v>
      </c>
      <c r="D7" s="53">
        <v>860.8321561697901</v>
      </c>
      <c r="E7" s="75">
        <f t="shared" si="1"/>
        <v>295516.89563833823</v>
      </c>
      <c r="F7" s="56" t="s">
        <v>84</v>
      </c>
      <c r="G7" s="58">
        <v>3101271.25</v>
      </c>
    </row>
    <row r="8" spans="1:8">
      <c r="A8" s="118"/>
      <c r="B8" s="52" t="s">
        <v>43</v>
      </c>
      <c r="C8" s="53">
        <f t="shared" si="0"/>
        <v>52551.755111999999</v>
      </c>
      <c r="D8" s="53">
        <v>0</v>
      </c>
      <c r="E8" s="75">
        <f t="shared" si="1"/>
        <v>0</v>
      </c>
      <c r="F8" s="71" t="s">
        <v>85</v>
      </c>
      <c r="G8" s="58">
        <v>237374</v>
      </c>
    </row>
    <row r="9" spans="1:8">
      <c r="A9" s="118"/>
      <c r="B9" s="52" t="s">
        <v>44</v>
      </c>
      <c r="C9" s="53">
        <f t="shared" si="0"/>
        <v>57287.908596000001</v>
      </c>
      <c r="D9" s="53">
        <v>0</v>
      </c>
      <c r="E9" s="75">
        <f t="shared" si="1"/>
        <v>0</v>
      </c>
      <c r="F9" s="71" t="s">
        <v>85</v>
      </c>
      <c r="G9" s="58">
        <v>258767</v>
      </c>
      <c r="H9" s="116"/>
    </row>
    <row r="10" spans="1:8">
      <c r="A10" s="118"/>
      <c r="B10" s="52" t="s">
        <v>48</v>
      </c>
      <c r="C10" s="53">
        <f t="shared" si="0"/>
        <v>105121.88542799999</v>
      </c>
      <c r="D10" s="53">
        <v>0</v>
      </c>
      <c r="E10" s="75">
        <f t="shared" si="1"/>
        <v>0</v>
      </c>
      <c r="F10" s="71" t="s">
        <v>85</v>
      </c>
      <c r="G10" s="58">
        <v>474831</v>
      </c>
      <c r="H10" s="116"/>
    </row>
    <row r="11" spans="1:8" s="50" customFormat="1">
      <c r="A11" s="118"/>
      <c r="B11" s="52" t="s">
        <v>55</v>
      </c>
      <c r="C11" s="53">
        <f t="shared" si="0"/>
        <v>701.57857200000001</v>
      </c>
      <c r="D11" s="53">
        <v>0</v>
      </c>
      <c r="E11" s="75">
        <f t="shared" si="1"/>
        <v>0</v>
      </c>
      <c r="F11" s="71" t="s">
        <v>86</v>
      </c>
      <c r="G11" s="58">
        <v>3169</v>
      </c>
      <c r="H11" s="116"/>
    </row>
    <row r="12" spans="1:8" s="50" customFormat="1">
      <c r="A12" s="118"/>
      <c r="B12" s="52" t="s">
        <v>56</v>
      </c>
      <c r="C12" s="53">
        <f t="shared" si="0"/>
        <v>7916.6134920000004</v>
      </c>
      <c r="D12" s="53">
        <v>0</v>
      </c>
      <c r="E12" s="75">
        <f t="shared" si="1"/>
        <v>0</v>
      </c>
      <c r="F12" s="71" t="s">
        <v>86</v>
      </c>
      <c r="G12" s="58">
        <v>35759</v>
      </c>
    </row>
    <row r="13" spans="1:8" s="50" customFormat="1">
      <c r="A13" s="118"/>
      <c r="B13" s="52" t="s">
        <v>57</v>
      </c>
      <c r="C13" s="53">
        <f t="shared" si="0"/>
        <v>9296.7462840000007</v>
      </c>
      <c r="D13" s="53">
        <v>0</v>
      </c>
      <c r="E13" s="75">
        <f t="shared" si="1"/>
        <v>0</v>
      </c>
      <c r="F13" s="71" t="s">
        <v>86</v>
      </c>
      <c r="G13" s="58">
        <v>41993</v>
      </c>
    </row>
    <row r="14" spans="1:8" s="74" customFormat="1">
      <c r="A14" s="118"/>
      <c r="B14" s="52" t="s">
        <v>135</v>
      </c>
      <c r="C14" s="53">
        <f t="shared" si="0"/>
        <v>18109.981176000001</v>
      </c>
      <c r="D14" s="53">
        <v>0</v>
      </c>
      <c r="E14" s="75">
        <f t="shared" ref="E14" si="2">(+C14*D14)/2000</f>
        <v>0</v>
      </c>
      <c r="F14" s="71" t="s">
        <v>86</v>
      </c>
      <c r="G14" s="58">
        <v>81802</v>
      </c>
    </row>
    <row r="15" spans="1:8" s="50" customFormat="1">
      <c r="A15" s="118"/>
      <c r="B15" s="52" t="s">
        <v>58</v>
      </c>
      <c r="C15" s="53">
        <f t="shared" si="0"/>
        <v>17653.257732000002</v>
      </c>
      <c r="D15" s="53">
        <v>0</v>
      </c>
      <c r="E15" s="75">
        <f t="shared" si="1"/>
        <v>0</v>
      </c>
      <c r="F15" s="71" t="s">
        <v>86</v>
      </c>
      <c r="G15" s="58">
        <v>79739</v>
      </c>
    </row>
    <row r="16" spans="1:8" s="50" customFormat="1">
      <c r="A16" s="118"/>
      <c r="B16" s="52" t="s">
        <v>59</v>
      </c>
      <c r="C16" s="53">
        <f t="shared" si="0"/>
        <v>21678.312959999999</v>
      </c>
      <c r="D16" s="53">
        <v>0</v>
      </c>
      <c r="E16" s="75">
        <f t="shared" si="1"/>
        <v>0</v>
      </c>
      <c r="F16" s="71" t="s">
        <v>86</v>
      </c>
      <c r="G16" s="58">
        <v>97920</v>
      </c>
    </row>
    <row r="17" spans="1:7" s="50" customFormat="1">
      <c r="A17" s="118"/>
      <c r="B17" s="52" t="s">
        <v>60</v>
      </c>
      <c r="C17" s="53">
        <f t="shared" si="0"/>
        <v>3846.6165000000001</v>
      </c>
      <c r="D17" s="53">
        <v>0</v>
      </c>
      <c r="E17" s="75">
        <f t="shared" si="1"/>
        <v>0</v>
      </c>
      <c r="F17" s="71" t="s">
        <v>86</v>
      </c>
      <c r="G17" s="58">
        <v>17375</v>
      </c>
    </row>
    <row r="18" spans="1:7" s="160" customFormat="1">
      <c r="A18" s="118"/>
      <c r="B18" s="52" t="s">
        <v>142</v>
      </c>
      <c r="C18" s="53">
        <f t="shared" si="0"/>
        <v>1694.9465279999999</v>
      </c>
      <c r="D18" s="53">
        <v>0</v>
      </c>
      <c r="E18" s="75">
        <f t="shared" ref="E18" si="3">(+C18*D18)/2000</f>
        <v>0</v>
      </c>
      <c r="F18" s="71" t="s">
        <v>86</v>
      </c>
      <c r="G18" s="58">
        <v>7656</v>
      </c>
    </row>
    <row r="19" spans="1:7" s="50" customFormat="1">
      <c r="A19" s="118"/>
      <c r="B19" s="52" t="s">
        <v>61</v>
      </c>
      <c r="C19" s="53">
        <f t="shared" si="0"/>
        <v>3254.624988</v>
      </c>
      <c r="D19" s="53">
        <v>0</v>
      </c>
      <c r="E19" s="75">
        <f t="shared" si="1"/>
        <v>0</v>
      </c>
      <c r="F19" s="71" t="s">
        <v>86</v>
      </c>
      <c r="G19" s="58">
        <v>14701</v>
      </c>
    </row>
    <row r="20" spans="1:7" s="50" customFormat="1">
      <c r="A20" s="118"/>
      <c r="B20" s="52" t="s">
        <v>62</v>
      </c>
      <c r="C20" s="53">
        <f t="shared" si="0"/>
        <v>7405.4286000000002</v>
      </c>
      <c r="D20" s="53">
        <v>0</v>
      </c>
      <c r="E20" s="75">
        <f t="shared" si="1"/>
        <v>0</v>
      </c>
      <c r="F20" s="71" t="s">
        <v>86</v>
      </c>
      <c r="G20" s="58">
        <v>33450</v>
      </c>
    </row>
    <row r="21" spans="1:7" s="50" customFormat="1">
      <c r="A21" s="118"/>
      <c r="B21" s="52" t="s">
        <v>63</v>
      </c>
      <c r="C21" s="53">
        <f t="shared" si="0"/>
        <v>24938.694036000001</v>
      </c>
      <c r="D21" s="53">
        <v>0</v>
      </c>
      <c r="E21" s="75">
        <f t="shared" si="1"/>
        <v>0</v>
      </c>
      <c r="F21" s="71" t="s">
        <v>86</v>
      </c>
      <c r="G21" s="58">
        <v>112647</v>
      </c>
    </row>
    <row r="22" spans="1:7" s="50" customFormat="1">
      <c r="A22" s="118"/>
      <c r="B22" s="52" t="s">
        <v>64</v>
      </c>
      <c r="C22" s="53">
        <f t="shared" si="0"/>
        <v>49164.297323999999</v>
      </c>
      <c r="D22" s="53">
        <v>0</v>
      </c>
      <c r="E22" s="75">
        <f t="shared" si="1"/>
        <v>0</v>
      </c>
      <c r="F22" s="71" t="s">
        <v>86</v>
      </c>
      <c r="G22" s="58">
        <v>222073</v>
      </c>
    </row>
    <row r="23" spans="1:7" s="50" customFormat="1">
      <c r="A23" s="118"/>
      <c r="B23" s="52" t="s">
        <v>65</v>
      </c>
      <c r="C23" s="53">
        <f t="shared" si="0"/>
        <v>28223.870567999998</v>
      </c>
      <c r="D23" s="53">
        <v>0</v>
      </c>
      <c r="E23" s="75">
        <f t="shared" si="1"/>
        <v>0</v>
      </c>
      <c r="F23" s="71" t="s">
        <v>86</v>
      </c>
      <c r="G23" s="58">
        <v>127486</v>
      </c>
    </row>
    <row r="24" spans="1:7">
      <c r="A24" s="118"/>
      <c r="B24" s="52" t="s">
        <v>66</v>
      </c>
      <c r="C24" s="53">
        <f t="shared" si="0"/>
        <v>19835.257860000002</v>
      </c>
      <c r="D24" s="53">
        <v>0</v>
      </c>
      <c r="E24" s="75">
        <f t="shared" ref="E24:E39" si="4">(+C24*D24)/2000</f>
        <v>0</v>
      </c>
      <c r="F24" s="71" t="s">
        <v>86</v>
      </c>
      <c r="G24" s="58">
        <v>89595</v>
      </c>
    </row>
    <row r="25" spans="1:7">
      <c r="A25" s="118"/>
      <c r="B25" s="52" t="s">
        <v>67</v>
      </c>
      <c r="C25" s="53">
        <f t="shared" si="0"/>
        <v>100165.45088400001</v>
      </c>
      <c r="D25" s="53">
        <v>0</v>
      </c>
      <c r="E25" s="75">
        <f t="shared" si="4"/>
        <v>0</v>
      </c>
      <c r="F25" s="71" t="s">
        <v>86</v>
      </c>
      <c r="G25" s="58">
        <v>452443</v>
      </c>
    </row>
    <row r="26" spans="1:7">
      <c r="A26" s="118"/>
      <c r="B26" s="52" t="s">
        <v>68</v>
      </c>
      <c r="C26" s="53">
        <f t="shared" si="0"/>
        <v>6422.0231039999999</v>
      </c>
      <c r="D26" s="53">
        <v>0</v>
      </c>
      <c r="E26" s="75">
        <f t="shared" si="4"/>
        <v>0</v>
      </c>
      <c r="F26" s="71" t="s">
        <v>86</v>
      </c>
      <c r="G26" s="58">
        <v>29008</v>
      </c>
    </row>
    <row r="27" spans="1:7">
      <c r="A27" s="118"/>
      <c r="B27" s="52" t="s">
        <v>78</v>
      </c>
      <c r="C27" s="53">
        <f t="shared" si="0"/>
        <v>50120.029320000001</v>
      </c>
      <c r="D27" s="53">
        <v>0</v>
      </c>
      <c r="E27" s="75">
        <f t="shared" si="4"/>
        <v>0</v>
      </c>
      <c r="F27" s="71" t="s">
        <v>86</v>
      </c>
      <c r="G27" s="58">
        <v>226390</v>
      </c>
    </row>
    <row r="28" spans="1:7">
      <c r="A28" s="118"/>
      <c r="B28" s="52" t="s">
        <v>77</v>
      </c>
      <c r="C28" s="53">
        <f t="shared" si="0"/>
        <v>7890.0469320000002</v>
      </c>
      <c r="D28" s="53">
        <v>0</v>
      </c>
      <c r="E28" s="75">
        <f t="shared" si="4"/>
        <v>0</v>
      </c>
      <c r="F28" s="71" t="s">
        <v>86</v>
      </c>
      <c r="G28" s="58">
        <v>35639</v>
      </c>
    </row>
    <row r="29" spans="1:7">
      <c r="A29" s="118"/>
      <c r="B29" s="52" t="s">
        <v>76</v>
      </c>
      <c r="C29" s="53">
        <f t="shared" si="0"/>
        <v>526.682052</v>
      </c>
      <c r="D29" s="53">
        <v>0</v>
      </c>
      <c r="E29" s="75">
        <f t="shared" si="4"/>
        <v>0</v>
      </c>
      <c r="F29" s="71" t="s">
        <v>86</v>
      </c>
      <c r="G29" s="58">
        <v>2379</v>
      </c>
    </row>
    <row r="30" spans="1:7">
      <c r="A30" s="118"/>
      <c r="B30" s="52" t="s">
        <v>75</v>
      </c>
      <c r="C30" s="53">
        <f t="shared" si="0"/>
        <v>17791.625231999999</v>
      </c>
      <c r="D30" s="53">
        <v>0</v>
      </c>
      <c r="E30" s="75">
        <f t="shared" si="4"/>
        <v>0</v>
      </c>
      <c r="F30" s="71" t="s">
        <v>86</v>
      </c>
      <c r="G30" s="58">
        <v>80364</v>
      </c>
    </row>
    <row r="31" spans="1:7">
      <c r="A31" s="118"/>
      <c r="B31" s="52" t="s">
        <v>74</v>
      </c>
      <c r="C31" s="53">
        <f t="shared" si="0"/>
        <v>11315.583456</v>
      </c>
      <c r="D31" s="53">
        <v>0</v>
      </c>
      <c r="E31" s="75">
        <f t="shared" si="4"/>
        <v>0</v>
      </c>
      <c r="F31" s="71" t="s">
        <v>86</v>
      </c>
      <c r="G31" s="58">
        <v>51112</v>
      </c>
    </row>
    <row r="32" spans="1:7">
      <c r="A32" s="118"/>
      <c r="B32" s="52" t="s">
        <v>73</v>
      </c>
      <c r="C32" s="53">
        <f t="shared" si="0"/>
        <v>130976.46162</v>
      </c>
      <c r="D32" s="53">
        <v>0</v>
      </c>
      <c r="E32" s="75">
        <f t="shared" si="4"/>
        <v>0</v>
      </c>
      <c r="F32" s="71" t="s">
        <v>86</v>
      </c>
      <c r="G32" s="58">
        <v>591615</v>
      </c>
    </row>
    <row r="33" spans="1:7">
      <c r="A33" s="118"/>
      <c r="B33" s="52" t="s">
        <v>72</v>
      </c>
      <c r="C33" s="53">
        <f t="shared" si="0"/>
        <v>47166.492012000002</v>
      </c>
      <c r="D33" s="53">
        <v>0</v>
      </c>
      <c r="E33" s="75">
        <f t="shared" si="4"/>
        <v>0</v>
      </c>
      <c r="F33" s="71" t="s">
        <v>86</v>
      </c>
      <c r="G33" s="58">
        <v>213049</v>
      </c>
    </row>
    <row r="34" spans="1:7">
      <c r="A34" s="118"/>
      <c r="B34" s="52" t="s">
        <v>71</v>
      </c>
      <c r="C34" s="53">
        <f t="shared" si="0"/>
        <v>1473.558528</v>
      </c>
      <c r="D34" s="53">
        <v>0</v>
      </c>
      <c r="E34" s="75">
        <f t="shared" si="4"/>
        <v>0</v>
      </c>
      <c r="F34" s="71" t="s">
        <v>86</v>
      </c>
      <c r="G34" s="58">
        <v>6656</v>
      </c>
    </row>
    <row r="35" spans="1:7">
      <c r="A35" s="118"/>
      <c r="B35" s="52" t="s">
        <v>70</v>
      </c>
      <c r="C35" s="53">
        <f t="shared" si="0"/>
        <v>235.99960799999999</v>
      </c>
      <c r="D35" s="53">
        <v>0</v>
      </c>
      <c r="E35" s="75">
        <f t="shared" si="4"/>
        <v>0</v>
      </c>
      <c r="F35" s="71" t="s">
        <v>86</v>
      </c>
      <c r="G35" s="58">
        <v>1066</v>
      </c>
    </row>
    <row r="36" spans="1:7">
      <c r="A36" s="118"/>
      <c r="B36" s="52" t="s">
        <v>69</v>
      </c>
      <c r="C36" s="53">
        <f t="shared" si="0"/>
        <v>119602.21034400001</v>
      </c>
      <c r="D36" s="53">
        <v>0</v>
      </c>
      <c r="E36" s="75">
        <f t="shared" si="4"/>
        <v>0</v>
      </c>
      <c r="F36" s="71" t="s">
        <v>86</v>
      </c>
      <c r="G36" s="58">
        <v>540238</v>
      </c>
    </row>
    <row r="37" spans="1:7" s="51" customFormat="1">
      <c r="A37" s="118"/>
      <c r="B37" s="52" t="s">
        <v>82</v>
      </c>
      <c r="C37" s="53">
        <f t="shared" si="0"/>
        <v>1552.325721744</v>
      </c>
      <c r="D37" s="53">
        <v>0</v>
      </c>
      <c r="E37" s="75">
        <f t="shared" si="4"/>
        <v>0</v>
      </c>
      <c r="F37" s="71" t="s">
        <v>86</v>
      </c>
      <c r="G37" s="58">
        <v>7011.7879999999996</v>
      </c>
    </row>
    <row r="38" spans="1:7" s="74" customFormat="1">
      <c r="A38" s="118"/>
      <c r="B38" s="52" t="s">
        <v>131</v>
      </c>
      <c r="C38" s="53">
        <f t="shared" si="0"/>
        <v>2717.7172456679996</v>
      </c>
      <c r="D38" s="53">
        <v>0</v>
      </c>
      <c r="E38" s="75">
        <f t="shared" ref="E38" si="5">(+C38*D38)/2000</f>
        <v>0</v>
      </c>
      <c r="F38" s="71" t="s">
        <v>86</v>
      </c>
      <c r="G38" s="58">
        <v>12275.810999999998</v>
      </c>
    </row>
    <row r="39" spans="1:7" s="51" customFormat="1">
      <c r="A39" s="118"/>
      <c r="B39" s="52" t="s">
        <v>79</v>
      </c>
      <c r="C39" s="53">
        <f t="shared" si="0"/>
        <v>1422.958750884</v>
      </c>
      <c r="D39" s="53">
        <v>0</v>
      </c>
      <c r="E39" s="75">
        <f t="shared" si="4"/>
        <v>0</v>
      </c>
      <c r="F39" s="71" t="s">
        <v>88</v>
      </c>
      <c r="G39" s="58">
        <v>6427.4430000000002</v>
      </c>
    </row>
    <row r="40" spans="1:7" s="51" customFormat="1">
      <c r="A40" s="118"/>
      <c r="B40" s="52" t="s">
        <v>81</v>
      </c>
      <c r="C40" s="53">
        <f t="shared" si="0"/>
        <v>47419.538496000001</v>
      </c>
      <c r="D40" s="53">
        <v>0</v>
      </c>
      <c r="E40" s="75">
        <f t="shared" ref="E40:E44" si="6">(+C40*D40)/2000</f>
        <v>0</v>
      </c>
      <c r="F40" s="71" t="s">
        <v>86</v>
      </c>
      <c r="G40" s="58">
        <v>214192</v>
      </c>
    </row>
    <row r="41" spans="1:7" s="160" customFormat="1">
      <c r="A41" s="118"/>
      <c r="B41" s="52" t="s">
        <v>80</v>
      </c>
      <c r="C41" s="53">
        <f t="shared" si="0"/>
        <v>249004.160508</v>
      </c>
      <c r="D41" s="53">
        <v>0</v>
      </c>
      <c r="E41" s="75">
        <f t="shared" ref="E41" si="7">(+C41*D41)/2000</f>
        <v>0</v>
      </c>
      <c r="F41" s="71" t="s">
        <v>86</v>
      </c>
      <c r="G41" s="58">
        <v>1124741</v>
      </c>
    </row>
    <row r="42" spans="1:7" s="51" customFormat="1">
      <c r="A42" s="118"/>
      <c r="B42" s="52" t="s">
        <v>51</v>
      </c>
      <c r="C42" s="53">
        <f t="shared" si="0"/>
        <v>23150.972431331997</v>
      </c>
      <c r="D42" s="53">
        <v>0</v>
      </c>
      <c r="E42" s="75">
        <f t="shared" si="6"/>
        <v>0</v>
      </c>
      <c r="F42" s="71" t="s">
        <v>86</v>
      </c>
      <c r="G42" s="58">
        <v>104571.93899999998</v>
      </c>
    </row>
    <row r="43" spans="1:7" s="51" customFormat="1">
      <c r="A43" s="118"/>
      <c r="B43" s="52" t="s">
        <v>53</v>
      </c>
      <c r="C43" s="53">
        <f t="shared" si="0"/>
        <v>19124.380991999999</v>
      </c>
      <c r="D43" s="53">
        <v>0</v>
      </c>
      <c r="E43" s="75">
        <f t="shared" si="6"/>
        <v>0</v>
      </c>
      <c r="F43" s="71" t="s">
        <v>87</v>
      </c>
      <c r="G43" s="58">
        <v>86384</v>
      </c>
    </row>
    <row r="44" spans="1:7" s="51" customFormat="1">
      <c r="A44" s="118"/>
      <c r="B44" s="52" t="s">
        <v>54</v>
      </c>
      <c r="C44" s="53">
        <f t="shared" si="0"/>
        <v>2661.9693120000002</v>
      </c>
      <c r="D44" s="53">
        <v>0</v>
      </c>
      <c r="E44" s="75">
        <f t="shared" si="6"/>
        <v>0</v>
      </c>
      <c r="F44" s="71" t="s">
        <v>86</v>
      </c>
      <c r="G44" s="58">
        <v>12024</v>
      </c>
    </row>
    <row r="45" spans="1:7" s="158" customFormat="1">
      <c r="A45" s="118"/>
      <c r="B45" s="157" t="s">
        <v>137</v>
      </c>
      <c r="C45" s="53">
        <f t="shared" ref="C45" si="8">G45*$C$50</f>
        <v>36210.340165355999</v>
      </c>
      <c r="D45" s="53">
        <v>0</v>
      </c>
      <c r="E45" s="75">
        <f t="shared" ref="E45" si="9">(+C45*D45)/2000</f>
        <v>0</v>
      </c>
      <c r="F45" s="71" t="s">
        <v>139</v>
      </c>
      <c r="G45" s="58">
        <v>163560.53699999998</v>
      </c>
    </row>
    <row r="46" spans="1:7" s="158" customFormat="1">
      <c r="A46" s="118"/>
      <c r="B46" s="157" t="s">
        <v>140</v>
      </c>
      <c r="C46" s="53">
        <f t="shared" ref="C46" si="10">G46*$C$50</f>
        <v>71497.697375999996</v>
      </c>
      <c r="D46" s="53">
        <v>0</v>
      </c>
      <c r="E46" s="130">
        <f t="shared" ref="E46" si="11">(+C46*D46)/2000</f>
        <v>0</v>
      </c>
      <c r="F46" s="71" t="s">
        <v>86</v>
      </c>
      <c r="G46" s="58">
        <v>322952</v>
      </c>
    </row>
    <row r="47" spans="1:7" ht="15.75" thickBot="1">
      <c r="A47" s="118"/>
      <c r="B47" s="76" t="s">
        <v>132</v>
      </c>
      <c r="C47" s="53">
        <f t="shared" ref="C47" si="12">G47*$C$50</f>
        <v>19393.588800000001</v>
      </c>
      <c r="D47" s="53">
        <v>0</v>
      </c>
      <c r="E47" s="75">
        <f t="shared" ref="E47" si="13">(+C47*D47)/2000</f>
        <v>0</v>
      </c>
      <c r="F47" s="71" t="s">
        <v>86</v>
      </c>
      <c r="G47" s="161">
        <v>87600</v>
      </c>
    </row>
    <row r="48" spans="1:7" ht="16.5" thickTop="1" thickBot="1">
      <c r="B48" s="70"/>
      <c r="C48" s="72">
        <f>SUM(C4:C47)</f>
        <v>4731932.3648114633</v>
      </c>
      <c r="D48" s="70"/>
      <c r="E48" s="72">
        <f>SUM(E4:E47)</f>
        <v>2940588.8905549804</v>
      </c>
      <c r="F48" s="70"/>
      <c r="G48" s="162">
        <f>SUM(G4:G47)</f>
        <v>21373933.38758859</v>
      </c>
    </row>
    <row r="49" spans="2:7">
      <c r="B49" s="70"/>
      <c r="C49" s="70"/>
      <c r="D49" s="70"/>
      <c r="E49" s="70"/>
      <c r="F49" s="70"/>
      <c r="G49" s="159"/>
    </row>
    <row r="50" spans="2:7">
      <c r="B50" s="70" t="s">
        <v>145</v>
      </c>
      <c r="C50" s="82">
        <v>0.221388</v>
      </c>
      <c r="D50" s="70"/>
      <c r="E50" s="70"/>
      <c r="F50" s="70"/>
      <c r="G50" s="70"/>
    </row>
    <row r="51" spans="2:7">
      <c r="F51" s="55"/>
      <c r="G51" s="55"/>
    </row>
    <row r="52" spans="2:7">
      <c r="G52" s="55"/>
    </row>
    <row r="55" spans="2:7">
      <c r="G55" s="3" t="s">
        <v>133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C1" workbookViewId="0">
      <selection activeCell="G4" sqref="G4:G32"/>
    </sheetView>
  </sheetViews>
  <sheetFormatPr defaultRowHeight="15"/>
  <cols>
    <col min="1" max="1" width="4.28515625" style="74" customWidth="1"/>
    <col min="2" max="2" width="46.140625" customWidth="1"/>
    <col min="3" max="3" width="13.7109375" style="57" customWidth="1"/>
    <col min="4" max="4" width="12.5703125" style="57" customWidth="1"/>
    <col min="5" max="5" width="13.5703125" style="57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59">
        <f>+'Summary 2009'!D4</f>
        <v>2009</v>
      </c>
      <c r="E1" s="60" t="s">
        <v>2</v>
      </c>
      <c r="I1" s="166">
        <v>1118.7938637421748</v>
      </c>
      <c r="J1" s="163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2009'!D4</f>
        <v>2009</v>
      </c>
      <c r="I2" s="26"/>
    </row>
    <row r="3" spans="1:10" ht="19.5">
      <c r="B3" s="77" t="s">
        <v>0</v>
      </c>
      <c r="C3" s="78">
        <f>+'Summary 2009'!D4</f>
        <v>2009</v>
      </c>
      <c r="D3" s="78" t="s">
        <v>96</v>
      </c>
      <c r="E3" s="78" t="s">
        <v>97</v>
      </c>
      <c r="F3" s="79"/>
      <c r="G3" s="80"/>
    </row>
    <row r="4" spans="1:10">
      <c r="B4" s="52" t="s">
        <v>89</v>
      </c>
      <c r="C4" s="61">
        <f t="shared" ref="C4:C14" si="0">G4*$C$35</f>
        <v>-76135.554587999999</v>
      </c>
      <c r="D4" s="115">
        <f t="shared" ref="D4:D10" si="1">IF(C4&lt;&gt;0,$I$1,0)</f>
        <v>1118.7938637421748</v>
      </c>
      <c r="E4" s="81">
        <f>(+C4*D4)/2000</f>
        <v>-42589.995642830894</v>
      </c>
      <c r="F4" s="80"/>
      <c r="G4" s="53">
        <v>-343901</v>
      </c>
    </row>
    <row r="5" spans="1:10">
      <c r="B5" s="52" t="s">
        <v>50</v>
      </c>
      <c r="C5" s="61">
        <f t="shared" si="0"/>
        <v>-1007569.0340836991</v>
      </c>
      <c r="D5" s="115">
        <f t="shared" si="1"/>
        <v>1118.7938637421748</v>
      </c>
      <c r="E5" s="81">
        <f>(+C5*D5)/2000</f>
        <v>-563631.02631473634</v>
      </c>
      <c r="F5" s="80"/>
      <c r="G5" s="53">
        <v>-4551145.6541623715</v>
      </c>
    </row>
    <row r="6" spans="1:10">
      <c r="B6" s="52" t="s">
        <v>95</v>
      </c>
      <c r="C6" s="61">
        <f t="shared" si="0"/>
        <v>-66914.080224000005</v>
      </c>
      <c r="D6" s="115">
        <f t="shared" si="1"/>
        <v>1118.7938637421748</v>
      </c>
      <c r="E6" s="81">
        <f>(+C6*D6)/2000</f>
        <v>-37431.531176281409</v>
      </c>
      <c r="F6" s="80"/>
      <c r="G6" s="53">
        <v>-302248</v>
      </c>
    </row>
    <row r="7" spans="1:10" s="74" customFormat="1">
      <c r="A7" s="117"/>
      <c r="B7" s="52" t="s">
        <v>49</v>
      </c>
      <c r="C7" s="61">
        <f t="shared" si="0"/>
        <v>-20566.224715831486</v>
      </c>
      <c r="D7" s="115">
        <f t="shared" si="1"/>
        <v>1118.7938637421748</v>
      </c>
      <c r="E7" s="81">
        <f>(+C7*D7)/2000</f>
        <v>-11504.68300620746</v>
      </c>
      <c r="F7" s="80"/>
      <c r="G7" s="53">
        <v>-92896.745604240001</v>
      </c>
    </row>
    <row r="8" spans="1:10" ht="15" customHeight="1">
      <c r="A8" s="179" t="s">
        <v>134</v>
      </c>
      <c r="B8" s="52" t="s">
        <v>92</v>
      </c>
      <c r="C8" s="61">
        <f t="shared" si="0"/>
        <v>61341.744264000001</v>
      </c>
      <c r="D8" s="115">
        <f t="shared" si="1"/>
        <v>1118.7938637421748</v>
      </c>
      <c r="E8" s="81">
        <f t="shared" ref="E8:E32" si="2">(+C8*D8)/2000</f>
        <v>34314.383536902475</v>
      </c>
      <c r="F8" s="80"/>
      <c r="G8" s="53">
        <v>277078</v>
      </c>
    </row>
    <row r="9" spans="1:10">
      <c r="A9" s="179"/>
      <c r="B9" s="52" t="s">
        <v>90</v>
      </c>
      <c r="C9" s="61">
        <f t="shared" si="0"/>
        <v>4111.3965479999997</v>
      </c>
      <c r="D9" s="115">
        <f t="shared" si="1"/>
        <v>1118.7938637421748</v>
      </c>
      <c r="E9" s="81">
        <f t="shared" si="2"/>
        <v>2299.9026146565798</v>
      </c>
      <c r="F9" s="80"/>
      <c r="G9" s="53">
        <v>18571</v>
      </c>
    </row>
    <row r="10" spans="1:10">
      <c r="A10" s="179"/>
      <c r="B10" s="52" t="s">
        <v>91</v>
      </c>
      <c r="C10" s="61">
        <f t="shared" si="0"/>
        <v>841462.98852265067</v>
      </c>
      <c r="D10" s="115">
        <f t="shared" si="1"/>
        <v>1118.7938637421748</v>
      </c>
      <c r="E10" s="81">
        <f t="shared" si="2"/>
        <v>470711.81406264682</v>
      </c>
      <c r="F10" s="80"/>
      <c r="G10" s="53">
        <v>3800851.8461824972</v>
      </c>
    </row>
    <row r="11" spans="1:10" s="74" customFormat="1">
      <c r="A11" s="179"/>
      <c r="B11" s="52" t="s">
        <v>130</v>
      </c>
      <c r="C11" s="61">
        <f t="shared" si="0"/>
        <v>0</v>
      </c>
      <c r="D11" s="115">
        <f t="shared" ref="D11" si="3">IF(C11&lt;&gt;0,$I$1,0)</f>
        <v>0</v>
      </c>
      <c r="E11" s="81">
        <f t="shared" ref="E11" si="4">(+C11*D11)/2000</f>
        <v>0</v>
      </c>
      <c r="F11" s="80"/>
      <c r="G11" s="53">
        <v>0</v>
      </c>
    </row>
    <row r="12" spans="1:10">
      <c r="A12" s="179"/>
      <c r="B12" s="52" t="s">
        <v>93</v>
      </c>
      <c r="C12" s="61">
        <f t="shared" si="0"/>
        <v>33600.720924000001</v>
      </c>
      <c r="D12" s="115">
        <f>IF(C12&lt;&gt;0,$I$1,0)</f>
        <v>1118.7938637421748</v>
      </c>
      <c r="E12" s="81">
        <f t="shared" si="2"/>
        <v>18796.140193542251</v>
      </c>
      <c r="F12" s="80"/>
      <c r="G12" s="53">
        <v>151773</v>
      </c>
    </row>
    <row r="13" spans="1:10">
      <c r="A13" s="179"/>
      <c r="B13" s="52" t="s">
        <v>94</v>
      </c>
      <c r="C13" s="61">
        <f t="shared" si="0"/>
        <v>11338.90158888418</v>
      </c>
      <c r="D13" s="115">
        <f>IF(C13&lt;&gt;0,$I$1,0)</f>
        <v>1118.7938637421748</v>
      </c>
      <c r="E13" s="81">
        <f t="shared" si="2"/>
        <v>6342.9467596100085</v>
      </c>
      <c r="F13" s="80"/>
      <c r="G13" s="53">
        <v>51217.326995519994</v>
      </c>
    </row>
    <row r="14" spans="1:10" s="74" customFormat="1">
      <c r="A14" s="117"/>
      <c r="B14" s="52" t="s">
        <v>52</v>
      </c>
      <c r="C14" s="61">
        <f t="shared" si="0"/>
        <v>8462.3349120000003</v>
      </c>
      <c r="D14" s="115">
        <f t="shared" ref="D14" si="5">IF(C14&lt;&gt;0,$I$1,0)</f>
        <v>1118.7938637421748</v>
      </c>
      <c r="E14" s="81">
        <f t="shared" ref="E14" si="6">(+C14*D14)/2000</f>
        <v>4733.8041862383889</v>
      </c>
      <c r="F14" s="80"/>
      <c r="G14" s="53">
        <v>38224</v>
      </c>
    </row>
    <row r="15" spans="1:10">
      <c r="B15" s="21" t="s">
        <v>138</v>
      </c>
      <c r="C15" s="61">
        <f t="shared" ref="C15" si="7">G15*$C$35</f>
        <v>-12075.165684</v>
      </c>
      <c r="D15" s="115">
        <f t="shared" ref="D15" si="8">IF(C15&lt;&gt;0,$I$1,0)</f>
        <v>1118.7938637421748</v>
      </c>
      <c r="E15" s="81">
        <f t="shared" ref="E15" si="9">(+C15*D15)/2000</f>
        <v>-6754.8106354646407</v>
      </c>
      <c r="G15" s="131">
        <v>-54543</v>
      </c>
    </row>
    <row r="16" spans="1:10">
      <c r="B16" s="21" t="s">
        <v>141</v>
      </c>
      <c r="C16" s="61">
        <f t="shared" ref="C16" si="10">G16*$C$35</f>
        <v>1535.5471680000001</v>
      </c>
      <c r="D16" s="115">
        <f t="shared" ref="D16" si="11">IF(C16&lt;&gt;0,$I$1,0)</f>
        <v>1118.7938637421748</v>
      </c>
      <c r="E16" s="81">
        <f t="shared" ref="E16" si="12">(+C16*D16)/2000</f>
        <v>858.9803745225372</v>
      </c>
      <c r="G16" s="131">
        <v>6936</v>
      </c>
    </row>
    <row r="17" spans="2:7">
      <c r="B17" s="21" t="s">
        <v>141</v>
      </c>
      <c r="C17" s="61">
        <f t="shared" ref="C17" si="13">G17*$C$35</f>
        <v>54746.163816011998</v>
      </c>
      <c r="D17" s="115">
        <f t="shared" ref="D17" si="14">IF(C17&lt;&gt;0,$I$1,0)</f>
        <v>1118.7938637421748</v>
      </c>
      <c r="E17" s="81">
        <f t="shared" ref="E17" si="15">(+C17*D17)/2000</f>
        <v>30624.836070389054</v>
      </c>
      <c r="G17" s="129">
        <v>247286.049</v>
      </c>
    </row>
    <row r="18" spans="2:7">
      <c r="B18" s="21"/>
      <c r="C18" s="43"/>
      <c r="D18" s="62">
        <f t="shared" ref="D18:D32" si="16">IF(C18&lt;&gt;0,$I$1,0)</f>
        <v>0</v>
      </c>
      <c r="E18" s="63">
        <f t="shared" si="2"/>
        <v>0</v>
      </c>
      <c r="G18" s="129"/>
    </row>
    <row r="19" spans="2:7">
      <c r="B19" s="21"/>
      <c r="C19" s="43"/>
      <c r="D19" s="62">
        <f t="shared" si="16"/>
        <v>0</v>
      </c>
      <c r="E19" s="63">
        <f t="shared" si="2"/>
        <v>0</v>
      </c>
      <c r="G19" s="129"/>
    </row>
    <row r="20" spans="2:7">
      <c r="B20" s="21"/>
      <c r="C20" s="43"/>
      <c r="D20" s="62">
        <f t="shared" si="16"/>
        <v>0</v>
      </c>
      <c r="E20" s="63">
        <f t="shared" si="2"/>
        <v>0</v>
      </c>
      <c r="G20" s="129"/>
    </row>
    <row r="21" spans="2:7">
      <c r="B21" s="21"/>
      <c r="C21" s="43"/>
      <c r="D21" s="62">
        <f t="shared" si="16"/>
        <v>0</v>
      </c>
      <c r="E21" s="63">
        <f t="shared" si="2"/>
        <v>0</v>
      </c>
      <c r="G21" s="129"/>
    </row>
    <row r="22" spans="2:7">
      <c r="B22" s="21"/>
      <c r="C22" s="43"/>
      <c r="D22" s="62">
        <f t="shared" si="16"/>
        <v>0</v>
      </c>
      <c r="E22" s="63">
        <f t="shared" si="2"/>
        <v>0</v>
      </c>
      <c r="G22" s="129"/>
    </row>
    <row r="23" spans="2:7">
      <c r="B23" s="21"/>
      <c r="C23" s="43"/>
      <c r="D23" s="62">
        <f t="shared" si="16"/>
        <v>0</v>
      </c>
      <c r="E23" s="63">
        <f t="shared" si="2"/>
        <v>0</v>
      </c>
      <c r="G23" s="129"/>
    </row>
    <row r="24" spans="2:7">
      <c r="B24" s="21"/>
      <c r="C24" s="43"/>
      <c r="D24" s="62">
        <f t="shared" si="16"/>
        <v>0</v>
      </c>
      <c r="E24" s="63">
        <f t="shared" si="2"/>
        <v>0</v>
      </c>
      <c r="G24" s="129"/>
    </row>
    <row r="25" spans="2:7">
      <c r="B25" s="21"/>
      <c r="C25" s="43"/>
      <c r="D25" s="62">
        <f t="shared" si="16"/>
        <v>0</v>
      </c>
      <c r="E25" s="63">
        <f t="shared" si="2"/>
        <v>0</v>
      </c>
      <c r="G25" s="129"/>
    </row>
    <row r="26" spans="2:7">
      <c r="B26" s="21"/>
      <c r="C26" s="43"/>
      <c r="D26" s="62">
        <f t="shared" si="16"/>
        <v>0</v>
      </c>
      <c r="E26" s="63">
        <f t="shared" si="2"/>
        <v>0</v>
      </c>
      <c r="G26" s="129"/>
    </row>
    <row r="27" spans="2:7">
      <c r="B27" s="21"/>
      <c r="C27" s="43"/>
      <c r="D27" s="62">
        <f t="shared" si="16"/>
        <v>0</v>
      </c>
      <c r="E27" s="63">
        <f t="shared" si="2"/>
        <v>0</v>
      </c>
      <c r="G27" s="129"/>
    </row>
    <row r="28" spans="2:7">
      <c r="B28" s="21"/>
      <c r="C28" s="43"/>
      <c r="D28" s="62">
        <f t="shared" si="16"/>
        <v>0</v>
      </c>
      <c r="E28" s="63">
        <f t="shared" si="2"/>
        <v>0</v>
      </c>
      <c r="G28" s="129"/>
    </row>
    <row r="29" spans="2:7">
      <c r="B29" s="21"/>
      <c r="C29" s="43"/>
      <c r="D29" s="62">
        <f t="shared" si="16"/>
        <v>0</v>
      </c>
      <c r="E29" s="63">
        <f t="shared" si="2"/>
        <v>0</v>
      </c>
      <c r="G29" s="129"/>
    </row>
    <row r="30" spans="2:7">
      <c r="B30" s="21"/>
      <c r="C30" s="43"/>
      <c r="D30" s="62">
        <f t="shared" si="16"/>
        <v>0</v>
      </c>
      <c r="E30" s="63">
        <f t="shared" si="2"/>
        <v>0</v>
      </c>
      <c r="G30" s="129"/>
    </row>
    <row r="31" spans="2:7">
      <c r="B31" s="21"/>
      <c r="C31" s="43"/>
      <c r="D31" s="62">
        <f t="shared" si="16"/>
        <v>0</v>
      </c>
      <c r="E31" s="63">
        <f t="shared" si="2"/>
        <v>0</v>
      </c>
      <c r="G31" s="129"/>
    </row>
    <row r="32" spans="2:7" ht="15.75" thickBot="1">
      <c r="B32" s="22"/>
      <c r="C32" s="64"/>
      <c r="D32" s="65">
        <f t="shared" si="16"/>
        <v>0</v>
      </c>
      <c r="E32" s="66">
        <f t="shared" si="2"/>
        <v>0</v>
      </c>
      <c r="G32" s="164"/>
    </row>
    <row r="33" spans="1:8" ht="16.5" thickTop="1" thickBot="1">
      <c r="A33" s="5"/>
      <c r="B33" s="119"/>
      <c r="C33" s="67">
        <f>SUM(C4:C32)</f>
        <v>-166660.26155198368</v>
      </c>
      <c r="D33" s="68"/>
      <c r="E33" s="69">
        <f>SUM(E4:E32)</f>
        <v>-93229.238977012545</v>
      </c>
      <c r="G33" s="165">
        <f>SUM(G4:G17)</f>
        <v>-752797.17758859461</v>
      </c>
      <c r="H33" s="5"/>
    </row>
    <row r="34" spans="1:8">
      <c r="A34" s="5"/>
    </row>
    <row r="35" spans="1:8">
      <c r="B35" s="54" t="str">
        <f>'Known Resources'!B50</f>
        <v>2009 Washington - WCA Allocation Factor</v>
      </c>
      <c r="C35" s="82">
        <f>'Known Resources'!C50</f>
        <v>0.221388</v>
      </c>
    </row>
  </sheetData>
  <mergeCells count="1">
    <mergeCell ref="A8:A13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4" customWidth="1"/>
    <col min="2" max="2" width="34.7109375" style="7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4" customWidth="1"/>
    <col min="8" max="8" width="13.42578125" style="74" customWidth="1"/>
    <col min="9" max="9" width="28.85546875" style="74" customWidth="1"/>
    <col min="11" max="16384" width="9.140625" style="74"/>
  </cols>
  <sheetData>
    <row r="2" spans="2:13">
      <c r="B2" s="83" t="s">
        <v>98</v>
      </c>
    </row>
    <row r="3" spans="2:13">
      <c r="B3" s="84" t="s">
        <v>121</v>
      </c>
      <c r="C3" s="85">
        <v>2013</v>
      </c>
      <c r="D3" s="85">
        <v>2014</v>
      </c>
      <c r="E3" s="85">
        <v>2015</v>
      </c>
      <c r="M3" s="73"/>
    </row>
    <row r="4" spans="2:13">
      <c r="B4" s="74" t="s">
        <v>99</v>
      </c>
      <c r="C4" s="86">
        <v>249411.34980000003</v>
      </c>
      <c r="D4" s="86">
        <v>588540.53559999994</v>
      </c>
      <c r="E4" s="86">
        <v>652575.45380000002</v>
      </c>
      <c r="F4" s="97" t="s">
        <v>122</v>
      </c>
      <c r="M4" s="73"/>
    </row>
    <row r="5" spans="2:13">
      <c r="B5" s="74" t="s">
        <v>46</v>
      </c>
      <c r="C5" s="86">
        <v>10737153.304823698</v>
      </c>
      <c r="D5" s="86">
        <v>9865275.1750967987</v>
      </c>
      <c r="E5" s="86">
        <v>9651660.6989069991</v>
      </c>
      <c r="F5" s="97" t="s">
        <v>122</v>
      </c>
      <c r="M5" s="73"/>
    </row>
    <row r="6" spans="2:13">
      <c r="B6" s="74" t="s">
        <v>45</v>
      </c>
      <c r="C6" s="86">
        <v>746836.73800000001</v>
      </c>
      <c r="D6" s="86">
        <v>1169354.4140000001</v>
      </c>
      <c r="E6" s="86">
        <v>489137.44500000001</v>
      </c>
      <c r="F6" s="97" t="s">
        <v>122</v>
      </c>
      <c r="M6" s="73"/>
    </row>
    <row r="7" spans="2:13">
      <c r="B7" s="74" t="s">
        <v>100</v>
      </c>
      <c r="C7" s="86">
        <v>1165015.3759999999</v>
      </c>
      <c r="D7" s="86">
        <v>1049272.4750000001</v>
      </c>
      <c r="E7" s="86">
        <v>1081686.5190000001</v>
      </c>
      <c r="F7" s="97" t="s">
        <v>122</v>
      </c>
      <c r="M7" s="73"/>
    </row>
    <row r="8" spans="2:13">
      <c r="B8" s="74" t="s">
        <v>101</v>
      </c>
      <c r="C8" s="96">
        <f>(C17*H47)</f>
        <v>6689.799422</v>
      </c>
      <c r="F8" s="97"/>
      <c r="M8" s="73"/>
    </row>
    <row r="9" spans="2:13">
      <c r="C9" s="86"/>
      <c r="D9" s="86"/>
      <c r="E9" s="86"/>
      <c r="F9" s="97"/>
      <c r="J9" s="74"/>
      <c r="M9" s="73"/>
    </row>
    <row r="10" spans="2:13">
      <c r="B10" s="84" t="s">
        <v>120</v>
      </c>
      <c r="C10" s="85">
        <v>2013</v>
      </c>
      <c r="D10" s="85">
        <v>2014</v>
      </c>
      <c r="E10" s="85">
        <v>2015</v>
      </c>
      <c r="F10" s="97"/>
      <c r="J10" s="74"/>
    </row>
    <row r="11" spans="2:13">
      <c r="B11" s="74" t="s">
        <v>99</v>
      </c>
      <c r="C11" s="92">
        <v>222792</v>
      </c>
      <c r="D11" s="92">
        <v>540252</v>
      </c>
      <c r="E11" s="92">
        <v>615241</v>
      </c>
      <c r="F11" s="97" t="s">
        <v>128</v>
      </c>
      <c r="J11" s="74"/>
    </row>
    <row r="12" spans="2:13">
      <c r="B12" s="74" t="s">
        <v>102</v>
      </c>
      <c r="C12" s="93">
        <v>9936388</v>
      </c>
      <c r="D12" s="93">
        <v>9364549</v>
      </c>
      <c r="E12" s="93">
        <v>9195773</v>
      </c>
      <c r="F12" s="97" t="s">
        <v>123</v>
      </c>
      <c r="J12" s="74"/>
    </row>
    <row r="13" spans="2:13">
      <c r="B13" s="74" t="s">
        <v>45</v>
      </c>
      <c r="C13" s="93">
        <v>1674194</v>
      </c>
      <c r="D13" s="93">
        <v>1558872</v>
      </c>
      <c r="E13" s="93">
        <v>698027</v>
      </c>
      <c r="F13" s="97" t="s">
        <v>123</v>
      </c>
      <c r="J13" s="74"/>
    </row>
    <row r="14" spans="2:13" hidden="1">
      <c r="B14" s="74" t="s">
        <v>103</v>
      </c>
      <c r="C14" s="93">
        <v>1293909</v>
      </c>
      <c r="D14" s="93">
        <v>1164903</v>
      </c>
      <c r="E14" s="93">
        <v>1202753</v>
      </c>
      <c r="F14" s="97" t="s">
        <v>104</v>
      </c>
      <c r="J14" s="74"/>
    </row>
    <row r="15" spans="2:13" hidden="1">
      <c r="B15" s="74" t="s">
        <v>105</v>
      </c>
      <c r="C15" s="93">
        <v>1293909</v>
      </c>
      <c r="D15" s="93">
        <v>1164903</v>
      </c>
      <c r="E15" s="93">
        <v>1202753</v>
      </c>
      <c r="F15" s="97" t="s">
        <v>104</v>
      </c>
      <c r="J15" s="74"/>
    </row>
    <row r="16" spans="2:13">
      <c r="B16" s="74" t="s">
        <v>100</v>
      </c>
      <c r="C16" s="93">
        <f>SUM(C14:C15)</f>
        <v>2587818</v>
      </c>
      <c r="D16" s="93">
        <f>SUM(D14:D15)</f>
        <v>2329806</v>
      </c>
      <c r="E16" s="93">
        <f>SUM(E14:E15)</f>
        <v>2405506</v>
      </c>
      <c r="F16" s="97" t="s">
        <v>125</v>
      </c>
      <c r="J16" s="74"/>
    </row>
    <row r="17" spans="2:10">
      <c r="B17" s="74" t="s">
        <v>101</v>
      </c>
      <c r="C17" s="93">
        <v>6124</v>
      </c>
      <c r="D17" s="93"/>
      <c r="E17" s="93"/>
      <c r="F17" s="97" t="s">
        <v>124</v>
      </c>
      <c r="J17" s="74"/>
    </row>
    <row r="18" spans="2:10">
      <c r="F18" s="97"/>
      <c r="J18" s="74"/>
    </row>
    <row r="19" spans="2:10" hidden="1">
      <c r="B19" s="74" t="s">
        <v>106</v>
      </c>
      <c r="F19" s="97"/>
      <c r="J19" s="74"/>
    </row>
    <row r="20" spans="2:10" hidden="1">
      <c r="B20" s="87"/>
      <c r="C20" s="94">
        <v>1157889</v>
      </c>
      <c r="D20" s="94">
        <v>1157889</v>
      </c>
      <c r="E20" s="94">
        <v>1157889</v>
      </c>
      <c r="F20" s="98"/>
      <c r="J20" s="74"/>
    </row>
    <row r="21" spans="2:10" hidden="1">
      <c r="B21" s="5"/>
      <c r="C21" s="95">
        <v>2377702</v>
      </c>
      <c r="D21" s="95">
        <v>2377702</v>
      </c>
      <c r="E21" s="95">
        <v>2377702</v>
      </c>
      <c r="F21" s="99"/>
      <c r="J21" s="74"/>
    </row>
    <row r="22" spans="2:10" hidden="1">
      <c r="B22" s="74" t="s">
        <v>107</v>
      </c>
      <c r="C22" s="86">
        <f t="shared" ref="C22:E22" si="0">SUM(C20:C21)</f>
        <v>3535591</v>
      </c>
      <c r="D22" s="86">
        <f t="shared" si="0"/>
        <v>3535591</v>
      </c>
      <c r="E22" s="86">
        <f t="shared" si="0"/>
        <v>3535591</v>
      </c>
      <c r="F22" s="97"/>
      <c r="J22" s="74"/>
    </row>
    <row r="23" spans="2:10" hidden="1">
      <c r="B23" s="74" t="s">
        <v>108</v>
      </c>
      <c r="F23" s="97"/>
      <c r="J23" s="74"/>
    </row>
    <row r="24" spans="2:10" hidden="1">
      <c r="B24" s="74" t="s">
        <v>109</v>
      </c>
      <c r="F24" s="97"/>
      <c r="J24" s="74"/>
    </row>
    <row r="25" spans="2:10" hidden="1">
      <c r="F25" s="97"/>
      <c r="J25" s="74"/>
    </row>
    <row r="26" spans="2:10" hidden="1">
      <c r="F26" s="97"/>
      <c r="J26" s="74"/>
    </row>
    <row r="27" spans="2:10" hidden="1">
      <c r="F27" s="97"/>
      <c r="J27" s="74"/>
    </row>
    <row r="28" spans="2:10" hidden="1">
      <c r="B28" s="74" t="s">
        <v>110</v>
      </c>
      <c r="C28" s="86">
        <v>2151957</v>
      </c>
      <c r="F28" s="97"/>
      <c r="J28" s="74"/>
    </row>
    <row r="29" spans="2:10" hidden="1">
      <c r="C29" s="92">
        <f>C28*$H46</f>
        <v>215195.7</v>
      </c>
      <c r="F29" s="97"/>
      <c r="J29" s="74"/>
    </row>
    <row r="30" spans="2:10" hidden="1">
      <c r="B30" s="74" t="s">
        <v>111</v>
      </c>
      <c r="C30" s="86">
        <v>2155070</v>
      </c>
      <c r="D30" s="86">
        <v>5055530</v>
      </c>
      <c r="F30" s="97"/>
      <c r="J30" s="74"/>
    </row>
    <row r="31" spans="2:10" hidden="1">
      <c r="C31" s="3">
        <f>C30*0.1</f>
        <v>215507</v>
      </c>
      <c r="D31" s="92">
        <f>D30*0.1</f>
        <v>505553</v>
      </c>
      <c r="F31" s="97"/>
      <c r="J31" s="74"/>
    </row>
    <row r="32" spans="2:10" hidden="1">
      <c r="F32" s="97"/>
      <c r="J32" s="74"/>
    </row>
    <row r="33" spans="2:10" hidden="1">
      <c r="F33" s="97"/>
      <c r="J33" s="74"/>
    </row>
    <row r="34" spans="2:10" hidden="1">
      <c r="F34" s="97"/>
      <c r="J34" s="74"/>
    </row>
    <row r="35" spans="2:10" hidden="1">
      <c r="F35" s="97"/>
      <c r="J35" s="74"/>
    </row>
    <row r="36" spans="2:10" s="89" customFormat="1">
      <c r="B36" s="88" t="s">
        <v>112</v>
      </c>
      <c r="C36" s="85">
        <v>2013</v>
      </c>
      <c r="D36" s="85">
        <v>2014</v>
      </c>
      <c r="E36" s="85">
        <v>2015</v>
      </c>
      <c r="F36" s="100"/>
    </row>
    <row r="37" spans="2:10" s="89" customFormat="1">
      <c r="B37" s="74" t="s">
        <v>99</v>
      </c>
      <c r="C37" s="101">
        <f>(C4*$H51)/C11</f>
        <v>2238.9614510395349</v>
      </c>
      <c r="D37" s="91">
        <f>(D4*$H51)/D11</f>
        <v>2178.7630054122887</v>
      </c>
      <c r="E37" s="91">
        <f>(E4*$H51)/E11</f>
        <v>2121.3652984765322</v>
      </c>
      <c r="F37" s="100"/>
    </row>
    <row r="38" spans="2:10">
      <c r="B38" s="74" t="s">
        <v>46</v>
      </c>
      <c r="C38" s="101">
        <f>(C5*$H51)/C12</f>
        <v>2161.1783486763397</v>
      </c>
      <c r="D38" s="91">
        <f>(D5*$H51)/D12</f>
        <v>2106.9407987713657</v>
      </c>
      <c r="E38" s="91">
        <f>(E5*$H51)/E12</f>
        <v>2099.1515773403712</v>
      </c>
      <c r="F38" s="97"/>
      <c r="J38" s="74"/>
    </row>
    <row r="39" spans="2:10">
      <c r="B39" s="74" t="s">
        <v>45</v>
      </c>
      <c r="C39" s="101">
        <f>(C6*$H51)/C13</f>
        <v>892.17466792976199</v>
      </c>
      <c r="D39" s="91">
        <f>(D6*$H51)/D13</f>
        <v>1500.2571269482037</v>
      </c>
      <c r="E39" s="91">
        <f>(E6*$H51)/E13</f>
        <v>1401.485744820759</v>
      </c>
      <c r="F39" s="97"/>
      <c r="J39" s="74"/>
    </row>
    <row r="40" spans="2:10">
      <c r="B40" s="74" t="s">
        <v>100</v>
      </c>
      <c r="C40" s="101">
        <f>(C7*$H51)/C16</f>
        <v>900.38432069024952</v>
      </c>
      <c r="D40" s="91">
        <f>(D7*$H51)/D16</f>
        <v>900.73806574452988</v>
      </c>
      <c r="E40" s="91">
        <f>(E7*$H51)/E16</f>
        <v>899.34219162205375</v>
      </c>
      <c r="F40" s="97"/>
      <c r="J40" s="74"/>
    </row>
    <row r="41" spans="2:10">
      <c r="B41" s="74" t="s">
        <v>101</v>
      </c>
      <c r="C41" s="101">
        <f>(C8*$H51)/C17</f>
        <v>2184.7809999999999</v>
      </c>
      <c r="D41" s="90"/>
      <c r="E41" s="90"/>
      <c r="F41" s="97"/>
      <c r="J41" s="74"/>
    </row>
    <row r="43" spans="2:10">
      <c r="B43" s="83" t="s">
        <v>117</v>
      </c>
      <c r="J43" s="74"/>
    </row>
    <row r="44" spans="2:10">
      <c r="B44" s="84" t="s">
        <v>119</v>
      </c>
      <c r="C44" s="85">
        <v>2013</v>
      </c>
      <c r="D44" s="85">
        <v>2014</v>
      </c>
      <c r="E44" s="85">
        <v>2015</v>
      </c>
      <c r="F44" s="74"/>
      <c r="G44" s="102" t="s">
        <v>113</v>
      </c>
      <c r="H44" s="103"/>
      <c r="I44"/>
      <c r="J44" s="73"/>
    </row>
    <row r="45" spans="2:10">
      <c r="B45" s="74" t="s">
        <v>118</v>
      </c>
      <c r="C45" s="93">
        <v>62089</v>
      </c>
      <c r="D45" s="93">
        <v>66234</v>
      </c>
      <c r="E45" s="93">
        <v>45774</v>
      </c>
      <c r="F45" s="74"/>
      <c r="G45" s="104" t="s">
        <v>46</v>
      </c>
      <c r="H45" s="105">
        <v>0.66669999999999996</v>
      </c>
      <c r="I45"/>
      <c r="J45" s="73"/>
    </row>
    <row r="46" spans="2:10">
      <c r="B46" s="74" t="s">
        <v>43</v>
      </c>
      <c r="C46" s="93">
        <v>227258</v>
      </c>
      <c r="D46" s="93">
        <v>216762</v>
      </c>
      <c r="E46" s="93">
        <v>186746</v>
      </c>
      <c r="F46" s="74"/>
      <c r="G46" s="104" t="s">
        <v>115</v>
      </c>
      <c r="H46" s="107">
        <v>0.1</v>
      </c>
      <c r="I46"/>
      <c r="J46" s="73"/>
    </row>
    <row r="47" spans="2:10">
      <c r="B47" s="74" t="s">
        <v>44</v>
      </c>
      <c r="C47" s="93">
        <v>206164</v>
      </c>
      <c r="D47" s="93">
        <v>215245</v>
      </c>
      <c r="E47" s="93">
        <v>188567</v>
      </c>
      <c r="F47" s="74"/>
      <c r="G47" s="108" t="s">
        <v>101</v>
      </c>
      <c r="H47" s="109">
        <v>1.0923905</v>
      </c>
      <c r="I47" s="110" t="s">
        <v>127</v>
      </c>
      <c r="J47" s="74"/>
    </row>
    <row r="48" spans="2:10">
      <c r="B48" s="74" t="s">
        <v>48</v>
      </c>
      <c r="C48" s="93">
        <v>485852</v>
      </c>
      <c r="D48" s="93">
        <v>542156</v>
      </c>
      <c r="E48" s="93">
        <v>436619</v>
      </c>
      <c r="F48" s="74"/>
      <c r="G48" s="111" t="s">
        <v>129</v>
      </c>
      <c r="H48" s="112"/>
      <c r="I48" s="5"/>
      <c r="J48" s="73"/>
    </row>
    <row r="49" spans="2:10">
      <c r="B49" s="74" t="s">
        <v>55</v>
      </c>
      <c r="C49" s="93">
        <v>1925</v>
      </c>
      <c r="D49" s="93">
        <v>2498</v>
      </c>
      <c r="E49" s="93">
        <v>2396</v>
      </c>
      <c r="F49" s="74"/>
      <c r="G49" s="104" t="s">
        <v>114</v>
      </c>
      <c r="H49" s="113">
        <v>0.90718500000000002</v>
      </c>
      <c r="I49" s="5"/>
      <c r="J49" s="73"/>
    </row>
    <row r="50" spans="2:10">
      <c r="B50" s="74" t="s">
        <v>56</v>
      </c>
      <c r="C50" s="93">
        <v>37778</v>
      </c>
      <c r="D50" s="93">
        <v>41246</v>
      </c>
      <c r="E50" s="93">
        <v>31575</v>
      </c>
      <c r="F50" s="74"/>
      <c r="G50" s="104" t="s">
        <v>126</v>
      </c>
      <c r="H50" s="113">
        <v>1.1023099999999999</v>
      </c>
      <c r="I50" s="5"/>
      <c r="J50" s="73"/>
    </row>
    <row r="51" spans="2:10">
      <c r="B51" s="74" t="s">
        <v>57</v>
      </c>
      <c r="C51" s="93">
        <v>39381</v>
      </c>
      <c r="D51" s="93">
        <v>44892</v>
      </c>
      <c r="E51" s="93">
        <v>32142</v>
      </c>
      <c r="G51" s="106" t="s">
        <v>116</v>
      </c>
      <c r="H51" s="114">
        <v>2000</v>
      </c>
      <c r="J51" s="74"/>
    </row>
    <row r="52" spans="2:10">
      <c r="B52" s="74" t="s">
        <v>58</v>
      </c>
      <c r="C52" s="93">
        <v>67577</v>
      </c>
      <c r="D52" s="93">
        <v>65390</v>
      </c>
      <c r="E52" s="93">
        <v>60539</v>
      </c>
      <c r="J52" s="74"/>
    </row>
    <row r="53" spans="2:10">
      <c r="B53" s="74" t="s">
        <v>59</v>
      </c>
      <c r="C53" s="93">
        <v>83609</v>
      </c>
      <c r="D53" s="93">
        <v>86439</v>
      </c>
      <c r="E53" s="93">
        <v>77098</v>
      </c>
      <c r="J53" s="74"/>
    </row>
    <row r="54" spans="2:10">
      <c r="B54" s="74" t="s">
        <v>60</v>
      </c>
      <c r="C54" s="93">
        <v>16334</v>
      </c>
      <c r="D54" s="93">
        <v>16187</v>
      </c>
      <c r="E54" s="93">
        <v>16857</v>
      </c>
      <c r="J54" s="74"/>
    </row>
    <row r="55" spans="2:10">
      <c r="B55" s="74" t="s">
        <v>61</v>
      </c>
      <c r="C55" s="93">
        <v>9864</v>
      </c>
      <c r="D55" s="93">
        <v>7396</v>
      </c>
      <c r="E55" s="93">
        <v>9699</v>
      </c>
      <c r="J55" s="74"/>
    </row>
    <row r="56" spans="2:10">
      <c r="B56" s="74" t="s">
        <v>62</v>
      </c>
      <c r="C56" s="93">
        <v>15766</v>
      </c>
      <c r="D56" s="93">
        <v>24132</v>
      </c>
      <c r="E56" s="93">
        <v>7941</v>
      </c>
      <c r="J56" s="74"/>
    </row>
    <row r="57" spans="2:10">
      <c r="B57" s="74" t="s">
        <v>63</v>
      </c>
      <c r="C57" s="93">
        <v>85349</v>
      </c>
      <c r="D57" s="93">
        <v>85550</v>
      </c>
      <c r="E57" s="93">
        <v>82043</v>
      </c>
      <c r="J57" s="74"/>
    </row>
    <row r="58" spans="2:10">
      <c r="B58" s="74" t="s">
        <v>64</v>
      </c>
      <c r="C58" s="93">
        <v>166834</v>
      </c>
      <c r="D58" s="93">
        <v>172588</v>
      </c>
      <c r="E58" s="93">
        <v>160121</v>
      </c>
      <c r="J58" s="74"/>
    </row>
    <row r="59" spans="2:10">
      <c r="B59" s="74" t="s">
        <v>65</v>
      </c>
      <c r="C59" s="93">
        <v>123888</v>
      </c>
      <c r="D59" s="93">
        <v>140861</v>
      </c>
      <c r="E59" s="93">
        <v>123550</v>
      </c>
      <c r="J59" s="74"/>
    </row>
    <row r="60" spans="2:10">
      <c r="B60" s="74" t="s">
        <v>66</v>
      </c>
      <c r="C60" s="93">
        <v>150001</v>
      </c>
      <c r="D60" s="93">
        <v>173729</v>
      </c>
      <c r="E60" s="93">
        <v>136640</v>
      </c>
      <c r="J60" s="74"/>
    </row>
    <row r="61" spans="2:10">
      <c r="B61" s="74" t="s">
        <v>67</v>
      </c>
      <c r="C61" s="93">
        <v>460852</v>
      </c>
      <c r="D61" s="93">
        <v>579582</v>
      </c>
      <c r="E61" s="93">
        <v>398837</v>
      </c>
      <c r="J61" s="74"/>
    </row>
    <row r="62" spans="2:10">
      <c r="B62" s="74" t="s">
        <v>68</v>
      </c>
      <c r="C62" s="93">
        <v>20789</v>
      </c>
      <c r="D62" s="93">
        <v>23728</v>
      </c>
      <c r="E62" s="93">
        <v>6378</v>
      </c>
      <c r="J62" s="74"/>
    </row>
    <row r="63" spans="2:10">
      <c r="B63" s="74" t="s">
        <v>78</v>
      </c>
      <c r="C63" s="93">
        <v>215139</v>
      </c>
      <c r="D63" s="93">
        <v>206474</v>
      </c>
      <c r="E63" s="93">
        <v>166763</v>
      </c>
      <c r="J63" s="74"/>
    </row>
    <row r="64" spans="2:10">
      <c r="B64" s="74" t="s">
        <v>77</v>
      </c>
      <c r="C64" s="93">
        <v>33745</v>
      </c>
      <c r="D64" s="93">
        <v>35937</v>
      </c>
      <c r="E64" s="93">
        <v>27781</v>
      </c>
      <c r="J64" s="74"/>
    </row>
    <row r="65" spans="2:10">
      <c r="B65" s="74" t="s">
        <v>76</v>
      </c>
      <c r="C65" s="93">
        <v>4178</v>
      </c>
      <c r="D65" s="93">
        <v>4567</v>
      </c>
      <c r="E65" s="93">
        <v>1219</v>
      </c>
      <c r="J65" s="74"/>
    </row>
    <row r="66" spans="2:10">
      <c r="B66" s="74" t="s">
        <v>75</v>
      </c>
      <c r="C66" s="93">
        <v>53119</v>
      </c>
      <c r="D66" s="93">
        <v>70420</v>
      </c>
      <c r="E66" s="93">
        <v>44735</v>
      </c>
      <c r="J66" s="74"/>
    </row>
    <row r="67" spans="2:10">
      <c r="B67" s="74" t="s">
        <v>74</v>
      </c>
      <c r="C67" s="93">
        <v>45782</v>
      </c>
      <c r="D67" s="93">
        <v>54071</v>
      </c>
      <c r="E67" s="93">
        <v>34278</v>
      </c>
      <c r="J67" s="74"/>
    </row>
    <row r="68" spans="2:10">
      <c r="B68" s="74" t="s">
        <v>73</v>
      </c>
      <c r="C68" s="93">
        <v>574493</v>
      </c>
      <c r="D68" s="93">
        <v>811753</v>
      </c>
      <c r="E68" s="93">
        <v>583525</v>
      </c>
      <c r="J68" s="74"/>
    </row>
    <row r="69" spans="2:10">
      <c r="B69" s="74" t="s">
        <v>72</v>
      </c>
      <c r="C69" s="93">
        <v>195898</v>
      </c>
      <c r="D69" s="93">
        <v>226366</v>
      </c>
      <c r="E69" s="93">
        <v>183992</v>
      </c>
      <c r="J69" s="74"/>
    </row>
    <row r="70" spans="2:10">
      <c r="B70" s="74" t="s">
        <v>71</v>
      </c>
      <c r="C70" s="93">
        <v>5340</v>
      </c>
      <c r="D70" s="93">
        <v>2354</v>
      </c>
      <c r="E70" s="93">
        <v>3490</v>
      </c>
      <c r="J70" s="74"/>
    </row>
    <row r="71" spans="2:10">
      <c r="B71" s="74" t="s">
        <v>70</v>
      </c>
      <c r="C71" s="93">
        <v>926</v>
      </c>
      <c r="D71" s="93">
        <v>55</v>
      </c>
      <c r="E71" s="93">
        <v>-21</v>
      </c>
      <c r="J71" s="74"/>
    </row>
    <row r="72" spans="2:10">
      <c r="B72" s="74" t="s">
        <v>69</v>
      </c>
      <c r="C72" s="93">
        <v>506285</v>
      </c>
      <c r="D72" s="93">
        <v>671963</v>
      </c>
      <c r="E72" s="93">
        <v>482067</v>
      </c>
      <c r="J72" s="74"/>
    </row>
    <row r="73" spans="2:10">
      <c r="J73" s="74"/>
    </row>
    <row r="74" spans="2:10">
      <c r="J74" s="74"/>
    </row>
    <row r="75" spans="2:10">
      <c r="J75" s="74"/>
    </row>
    <row r="76" spans="2:10">
      <c r="J76" s="74"/>
    </row>
    <row r="77" spans="2:10">
      <c r="J77" s="74"/>
    </row>
    <row r="78" spans="2:10">
      <c r="J78" s="74"/>
    </row>
    <row r="79" spans="2:10">
      <c r="J79" s="74"/>
    </row>
    <row r="80" spans="2:10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B4EFD04BD5E43A194CA89DCFF1C3E" ma:contentTypeVersion="48" ma:contentTypeDescription="" ma:contentTypeScope="" ma:versionID="64981fc25ff0ce7470faaabafd8d911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589A35-69E0-4A05-A320-54705ABDF718}"/>
</file>

<file path=customXml/itemProps2.xml><?xml version="1.0" encoding="utf-8"?>
<ds:datastoreItem xmlns:ds="http://schemas.openxmlformats.org/officeDocument/2006/customXml" ds:itemID="{0F8B319E-715E-4FF3-80BA-1A16FE5AB7E3}"/>
</file>

<file path=customXml/itemProps3.xml><?xml version="1.0" encoding="utf-8"?>
<ds:datastoreItem xmlns:ds="http://schemas.openxmlformats.org/officeDocument/2006/customXml" ds:itemID="{2A80B4A9-06C1-4DB3-BCE1-08A7256DB23B}"/>
</file>

<file path=customXml/itemProps4.xml><?xml version="1.0" encoding="utf-8"?>
<ds:datastoreItem xmlns:ds="http://schemas.openxmlformats.org/officeDocument/2006/customXml" ds:itemID="{FB159CE0-D6DC-435D-BD24-17F4CBC597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2009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2018-10-11T20:57:47Z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0x0101006E56B4D1795A2E4DB2F0B01679ED314A0057AB4EFD04BD5E43A194CA89DCFF1C3E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