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5" i="3"/>
  <c r="F6" i="3" l="1"/>
  <c r="F7" i="3"/>
  <c r="F8" i="3"/>
  <c r="F64" i="3" s="1"/>
  <c r="D19" i="1" s="1"/>
  <c r="G64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5" i="3"/>
  <c r="B20" i="4" l="1"/>
  <c r="D20" i="4"/>
  <c r="C8" i="4"/>
  <c r="B8" i="4"/>
  <c r="D8" i="4"/>
  <c r="C5" i="4"/>
  <c r="B5" i="4"/>
  <c r="D5" i="4"/>
  <c r="C4" i="4"/>
  <c r="B4" i="4"/>
  <c r="D4" i="4"/>
  <c r="B30" i="4" l="1"/>
  <c r="D29" i="4"/>
  <c r="B24" i="4"/>
  <c r="B22" i="4"/>
  <c r="C20" i="4" l="1"/>
  <c r="C6" i="4"/>
  <c r="D6" i="4" s="1"/>
  <c r="C7" i="4"/>
  <c r="D7" i="4" s="1"/>
  <c r="C9" i="4"/>
  <c r="D9" i="4" s="1"/>
  <c r="D10" i="4"/>
  <c r="P31" i="4" l="1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P27" i="4"/>
  <c r="V27" i="4" s="1"/>
  <c r="W27" i="4" s="1"/>
  <c r="M26" i="4"/>
  <c r="P26" i="4" s="1"/>
  <c r="V26" i="4" s="1"/>
  <c r="W26" i="4" s="1"/>
  <c r="G26" i="4"/>
  <c r="G27" i="4" s="1"/>
  <c r="G28" i="4" s="1"/>
  <c r="G29" i="4" s="1"/>
  <c r="G30" i="4" s="1"/>
  <c r="G31" i="4" s="1"/>
  <c r="V25" i="4"/>
  <c r="W25" i="4" s="1"/>
  <c r="P25" i="4"/>
  <c r="P23" i="4"/>
  <c r="V23" i="4" s="1"/>
  <c r="W23" i="4" s="1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E18" i="1" l="1"/>
  <c r="E19" i="1"/>
  <c r="D41" i="4"/>
  <c r="F18" i="1" l="1"/>
  <c r="C41" i="4"/>
  <c r="E3" i="3" s="1"/>
  <c r="F20" i="1" l="1"/>
  <c r="G20" i="1" s="1"/>
</calcChain>
</file>

<file path=xl/comments1.xml><?xml version="1.0" encoding="utf-8"?>
<comments xmlns="http://schemas.openxmlformats.org/spreadsheetml/2006/main">
  <authors>
    <author>jyl3501</author>
    <author>kkb4463</author>
    <author>kbb8737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uniknown per UTC request.</t>
        </r>
      </text>
    </comment>
    <comment ref="K21" authorId="1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1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1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1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2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<sst xmlns="http://schemas.openxmlformats.org/spreadsheetml/2006/main" count="360" uniqueCount="238">
  <si>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</si>
  <si>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</si>
  <si>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</si>
  <si>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</si>
  <si>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</si>
  <si>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</si>
  <si>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</si>
  <si>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</si>
  <si>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</si>
  <si>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</si>
  <si>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</si>
  <si>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</si>
  <si>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</si>
  <si>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</si>
  <si>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</si>
  <si>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</si>
  <si>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</si>
  <si>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</si>
  <si>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</si>
  <si>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</si>
  <si>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</si>
  <si>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</si>
  <si>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</si>
  <si>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</si>
  <si>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</si>
  <si>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</si>
  <si>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</si>
  <si>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</si>
  <si>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</si>
  <si>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</si>
  <si>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</si>
  <si>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</si>
  <si>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</si>
  <si>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</si>
  <si>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</si>
  <si>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</si>
  <si>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</si>
  <si>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</si>
  <si>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</si>
  <si>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</si>
  <si>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</si>
  <si>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</si>
  <si>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</si>
  <si>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</si>
  <si>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</si>
  <si>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</si>
  <si>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</si>
  <si>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</si>
  <si>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</si>
  <si>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</si>
  <si>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</si>
  <si>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</si>
  <si>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</si>
  <si>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</si>
  <si>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</si>
  <si>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</si>
  <si>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</si>
  <si>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</si>
  <si>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</si>
  <si>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</si>
  <si>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</si>
  <si>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</si>
  <si>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</si>
  <si>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</si>
  <si>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</si>
  <si>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</t>
  </si>
  <si>
    <t>Long Lake-Hydro</t>
  </si>
  <si>
    <t>Upper Falls-Hydro</t>
  </si>
  <si>
    <t>Cabinet Gorge-Hydro</t>
  </si>
  <si>
    <t>Noxon Rapids-Hydro</t>
  </si>
  <si>
    <t>Kettle Falls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</si>
  <si>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</si>
  <si>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</si>
  <si>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</si>
  <si>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</si>
  <si>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</si>
  <si>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</si>
  <si>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</si>
  <si>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</si>
  <si>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</si>
  <si>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</si>
  <si>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</si>
  <si>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</si>
  <si>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</si>
  <si>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</si>
  <si>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</si>
  <si>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</si>
  <si>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</si>
  <si>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</si>
  <si>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</si>
  <si>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</si>
  <si>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</si>
  <si>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</si>
  <si>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</si>
  <si>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</si>
  <si>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</si>
  <si>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</si>
  <si>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</si>
  <si>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</si>
  <si>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</si>
  <si>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</si>
  <si>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</si>
  <si>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</si>
  <si>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</si>
  <si>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</si>
  <si>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</si>
  <si>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</si>
  <si>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</si>
  <si>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</si>
  <si>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</si>
  <si>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</si>
  <si>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</si>
  <si>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</si>
  <si>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</si>
  <si>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</si>
  <si>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</si>
  <si>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</si>
  <si>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</si>
  <si>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</si>
  <si>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</si>
  <si>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</si>
  <si>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</si>
  <si>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</si>
  <si>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</si>
  <si>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</si>
  <si>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</si>
  <si>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</si>
  <si>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</si>
  <si>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</si>
  <si>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</si>
  <si>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Counter-Party</t>
  </si>
  <si>
    <t>Energy
Purchased
(MWh)</t>
  </si>
  <si>
    <t>Barclays Bank Plc</t>
  </si>
  <si>
    <t>Black Hills Power Inc.</t>
  </si>
  <si>
    <t>BNP Paribas Energy Trading</t>
  </si>
  <si>
    <t>BP Energy Co.</t>
  </si>
  <si>
    <t>Burbank (CA)</t>
  </si>
  <si>
    <t>Cargill Inc.</t>
  </si>
  <si>
    <t>Chelan County PUD No. 1</t>
  </si>
  <si>
    <t>Citigroup Energy Inc.</t>
  </si>
  <si>
    <t>Clark County PUD No. 1</t>
  </si>
  <si>
    <t>Clatskanie Peoples Util Dist</t>
  </si>
  <si>
    <t>DB Energy Trading</t>
  </si>
  <si>
    <t>EDF Trading Ltd.</t>
  </si>
  <si>
    <t>Engy Authrty</t>
  </si>
  <si>
    <t>Eugene City of</t>
  </si>
  <si>
    <t>Exelon Generation Company</t>
  </si>
  <si>
    <t>Grant County Public Utility</t>
  </si>
  <si>
    <t>Hinson Power Co. Inc</t>
  </si>
  <si>
    <t>Iberdrola Renewables LLC</t>
  </si>
  <si>
    <t>Idaho Power Co.</t>
  </si>
  <si>
    <t>Inland Power &amp; Light Co.</t>
  </si>
  <si>
    <t>J P Morgan Ventures Energy LLC</t>
  </si>
  <si>
    <t>Macquarie Energy LLC</t>
  </si>
  <si>
    <t>Morgan Stanley Capital Group</t>
  </si>
  <si>
    <t>NaturEner Power Watch</t>
  </si>
  <si>
    <t>Noble America's Gas and Power</t>
  </si>
  <si>
    <t>NorthPoint Energy Solutions</t>
  </si>
  <si>
    <t>NorthWestern Corp.</t>
  </si>
  <si>
    <t>Pacific Northwest Gen Coop</t>
  </si>
  <si>
    <t>PacifiCorp</t>
  </si>
  <si>
    <t>Portland General Electric Co.</t>
  </si>
  <si>
    <t>Powerex Corp.</t>
  </si>
  <si>
    <t>Public Service Co. of CO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</si>
  <si>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</si>
  <si>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</si>
  <si>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</si>
  <si>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</si>
  <si>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</si>
  <si>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</si>
  <si>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</si>
  <si>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San Diego Gas &amp; Electric Co.</t>
  </si>
  <si>
    <t>Seattle City Light</t>
  </si>
  <si>
    <t>Sempra Energy Trading</t>
  </si>
  <si>
    <t>Shell Energy North America US</t>
  </si>
  <si>
    <t>Sierra Pacific Power Co.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</si>
  <si>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</si>
  <si>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</si>
  <si>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</si>
  <si>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</si>
  <si>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</si>
  <si>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</si>
  <si>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</si>
  <si>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Western Area Power Admin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</si>
  <si>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</si>
  <si>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</si>
  <si>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</si>
  <si>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</si>
  <si>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</si>
  <si>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</si>
  <si>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</si>
  <si>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NOx (tons)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</si>
  <si>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</si>
  <si>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</si>
  <si>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</si>
  <si>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</si>
  <si>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</si>
  <si>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</si>
  <si>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Black Creek Hydro (PURPA Hydro)</t>
  </si>
  <si>
    <t>Bonneville Power Admin (Known)</t>
  </si>
  <si>
    <t>Chelan County PUD No 1 (Rocky Reach Hydro)</t>
  </si>
  <si>
    <t>Ford Electronics (PURPA Hydro)</t>
  </si>
  <si>
    <t>Grant County Public Utility (Priest Rapids Hydro)</t>
  </si>
  <si>
    <t>Hydro Technologies Inc (PURPA Hydro)</t>
  </si>
  <si>
    <t>J P Morgan Ventures Energy LLC (PPM Energy Stateline Wind PPA)</t>
  </si>
  <si>
    <t>Jim White (PURPA Hydro)</t>
  </si>
  <si>
    <t>John Day Hydro (PURPA Hydro)</t>
  </si>
  <si>
    <t>Phillips Ranch (PURPA Hydro)</t>
  </si>
  <si>
    <t>PUD No 1 of Douglas County (Wells Hydro)</t>
  </si>
  <si>
    <t>Sheep Creek Hydro Inc. (PURPA Hydro)</t>
  </si>
  <si>
    <t>Spokane City of (Upriver Hydro)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</si>
  <si>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</si>
  <si>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</si>
  <si>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</si>
  <si>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</si>
  <si>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</si>
  <si>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</si>
  <si>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</si>
  <si>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</si>
  <si>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</si>
  <si>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Energy
Sold
(MWh)</t>
  </si>
  <si>
    <t>Bonneville Power Admin</t>
  </si>
  <si>
    <t>ConocoPhillips Co.</t>
  </si>
  <si>
    <t>EDF Trading North America LLC</t>
  </si>
  <si>
    <t>J. Aron &amp; Co.</t>
  </si>
  <si>
    <t>JP Morgan Ventures Energy Corp</t>
  </si>
  <si>
    <t>Modesto Irrigation District</t>
  </si>
  <si>
    <t>NaturEner Power Watch LLC</t>
  </si>
  <si>
    <t>Revenue Adjustment</t>
  </si>
  <si>
    <t>Santa Clara City of</t>
  </si>
  <si>
    <t>Turlock Irrigation District</t>
  </si>
  <si>
    <t>Net Purchase</t>
  </si>
  <si>
    <t>Unknown Resources for Washington Customers</t>
  </si>
  <si>
    <t>Washington Department of Commerce Fuel Mix Disclosure =</t>
  </si>
  <si>
    <t>Avista =</t>
  </si>
  <si>
    <t>Net Unknown Purchases</t>
  </si>
  <si>
    <t>Tons CO2 Emissions from Purchases</t>
  </si>
  <si>
    <t>Net Lbs CO2 from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</si>
</sst>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  <xf numFmtId="0" fontId="11" fillId="0" borderId="0"/>
  </cellStyleXfs>
  <cellXfs count="170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0" fillId="3" borderId="2" xfId="0" applyFill="1" applyBorder="1" applyAlignment="1" applyProtection="1">
      <alignment horizontal="center" vertical="center"/>
      <protection locked="0"/>
    </xf>
    <xf numFmtId="167" fontId="10" fillId="3" borderId="2" xfId="0" applyNumberFormat="1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0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3" fillId="0" borderId="8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2" fontId="16" fillId="6" borderId="0" xfId="0" applyNumberFormat="1" applyFont="1" applyFill="1" applyBorder="1" applyAlignment="1" applyProtection="1">
      <alignment horizontal="center" vertical="center"/>
      <protection locked="0"/>
    </xf>
    <xf numFmtId="4" fontId="17" fillId="6" borderId="2" xfId="0" applyNumberFormat="1" applyFont="1" applyFill="1" applyBorder="1" applyAlignment="1" applyProtection="1">
      <alignment horizontal="center" vertical="center"/>
      <protection locked="0"/>
    </xf>
    <xf numFmtId="2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7" fillId="6" borderId="3" xfId="0" applyFont="1" applyFill="1" applyBorder="1" applyAlignment="1" applyProtection="1">
      <alignment horizontal="center" vertical="center" wrapText="1"/>
      <protection locked="0"/>
    </xf>
    <xf numFmtId="2" fontId="17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0" fontId="11" fillId="0" borderId="0" xfId="4" applyAlignment="1">
      <alignment horizontal="left"/>
    </xf>
    <xf numFmtId="171" fontId="11" fillId="0" borderId="0" xfId="4" applyNumberFormat="1" applyAlignment="1">
      <alignment horizontal="left"/>
    </xf>
    <xf numFmtId="172" fontId="11" fillId="0" borderId="0" xfId="4" applyNumberFormat="1" applyAlignment="1">
      <alignment horizontal="right"/>
    </xf>
    <xf numFmtId="173" fontId="11" fillId="0" borderId="0" xfId="4" applyNumberFormat="1" applyAlignment="1">
      <alignment horizontal="right"/>
    </xf>
    <xf numFmtId="43" fontId="0" fillId="2" borderId="2" xfId="1" applyNumberFormat="1" applyFont="1" applyFill="1" applyBorder="1"/>
    <xf numFmtId="0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11" fillId="0" borderId="0" xfId="6" applyAlignment="1">
      <alignment horizontal="left"/>
    </xf>
    <xf numFmtId="173" fontId="11" fillId="0" borderId="0" xfId="6" applyNumberFormat="1" applyAlignment="1">
      <alignment horizontal="right"/>
    </xf>
    <xf numFmtId="17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3" fillId="0" borderId="0" xfId="0" applyFont="1"/>
    <xf numFmtId="0" fontId="2" fillId="0" borderId="0" xfId="0" applyFont="1"/>
    <xf numFmtId="43" fontId="0" fillId="0" borderId="0" xfId="0" applyNumberFormat="1"/>
    <xf numFmtId="165" fontId="0" fillId="0" borderId="0" xfId="1" applyNumberFormat="1" applyFont="1"/>
    <xf numFmtId="0" fontId="0" fillId="0" borderId="0" xfId="0" applyAlignment="1">
      <alignment wrapText="1"/>
    </xf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43" fontId="0" fillId="0" borderId="0" xfId="1" applyFont="1"/>
    <xf numFmtId="43" fontId="2" fillId="0" borderId="0" xfId="1" applyFont="1" applyAlignment="1">
      <alignment horizontal="center" wrapText="1"/>
    </xf>
    <xf numFmtId="43" fontId="0" fillId="0" borderId="0" xfId="1" applyFont="1" applyAlignment="1">
      <alignment wrapText="1"/>
    </xf>
  </cellXfs>
  <cellStyles count="7">
    <cellStyle name="Comma" xfId="1" builtinId="3"/>
    <cellStyle name="Normal" xfId="0" builtinId="0"/>
    <cellStyle name="Normal 2" xfId="4"/>
    <cellStyle name="Normal 3" xfId="6"/>
    <cellStyle name="Percent" xfId="2" builtinId="5"/>
    <cellStyle name="Style 22" xfId="3"/>
    <cellStyle name="Style 2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18" sqref="D18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8</v>
      </c>
    </row>
    <row r="2" spans="1:7" ht="15.75" thickBot="1" x14ac:dyDescent="0.3"/>
    <row r="3" spans="1:7" x14ac:dyDescent="0.25">
      <c r="A3" s="55"/>
      <c r="B3" s="56" t="s">
        <v>12</v>
      </c>
      <c r="C3" s="57" t="s">
        <v>20</v>
      </c>
      <c r="D3" s="62"/>
      <c r="E3" s="60"/>
    </row>
    <row r="4" spans="1:7" x14ac:dyDescent="0.25">
      <c r="A4" s="156" t="s">
        <v>13</v>
      </c>
      <c r="B4" s="158"/>
      <c r="C4" s="32">
        <v>2011</v>
      </c>
      <c r="D4" s="65" t="s">
        <v>35</v>
      </c>
      <c r="E4" s="61"/>
    </row>
    <row r="5" spans="1:7" ht="15.75" thickBot="1" x14ac:dyDescent="0.3">
      <c r="A5" s="159" t="s">
        <v>18</v>
      </c>
      <c r="B5" s="160"/>
      <c r="C5" s="58">
        <v>511666</v>
      </c>
      <c r="D5" s="59">
        <f>+D13/C5</f>
        <v>10.927173195013935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32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17</v>
      </c>
      <c r="G8" s="48" t="s">
        <v>36</v>
      </c>
    </row>
    <row r="9" spans="1:7" x14ac:dyDescent="0.25">
      <c r="A9" s="38"/>
      <c r="B9" s="11"/>
      <c r="C9" s="11"/>
      <c r="D9" s="13" t="s">
        <v>11</v>
      </c>
      <c r="E9" s="25" t="s">
        <v>25</v>
      </c>
      <c r="F9" s="18" t="s">
        <v>31</v>
      </c>
      <c r="G9" s="49" t="s">
        <v>17</v>
      </c>
    </row>
    <row r="10" spans="1:7" x14ac:dyDescent="0.25">
      <c r="A10" s="156" t="s">
        <v>9</v>
      </c>
      <c r="B10" s="157"/>
      <c r="C10" s="158"/>
      <c r="D10" s="63">
        <v>2537453</v>
      </c>
      <c r="E10" s="12">
        <f>+D10/D13</f>
        <v>0.45384088857521371</v>
      </c>
      <c r="F10" s="34">
        <v>210923</v>
      </c>
      <c r="G10" s="50">
        <f>+D10/F10</f>
        <v>12.030233781996273</v>
      </c>
    </row>
    <row r="11" spans="1:7" x14ac:dyDescent="0.25">
      <c r="A11" s="156" t="s">
        <v>14</v>
      </c>
      <c r="B11" s="157"/>
      <c r="C11" s="158"/>
      <c r="D11" s="63">
        <v>2132349</v>
      </c>
      <c r="E11" s="12">
        <f>+D11/D13</f>
        <v>0.38138525715056332</v>
      </c>
      <c r="F11" s="27">
        <v>22985</v>
      </c>
      <c r="G11" s="50">
        <f>+D11/F11</f>
        <v>92.77132912769197</v>
      </c>
    </row>
    <row r="12" spans="1:7" x14ac:dyDescent="0.25">
      <c r="A12" s="156" t="s">
        <v>15</v>
      </c>
      <c r="B12" s="157"/>
      <c r="C12" s="158"/>
      <c r="D12" s="63">
        <v>921261</v>
      </c>
      <c r="E12" s="12">
        <f>+D12/D13</f>
        <v>0.16477385427422298</v>
      </c>
      <c r="F12" s="5"/>
      <c r="G12" s="39"/>
    </row>
    <row r="13" spans="1:7" ht="15.75" thickBot="1" x14ac:dyDescent="0.3">
      <c r="A13" s="40"/>
      <c r="B13" s="161" t="s">
        <v>10</v>
      </c>
      <c r="C13" s="160"/>
      <c r="D13" s="64">
        <f>SUM(D10:D12)</f>
        <v>5591063</v>
      </c>
      <c r="E13" s="41"/>
      <c r="F13" s="42"/>
      <c r="G13" s="43"/>
    </row>
    <row r="15" spans="1:7" ht="19.5" thickBot="1" x14ac:dyDescent="0.35">
      <c r="B15" s="54" t="s">
        <v>33</v>
      </c>
    </row>
    <row r="16" spans="1:7" x14ac:dyDescent="0.25">
      <c r="A16" s="35"/>
      <c r="B16" s="36"/>
      <c r="C16" s="36"/>
      <c r="D16" s="36"/>
      <c r="E16" s="37" t="s">
        <v>26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16</v>
      </c>
      <c r="E17" s="18" t="s">
        <v>27</v>
      </c>
      <c r="F17" s="14" t="s">
        <v>6</v>
      </c>
      <c r="G17" s="39"/>
    </row>
    <row r="18" spans="1:8" ht="15.75" thickBot="1" x14ac:dyDescent="0.3">
      <c r="A18" s="156" t="s">
        <v>29</v>
      </c>
      <c r="B18" s="157"/>
      <c r="C18" s="158"/>
      <c r="D18" s="6">
        <f>+'Known Resources'!B41*0.65</f>
        <v>6101237.3061250011</v>
      </c>
      <c r="E18" s="12">
        <f>+D18/(D18+D19)</f>
        <v>1.00578729689847</v>
      </c>
      <c r="F18" s="6">
        <f>+'Known Resources'!D41*0.65</f>
        <v>1500750.3343181966</v>
      </c>
      <c r="G18" s="39"/>
    </row>
    <row r="19" spans="1:8" ht="18" x14ac:dyDescent="0.35">
      <c r="A19" s="156" t="s">
        <v>30</v>
      </c>
      <c r="B19" s="157"/>
      <c r="C19" s="158"/>
      <c r="D19" s="51">
        <f>+'Unknown Resources'!F64*0.65</f>
        <v>-35106.5</v>
      </c>
      <c r="E19" s="52">
        <f>+D19/(D18+D19)</f>
        <v>-5.7872968984699113E-3</v>
      </c>
      <c r="F19" s="67">
        <f>+'Unknown Resources'!G64*0.65</f>
        <v>205726.12070590223</v>
      </c>
      <c r="G19" s="69" t="s">
        <v>34</v>
      </c>
    </row>
    <row r="20" spans="1:8" ht="18.75" thickBot="1" x14ac:dyDescent="0.4">
      <c r="A20" s="40"/>
      <c r="B20" s="42"/>
      <c r="C20" s="42"/>
      <c r="D20" s="66">
        <f>+C4</f>
        <v>2011</v>
      </c>
      <c r="E20" s="47" t="s">
        <v>2</v>
      </c>
      <c r="F20" s="68">
        <f>SUM(F18:F19)</f>
        <v>1706476.455024099</v>
      </c>
      <c r="G20" s="70">
        <f>+F20/G22</f>
        <v>1.5075452998869205</v>
      </c>
    </row>
    <row r="21" spans="1:8" ht="18" x14ac:dyDescent="0.35">
      <c r="A21" t="s">
        <v>212</v>
      </c>
    </row>
    <row r="22" spans="1:8" ht="18" x14ac:dyDescent="0.35">
      <c r="F22" s="17" t="s">
        <v>24</v>
      </c>
      <c r="G22" s="27">
        <v>1131957</v>
      </c>
      <c r="H22" s="24"/>
    </row>
    <row r="24" spans="1:8" x14ac:dyDescent="0.25">
      <c r="C24" s="24" t="s">
        <v>19</v>
      </c>
      <c r="F24" s="19"/>
      <c r="G24" s="19"/>
    </row>
    <row r="25" spans="1:8" x14ac:dyDescent="0.25">
      <c r="E25" s="19"/>
      <c r="F25" s="19"/>
      <c r="G25" s="22" t="s">
        <v>23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20</v>
      </c>
      <c r="G27" s="21">
        <v>1131957</v>
      </c>
    </row>
    <row r="28" spans="1:8" x14ac:dyDescent="0.25">
      <c r="E28" s="19"/>
      <c r="F28" s="20" t="s">
        <v>21</v>
      </c>
      <c r="G28" s="21">
        <v>2399078</v>
      </c>
    </row>
    <row r="29" spans="1:8" x14ac:dyDescent="0.25">
      <c r="E29" s="19"/>
      <c r="F29" s="20" t="s">
        <v>22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opLeftCell="A16" workbookViewId="0">
      <selection activeCell="B41" sqref="B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</cols>
  <sheetData>
    <row r="1" spans="1:21" ht="18.75" x14ac:dyDescent="0.3">
      <c r="A1" s="3" t="s">
        <v>7</v>
      </c>
      <c r="B1" s="31">
        <f>+Summary!C4</f>
        <v>2011</v>
      </c>
      <c r="L1" t="s">
        <v>184</v>
      </c>
      <c r="M1" t="s">
        <v>185</v>
      </c>
      <c r="N1" t="s">
        <v>186</v>
      </c>
      <c r="O1" t="s">
        <v>187</v>
      </c>
      <c r="P1" t="s">
        <v>188</v>
      </c>
      <c r="Q1" t="s">
        <v>189</v>
      </c>
      <c r="R1" t="s">
        <v>190</v>
      </c>
      <c r="S1" t="s">
        <v>213</v>
      </c>
      <c r="T1" t="s">
        <v>192</v>
      </c>
      <c r="U1" t="s">
        <v>193</v>
      </c>
    </row>
    <row r="2" spans="1:21" ht="18.75" x14ac:dyDescent="0.3">
      <c r="A2" s="3"/>
      <c r="B2" s="7" t="s">
        <v>28</v>
      </c>
      <c r="C2" s="7">
        <f>+Summary!C4</f>
        <v>2011</v>
      </c>
      <c r="D2" s="7" t="s">
        <v>3</v>
      </c>
      <c r="G2" s="71" t="s">
        <v>51</v>
      </c>
      <c r="H2" s="72">
        <v>222</v>
      </c>
      <c r="I2" s="71" t="s">
        <v>52</v>
      </c>
      <c r="J2" s="73">
        <v>1432719</v>
      </c>
      <c r="L2" t="s">
        <v>194</v>
      </c>
      <c r="M2" t="s">
        <v>214</v>
      </c>
      <c r="N2">
        <v>7456</v>
      </c>
      <c r="O2">
        <v>1</v>
      </c>
      <c r="Q2">
        <v>2011</v>
      </c>
      <c r="R2" t="s">
        <v>197</v>
      </c>
      <c r="S2">
        <v>5552.56</v>
      </c>
      <c r="T2">
        <v>3251.8980000000001</v>
      </c>
      <c r="U2">
        <v>54715.421999999999</v>
      </c>
    </row>
    <row r="3" spans="1:21" ht="19.5" x14ac:dyDescent="0.35">
      <c r="A3" s="4" t="s">
        <v>0</v>
      </c>
      <c r="B3" s="8">
        <f>+Summary!C4</f>
        <v>2011</v>
      </c>
      <c r="C3" s="8" t="s">
        <v>5</v>
      </c>
      <c r="D3" s="8" t="s">
        <v>6</v>
      </c>
      <c r="E3" s="2"/>
      <c r="G3" s="71" t="s">
        <v>53</v>
      </c>
      <c r="H3" s="72">
        <v>149</v>
      </c>
      <c r="I3" s="71" t="s">
        <v>54</v>
      </c>
      <c r="J3" s="73">
        <v>7784</v>
      </c>
      <c r="L3" t="s">
        <v>194</v>
      </c>
      <c r="M3" t="s">
        <v>214</v>
      </c>
      <c r="N3">
        <v>7456</v>
      </c>
      <c r="O3">
        <v>2</v>
      </c>
      <c r="Q3">
        <v>2011</v>
      </c>
      <c r="R3" t="s">
        <v>197</v>
      </c>
      <c r="S3">
        <v>3127.21</v>
      </c>
      <c r="T3">
        <v>1885.9670000000001</v>
      </c>
      <c r="U3">
        <v>31730.037</v>
      </c>
    </row>
    <row r="4" spans="1:21" x14ac:dyDescent="0.25">
      <c r="A4" s="26" t="s">
        <v>37</v>
      </c>
      <c r="B4" s="27">
        <f>0.15*(S5+S6)</f>
        <v>1551724.8825000001</v>
      </c>
      <c r="C4" s="142">
        <f>(D4*2000)/B4</f>
        <v>2127.8566191967989</v>
      </c>
      <c r="D4" s="6">
        <f>0.15*(T5+T6)</f>
        <v>1650924.0312000001</v>
      </c>
      <c r="G4" s="71" t="s">
        <v>55</v>
      </c>
      <c r="H4" s="72">
        <v>61.2</v>
      </c>
      <c r="I4" s="71" t="s">
        <v>54</v>
      </c>
      <c r="J4" s="73">
        <v>289</v>
      </c>
      <c r="L4" t="s">
        <v>194</v>
      </c>
      <c r="M4" t="s">
        <v>195</v>
      </c>
      <c r="N4">
        <v>55179</v>
      </c>
      <c r="O4" t="s">
        <v>196</v>
      </c>
      <c r="Q4">
        <v>2011</v>
      </c>
      <c r="R4" t="s">
        <v>197</v>
      </c>
      <c r="S4">
        <v>856393.73</v>
      </c>
      <c r="T4">
        <v>351146.48200000002</v>
      </c>
      <c r="U4">
        <v>5908687.3720000004</v>
      </c>
    </row>
    <row r="5" spans="1:21" x14ac:dyDescent="0.25">
      <c r="A5" s="28" t="s">
        <v>38</v>
      </c>
      <c r="B5" s="27">
        <f>S2+S3</f>
        <v>8679.77</v>
      </c>
      <c r="C5" s="142">
        <f>(D5*2000)/B5</f>
        <v>1183.8712316109759</v>
      </c>
      <c r="D5" s="6">
        <f>T2+T3</f>
        <v>5137.8649999999998</v>
      </c>
      <c r="G5" s="71" t="s">
        <v>56</v>
      </c>
      <c r="H5" s="72">
        <v>24</v>
      </c>
      <c r="I5" s="71" t="s">
        <v>54</v>
      </c>
      <c r="J5" s="73">
        <v>9088</v>
      </c>
      <c r="L5" t="s">
        <v>215</v>
      </c>
      <c r="M5" t="s">
        <v>216</v>
      </c>
      <c r="N5">
        <v>6076</v>
      </c>
      <c r="O5">
        <v>3</v>
      </c>
      <c r="Q5">
        <v>2011</v>
      </c>
      <c r="R5" t="s">
        <v>197</v>
      </c>
      <c r="S5">
        <v>4631160.95</v>
      </c>
      <c r="T5">
        <v>4845634.8849999998</v>
      </c>
      <c r="U5" s="145">
        <v>46201751.858999997</v>
      </c>
    </row>
    <row r="6" spans="1:21" x14ac:dyDescent="0.25">
      <c r="A6" s="28" t="s">
        <v>39</v>
      </c>
      <c r="B6" s="27">
        <v>289</v>
      </c>
      <c r="C6" s="142">
        <f t="shared" ref="C6:C9" si="0">(W28*2204.62262)/B6</f>
        <v>2505.4065103509956</v>
      </c>
      <c r="D6" s="6">
        <f t="shared" ref="D6:D10" si="1">(+B6*C6)/2000</f>
        <v>362.03124074571889</v>
      </c>
      <c r="G6" s="71" t="s">
        <v>57</v>
      </c>
      <c r="H6" s="72">
        <v>278.3</v>
      </c>
      <c r="I6" s="71" t="s">
        <v>54</v>
      </c>
      <c r="J6" s="73">
        <v>705060</v>
      </c>
      <c r="L6" t="s">
        <v>215</v>
      </c>
      <c r="M6" t="s">
        <v>216</v>
      </c>
      <c r="N6">
        <v>6076</v>
      </c>
      <c r="O6">
        <v>4</v>
      </c>
      <c r="Q6">
        <v>2011</v>
      </c>
      <c r="R6" t="s">
        <v>197</v>
      </c>
      <c r="S6">
        <v>5713671.5999999996</v>
      </c>
      <c r="T6">
        <v>6160525.3229999999</v>
      </c>
      <c r="U6" s="145">
        <v>58738772.439999998</v>
      </c>
    </row>
    <row r="7" spans="1:21" x14ac:dyDescent="0.25">
      <c r="A7" s="28" t="s">
        <v>40</v>
      </c>
      <c r="B7" s="27">
        <v>9088</v>
      </c>
      <c r="C7" s="142">
        <f t="shared" si="0"/>
        <v>1171.5363905633055</v>
      </c>
      <c r="D7" s="6">
        <f t="shared" si="1"/>
        <v>5323.46135871966</v>
      </c>
      <c r="G7" s="71" t="s">
        <v>58</v>
      </c>
      <c r="H7" s="72">
        <v>6.9</v>
      </c>
      <c r="I7" s="71" t="s">
        <v>54</v>
      </c>
      <c r="J7" s="74">
        <v>1375</v>
      </c>
      <c r="L7" t="s">
        <v>217</v>
      </c>
      <c r="M7" t="s">
        <v>218</v>
      </c>
      <c r="N7">
        <v>7350</v>
      </c>
      <c r="O7" t="s">
        <v>219</v>
      </c>
      <c r="Q7">
        <v>2011</v>
      </c>
      <c r="R7" t="s">
        <v>197</v>
      </c>
      <c r="S7">
        <v>719034.55</v>
      </c>
      <c r="T7">
        <v>294632.842</v>
      </c>
      <c r="U7">
        <v>4957788.49</v>
      </c>
    </row>
    <row r="8" spans="1:21" x14ac:dyDescent="0.25">
      <c r="A8" s="28" t="s">
        <v>41</v>
      </c>
      <c r="B8" s="27">
        <f>S7</f>
        <v>719034.55</v>
      </c>
      <c r="C8" s="142">
        <f>(D8*2000)/B8</f>
        <v>819.52346239829501</v>
      </c>
      <c r="D8" s="6">
        <f>T7</f>
        <v>294632.842</v>
      </c>
      <c r="G8" s="71" t="s">
        <v>59</v>
      </c>
      <c r="H8" s="75">
        <v>50</v>
      </c>
      <c r="I8" s="71" t="s">
        <v>60</v>
      </c>
      <c r="J8" s="73">
        <v>291651</v>
      </c>
    </row>
    <row r="9" spans="1:21" x14ac:dyDescent="0.25">
      <c r="A9" s="28" t="s">
        <v>42</v>
      </c>
      <c r="B9" s="27">
        <v>1375</v>
      </c>
      <c r="C9" s="142">
        <f t="shared" si="0"/>
        <v>1919.9351016369574</v>
      </c>
      <c r="D9" s="6">
        <f t="shared" si="1"/>
        <v>1319.9553823754081</v>
      </c>
      <c r="G9" s="71" t="s">
        <v>61</v>
      </c>
      <c r="H9" s="72">
        <v>15</v>
      </c>
      <c r="I9" s="71" t="s">
        <v>62</v>
      </c>
      <c r="J9" s="73">
        <v>109537</v>
      </c>
    </row>
    <row r="10" spans="1:21" x14ac:dyDescent="0.25">
      <c r="A10" s="28" t="s">
        <v>70</v>
      </c>
      <c r="B10" s="27">
        <v>291651</v>
      </c>
      <c r="C10" s="27">
        <v>0</v>
      </c>
      <c r="D10" s="6">
        <f t="shared" si="1"/>
        <v>0</v>
      </c>
      <c r="G10" s="76" t="s">
        <v>63</v>
      </c>
      <c r="H10" s="72">
        <v>18</v>
      </c>
      <c r="I10" s="71" t="s">
        <v>62</v>
      </c>
      <c r="J10" s="73">
        <v>90452</v>
      </c>
    </row>
    <row r="11" spans="1:21" x14ac:dyDescent="0.25">
      <c r="A11" s="28" t="s">
        <v>43</v>
      </c>
      <c r="B11" s="27">
        <v>109537</v>
      </c>
      <c r="C11" s="27">
        <v>0</v>
      </c>
      <c r="D11" s="6">
        <f t="shared" ref="D11:D40" si="2">(+B11*C11)/2000</f>
        <v>0</v>
      </c>
      <c r="G11" s="71" t="s">
        <v>64</v>
      </c>
      <c r="H11" s="72">
        <v>17.600000000000001</v>
      </c>
      <c r="I11" s="71" t="s">
        <v>62</v>
      </c>
      <c r="J11" s="73">
        <v>90046</v>
      </c>
    </row>
    <row r="12" spans="1:21" x14ac:dyDescent="0.25">
      <c r="A12" s="28" t="s">
        <v>44</v>
      </c>
      <c r="B12" s="27">
        <v>90452</v>
      </c>
      <c r="C12" s="27">
        <v>0</v>
      </c>
      <c r="D12" s="6">
        <f t="shared" si="2"/>
        <v>0</v>
      </c>
      <c r="G12" s="76" t="s">
        <v>65</v>
      </c>
      <c r="H12" s="72">
        <v>34.6</v>
      </c>
      <c r="I12" s="71" t="s">
        <v>62</v>
      </c>
      <c r="J12" s="73">
        <v>213284</v>
      </c>
    </row>
    <row r="13" spans="1:21" x14ac:dyDescent="0.25">
      <c r="A13" s="28" t="s">
        <v>45</v>
      </c>
      <c r="B13" s="27">
        <v>90046</v>
      </c>
      <c r="C13" s="27">
        <v>0</v>
      </c>
      <c r="D13" s="6">
        <f t="shared" si="2"/>
        <v>0</v>
      </c>
      <c r="G13" s="71" t="s">
        <v>66</v>
      </c>
      <c r="H13" s="72">
        <v>87</v>
      </c>
      <c r="I13" s="71" t="s">
        <v>62</v>
      </c>
      <c r="J13" s="73">
        <v>555565</v>
      </c>
    </row>
    <row r="14" spans="1:21" x14ac:dyDescent="0.25">
      <c r="A14" s="28" t="s">
        <v>46</v>
      </c>
      <c r="B14" s="27">
        <v>213284</v>
      </c>
      <c r="C14" s="27">
        <v>0</v>
      </c>
      <c r="D14" s="6">
        <f t="shared" si="2"/>
        <v>0</v>
      </c>
      <c r="G14" s="76" t="s">
        <v>67</v>
      </c>
      <c r="H14" s="72">
        <v>10.199999999999999</v>
      </c>
      <c r="I14" s="71" t="s">
        <v>62</v>
      </c>
      <c r="J14" s="73">
        <v>73289</v>
      </c>
    </row>
    <row r="15" spans="1:21" x14ac:dyDescent="0.25">
      <c r="A15" s="28" t="s">
        <v>47</v>
      </c>
      <c r="B15" s="27">
        <v>555565</v>
      </c>
      <c r="C15" s="27">
        <v>0</v>
      </c>
      <c r="D15" s="6">
        <f t="shared" si="2"/>
        <v>0</v>
      </c>
      <c r="G15" s="71" t="s">
        <v>68</v>
      </c>
      <c r="H15" s="72">
        <v>254.6</v>
      </c>
      <c r="I15" s="71" t="s">
        <v>62</v>
      </c>
      <c r="J15" s="73">
        <v>1292344</v>
      </c>
    </row>
    <row r="16" spans="1:21" x14ac:dyDescent="0.25">
      <c r="A16" s="28" t="s">
        <v>48</v>
      </c>
      <c r="B16" s="27">
        <v>73289</v>
      </c>
      <c r="C16" s="27">
        <v>0</v>
      </c>
      <c r="D16" s="6">
        <f t="shared" si="2"/>
        <v>0</v>
      </c>
      <c r="G16" s="71" t="s">
        <v>69</v>
      </c>
      <c r="H16" s="72">
        <v>562.4</v>
      </c>
      <c r="I16" s="71" t="s">
        <v>62</v>
      </c>
      <c r="J16" s="73">
        <v>2109683</v>
      </c>
    </row>
    <row r="17" spans="1:23" x14ac:dyDescent="0.25">
      <c r="A17" s="28" t="s">
        <v>49</v>
      </c>
      <c r="B17" s="27">
        <v>1292344</v>
      </c>
      <c r="C17" s="27">
        <v>0</v>
      </c>
      <c r="D17" s="6">
        <f t="shared" si="2"/>
        <v>0</v>
      </c>
    </row>
    <row r="18" spans="1:23" x14ac:dyDescent="0.25">
      <c r="A18" s="28" t="s">
        <v>50</v>
      </c>
      <c r="B18" s="27">
        <v>2109683</v>
      </c>
      <c r="C18" s="27">
        <v>0</v>
      </c>
      <c r="D18" s="6">
        <f t="shared" si="2"/>
        <v>0</v>
      </c>
    </row>
    <row r="19" spans="1:23" ht="15.75" x14ac:dyDescent="0.25">
      <c r="A19" s="28" t="s">
        <v>198</v>
      </c>
      <c r="B19" s="27">
        <v>6566</v>
      </c>
      <c r="C19" s="27">
        <v>0</v>
      </c>
      <c r="D19" s="6">
        <f t="shared" si="2"/>
        <v>0</v>
      </c>
      <c r="G19" s="77" t="s">
        <v>71</v>
      </c>
      <c r="H19" s="78"/>
      <c r="I19" s="79"/>
      <c r="J19" s="79"/>
      <c r="K19" s="162" t="s">
        <v>72</v>
      </c>
      <c r="L19" s="163"/>
      <c r="M19" s="162" t="s">
        <v>73</v>
      </c>
      <c r="N19" s="164"/>
      <c r="O19" s="164"/>
      <c r="P19" s="164"/>
      <c r="Q19" s="163"/>
      <c r="R19" s="162" t="s">
        <v>74</v>
      </c>
      <c r="S19" s="164"/>
      <c r="T19" s="80" t="s">
        <v>75</v>
      </c>
      <c r="U19" s="80" t="s">
        <v>76</v>
      </c>
      <c r="V19" s="162" t="s">
        <v>77</v>
      </c>
      <c r="W19" s="163"/>
    </row>
    <row r="20" spans="1:23" ht="15.75" x14ac:dyDescent="0.25">
      <c r="A20" s="28" t="s">
        <v>170</v>
      </c>
      <c r="B20" s="27">
        <f>S4</f>
        <v>856393.73</v>
      </c>
      <c r="C20" s="143">
        <f>(O35*2000)/B20</f>
        <v>820.05850743442511</v>
      </c>
      <c r="D20" s="6">
        <f>T4</f>
        <v>351146.48200000002</v>
      </c>
      <c r="E20" s="141"/>
      <c r="G20" s="81" t="s">
        <v>78</v>
      </c>
      <c r="H20" s="82">
        <v>2011</v>
      </c>
      <c r="I20" s="79"/>
      <c r="J20" s="83"/>
      <c r="K20" s="84" t="s">
        <v>79</v>
      </c>
      <c r="L20" s="84" t="s">
        <v>80</v>
      </c>
      <c r="M20" s="85" t="s">
        <v>81</v>
      </c>
      <c r="N20" s="86" t="s">
        <v>82</v>
      </c>
      <c r="O20" s="85" t="s">
        <v>83</v>
      </c>
      <c r="P20" s="85" t="s">
        <v>84</v>
      </c>
      <c r="Q20" s="85" t="s">
        <v>85</v>
      </c>
      <c r="R20" s="86" t="s">
        <v>86</v>
      </c>
      <c r="S20" s="86" t="s">
        <v>87</v>
      </c>
      <c r="T20" s="87" t="s">
        <v>88</v>
      </c>
      <c r="U20" s="87" t="s">
        <v>89</v>
      </c>
      <c r="V20" s="87" t="s">
        <v>90</v>
      </c>
      <c r="W20" s="88" t="s">
        <v>91</v>
      </c>
    </row>
    <row r="21" spans="1:23" ht="75.75" x14ac:dyDescent="0.25">
      <c r="A21" s="28" t="s">
        <v>199</v>
      </c>
      <c r="B21" s="27">
        <v>0</v>
      </c>
      <c r="C21" s="27">
        <v>0</v>
      </c>
      <c r="D21" s="6">
        <f t="shared" si="2"/>
        <v>0</v>
      </c>
      <c r="G21" s="89"/>
      <c r="H21" s="90"/>
      <c r="I21" s="91"/>
      <c r="J21" s="92"/>
      <c r="K21" s="93" t="s">
        <v>92</v>
      </c>
      <c r="L21" s="93" t="s">
        <v>93</v>
      </c>
      <c r="M21" s="93" t="s">
        <v>94</v>
      </c>
      <c r="N21" s="93" t="s">
        <v>95</v>
      </c>
      <c r="O21" s="93" t="s">
        <v>96</v>
      </c>
      <c r="P21" s="93" t="s">
        <v>97</v>
      </c>
      <c r="Q21" s="93" t="s">
        <v>98</v>
      </c>
      <c r="R21" s="94" t="s">
        <v>99</v>
      </c>
      <c r="S21" s="94" t="s">
        <v>100</v>
      </c>
      <c r="T21" s="94" t="s">
        <v>101</v>
      </c>
      <c r="U21" s="94" t="s">
        <v>102</v>
      </c>
      <c r="V21" s="94" t="s">
        <v>103</v>
      </c>
      <c r="W21" s="95" t="s">
        <v>104</v>
      </c>
    </row>
    <row r="22" spans="1:23" ht="45" x14ac:dyDescent="0.25">
      <c r="A22" s="28" t="s">
        <v>200</v>
      </c>
      <c r="B22" s="27">
        <f>191584+131241</f>
        <v>322825</v>
      </c>
      <c r="C22" s="27">
        <v>0</v>
      </c>
      <c r="D22" s="6">
        <f t="shared" si="2"/>
        <v>0</v>
      </c>
      <c r="G22" s="96"/>
      <c r="H22" s="78"/>
      <c r="I22" s="97"/>
      <c r="J22" s="83"/>
      <c r="K22" s="98"/>
      <c r="L22" s="98"/>
      <c r="M22" s="98"/>
      <c r="N22" s="98"/>
      <c r="O22" s="99" t="s">
        <v>105</v>
      </c>
      <c r="P22" s="99" t="s">
        <v>106</v>
      </c>
      <c r="Q22" s="99"/>
      <c r="R22" s="100"/>
      <c r="S22" s="100"/>
      <c r="T22" s="101"/>
      <c r="U22" s="101"/>
      <c r="V22" s="95" t="s">
        <v>107</v>
      </c>
      <c r="W22" s="102" t="s">
        <v>108</v>
      </c>
    </row>
    <row r="23" spans="1:23" x14ac:dyDescent="0.25">
      <c r="A23" s="28" t="s">
        <v>201</v>
      </c>
      <c r="B23" s="27">
        <v>4693</v>
      </c>
      <c r="C23" s="27">
        <v>0</v>
      </c>
      <c r="D23" s="6">
        <f t="shared" si="2"/>
        <v>0</v>
      </c>
      <c r="G23" s="103">
        <v>0</v>
      </c>
      <c r="H23" s="104" t="s">
        <v>109</v>
      </c>
      <c r="I23" s="105" t="s">
        <v>54</v>
      </c>
      <c r="J23" s="106">
        <v>0.5</v>
      </c>
      <c r="K23" s="107">
        <v>1000</v>
      </c>
      <c r="L23" s="108" t="s">
        <v>110</v>
      </c>
      <c r="M23" s="109">
        <v>5.0999999999999997E-2</v>
      </c>
      <c r="N23" s="110" t="s">
        <v>111</v>
      </c>
      <c r="O23" s="108" t="s">
        <v>112</v>
      </c>
      <c r="P23" s="107">
        <f>K23*M23</f>
        <v>51</v>
      </c>
      <c r="Q23" s="111" t="s">
        <v>113</v>
      </c>
      <c r="R23" s="112">
        <v>14</v>
      </c>
      <c r="S23" s="108" t="s">
        <v>114</v>
      </c>
      <c r="T23" s="113">
        <v>1</v>
      </c>
      <c r="U23" s="114">
        <v>1</v>
      </c>
      <c r="V23" s="115">
        <f>+P23*R23*T23*U23*3.66666666666667</f>
        <v>2618.0000000000023</v>
      </c>
      <c r="W23" s="116">
        <f>V23/1000</f>
        <v>2.6180000000000021</v>
      </c>
    </row>
    <row r="24" spans="1:23" x14ac:dyDescent="0.25">
      <c r="A24" s="28" t="s">
        <v>202</v>
      </c>
      <c r="B24" s="27">
        <f>151146+361969</f>
        <v>513115</v>
      </c>
      <c r="C24" s="27">
        <v>0</v>
      </c>
      <c r="D24" s="6">
        <f t="shared" si="2"/>
        <v>0</v>
      </c>
      <c r="G24" s="117" t="s">
        <v>115</v>
      </c>
      <c r="H24" s="117" t="s">
        <v>116</v>
      </c>
      <c r="I24" s="118" t="s">
        <v>117</v>
      </c>
      <c r="J24" s="118" t="s">
        <v>118</v>
      </c>
      <c r="K24" s="119"/>
      <c r="L24" s="120"/>
      <c r="M24" s="120"/>
      <c r="N24" s="120"/>
      <c r="O24" s="120"/>
      <c r="P24" s="120"/>
      <c r="Q24" s="120"/>
      <c r="R24" s="121"/>
      <c r="S24" s="122"/>
      <c r="T24" s="123"/>
      <c r="U24" s="123"/>
      <c r="V24" s="123"/>
      <c r="W24" s="120"/>
    </row>
    <row r="25" spans="1:23" ht="30" x14ac:dyDescent="0.25">
      <c r="A25" s="28" t="s">
        <v>203</v>
      </c>
      <c r="B25" s="27">
        <v>10115</v>
      </c>
      <c r="C25" s="27">
        <v>0</v>
      </c>
      <c r="D25" s="6">
        <f t="shared" si="2"/>
        <v>0</v>
      </c>
      <c r="G25" s="124">
        <v>1</v>
      </c>
      <c r="H25" s="71" t="s">
        <v>37</v>
      </c>
      <c r="I25" s="71" t="s">
        <v>52</v>
      </c>
      <c r="J25" s="125">
        <v>0.15</v>
      </c>
      <c r="K25" s="126">
        <v>898632.6</v>
      </c>
      <c r="L25" s="127" t="s">
        <v>119</v>
      </c>
      <c r="M25" s="128">
        <v>17.024999999999999</v>
      </c>
      <c r="N25" s="127" t="s">
        <v>120</v>
      </c>
      <c r="O25" s="127" t="s">
        <v>112</v>
      </c>
      <c r="P25" s="129">
        <f>K25*M25</f>
        <v>15299220.014999999</v>
      </c>
      <c r="Q25" s="130" t="s">
        <v>121</v>
      </c>
      <c r="R25" s="131">
        <v>93.4</v>
      </c>
      <c r="S25" s="130" t="s">
        <v>122</v>
      </c>
      <c r="T25" s="132">
        <v>0.98</v>
      </c>
      <c r="U25" s="133">
        <v>1</v>
      </c>
      <c r="V25" s="134">
        <f t="shared" ref="V25:V31" si="3">+P25*R25*T25*U25</f>
        <v>1400368206.4129801</v>
      </c>
      <c r="W25" s="134">
        <f t="shared" ref="W25:W31" si="4">V25/1000</f>
        <v>1400368.2064129801</v>
      </c>
    </row>
    <row r="26" spans="1:23" ht="25.5" x14ac:dyDescent="0.25">
      <c r="A26" s="28" t="s">
        <v>204</v>
      </c>
      <c r="B26" s="27">
        <v>86322</v>
      </c>
      <c r="C26" s="27">
        <v>0</v>
      </c>
      <c r="D26" s="6">
        <f t="shared" si="2"/>
        <v>0</v>
      </c>
      <c r="G26" s="124">
        <f t="shared" ref="G26:G31" si="5">G25+1</f>
        <v>2</v>
      </c>
      <c r="H26" s="71" t="s">
        <v>37</v>
      </c>
      <c r="I26" s="71" t="s">
        <v>123</v>
      </c>
      <c r="J26" s="135">
        <v>0.15</v>
      </c>
      <c r="K26" s="126">
        <v>2445</v>
      </c>
      <c r="L26" s="127" t="s">
        <v>124</v>
      </c>
      <c r="M26" s="131">
        <f>140000*42/1000000</f>
        <v>5.88</v>
      </c>
      <c r="N26" s="136" t="s">
        <v>125</v>
      </c>
      <c r="O26" s="127" t="s">
        <v>112</v>
      </c>
      <c r="P26" s="129">
        <f>(K26*M26)</f>
        <v>14376.6</v>
      </c>
      <c r="Q26" s="130" t="s">
        <v>121</v>
      </c>
      <c r="R26" s="131">
        <v>73.959999999999994</v>
      </c>
      <c r="S26" s="130" t="s">
        <v>122</v>
      </c>
      <c r="T26" s="132">
        <v>0.99</v>
      </c>
      <c r="U26" s="133">
        <v>1</v>
      </c>
      <c r="V26" s="134">
        <f t="shared" si="3"/>
        <v>1052660.40264</v>
      </c>
      <c r="W26" s="134">
        <f t="shared" si="4"/>
        <v>1052.66040264</v>
      </c>
    </row>
    <row r="27" spans="1:23" x14ac:dyDescent="0.25">
      <c r="A27" s="28" t="s">
        <v>205</v>
      </c>
      <c r="B27" s="27">
        <v>1381</v>
      </c>
      <c r="C27" s="27">
        <v>0</v>
      </c>
      <c r="D27" s="6">
        <f t="shared" si="2"/>
        <v>0</v>
      </c>
      <c r="G27" s="124">
        <f t="shared" si="5"/>
        <v>3</v>
      </c>
      <c r="H27" s="71" t="s">
        <v>126</v>
      </c>
      <c r="I27" s="71" t="s">
        <v>54</v>
      </c>
      <c r="J27" s="135">
        <v>1</v>
      </c>
      <c r="K27" s="131">
        <v>101.43</v>
      </c>
      <c r="L27" s="127" t="s">
        <v>127</v>
      </c>
      <c r="M27" s="137">
        <v>1028</v>
      </c>
      <c r="N27" s="127" t="s">
        <v>128</v>
      </c>
      <c r="O27" s="127" t="s">
        <v>112</v>
      </c>
      <c r="P27" s="129">
        <f t="shared" ref="P27:P31" si="6">K27*M27</f>
        <v>104270.04000000001</v>
      </c>
      <c r="Q27" s="130" t="s">
        <v>121</v>
      </c>
      <c r="R27" s="131">
        <v>53.02</v>
      </c>
      <c r="S27" s="130" t="s">
        <v>122</v>
      </c>
      <c r="T27" s="132">
        <v>0.995</v>
      </c>
      <c r="U27" s="133">
        <v>1</v>
      </c>
      <c r="V27" s="134">
        <f t="shared" si="3"/>
        <v>5500755.5331960013</v>
      </c>
      <c r="W27" s="134">
        <f t="shared" si="4"/>
        <v>5500.7555331960011</v>
      </c>
    </row>
    <row r="28" spans="1:23" x14ac:dyDescent="0.25">
      <c r="A28" s="28" t="s">
        <v>206</v>
      </c>
      <c r="B28" s="27">
        <v>2522</v>
      </c>
      <c r="C28" s="27">
        <v>0</v>
      </c>
      <c r="D28" s="6">
        <f t="shared" si="2"/>
        <v>0</v>
      </c>
      <c r="G28" s="124">
        <f t="shared" si="5"/>
        <v>4</v>
      </c>
      <c r="H28" s="71" t="s">
        <v>129</v>
      </c>
      <c r="I28" s="71" t="s">
        <v>54</v>
      </c>
      <c r="J28" s="135">
        <v>1</v>
      </c>
      <c r="K28" s="131">
        <v>6.056</v>
      </c>
      <c r="L28" s="127" t="s">
        <v>127</v>
      </c>
      <c r="M28" s="137">
        <v>1028</v>
      </c>
      <c r="N28" s="127" t="s">
        <v>128</v>
      </c>
      <c r="O28" s="127" t="s">
        <v>112</v>
      </c>
      <c r="P28" s="129">
        <f t="shared" si="6"/>
        <v>6225.5680000000002</v>
      </c>
      <c r="Q28" s="130" t="s">
        <v>121</v>
      </c>
      <c r="R28" s="131">
        <v>53.02</v>
      </c>
      <c r="S28" s="130" t="s">
        <v>122</v>
      </c>
      <c r="T28" s="132">
        <v>0.995</v>
      </c>
      <c r="U28" s="133">
        <v>1</v>
      </c>
      <c r="V28" s="134">
        <f t="shared" si="3"/>
        <v>328429.21728320007</v>
      </c>
      <c r="W28" s="134">
        <f t="shared" si="4"/>
        <v>328.42921728320005</v>
      </c>
    </row>
    <row r="29" spans="1:23" x14ac:dyDescent="0.25">
      <c r="A29" s="28" t="s">
        <v>207</v>
      </c>
      <c r="B29" s="27">
        <v>51</v>
      </c>
      <c r="C29" s="27">
        <v>0</v>
      </c>
      <c r="D29" s="6">
        <f t="shared" si="2"/>
        <v>0</v>
      </c>
      <c r="G29" s="124">
        <f t="shared" si="5"/>
        <v>5</v>
      </c>
      <c r="H29" s="71" t="s">
        <v>40</v>
      </c>
      <c r="I29" s="71" t="s">
        <v>54</v>
      </c>
      <c r="J29" s="135">
        <v>1</v>
      </c>
      <c r="K29" s="131">
        <v>89.05</v>
      </c>
      <c r="L29" s="127" t="s">
        <v>127</v>
      </c>
      <c r="M29" s="137">
        <v>1028</v>
      </c>
      <c r="N29" s="127" t="s">
        <v>128</v>
      </c>
      <c r="O29" s="127" t="s">
        <v>112</v>
      </c>
      <c r="P29" s="129">
        <f t="shared" si="6"/>
        <v>91543.4</v>
      </c>
      <c r="Q29" s="130" t="s">
        <v>121</v>
      </c>
      <c r="R29" s="131">
        <v>53.02</v>
      </c>
      <c r="S29" s="130" t="s">
        <v>122</v>
      </c>
      <c r="T29" s="132">
        <v>0.995</v>
      </c>
      <c r="U29" s="133">
        <v>1</v>
      </c>
      <c r="V29" s="134">
        <f t="shared" si="3"/>
        <v>4829362.9126599999</v>
      </c>
      <c r="W29" s="134">
        <f t="shared" si="4"/>
        <v>4829.3629126599999</v>
      </c>
    </row>
    <row r="30" spans="1:23" x14ac:dyDescent="0.25">
      <c r="A30" s="28" t="s">
        <v>208</v>
      </c>
      <c r="B30" s="27">
        <f>139355+35258+187768</f>
        <v>362381</v>
      </c>
      <c r="C30" s="27">
        <v>0</v>
      </c>
      <c r="D30" s="6">
        <f t="shared" si="2"/>
        <v>0</v>
      </c>
      <c r="G30" s="124">
        <f t="shared" si="5"/>
        <v>6</v>
      </c>
      <c r="H30" s="71" t="s">
        <v>41</v>
      </c>
      <c r="I30" s="71" t="s">
        <v>54</v>
      </c>
      <c r="J30" s="135">
        <v>1</v>
      </c>
      <c r="K30" s="131">
        <v>4827.5807392996103</v>
      </c>
      <c r="L30" s="127" t="s">
        <v>127</v>
      </c>
      <c r="M30" s="137">
        <v>1028</v>
      </c>
      <c r="N30" s="127" t="s">
        <v>128</v>
      </c>
      <c r="O30" s="127" t="s">
        <v>112</v>
      </c>
      <c r="P30" s="129">
        <f t="shared" si="6"/>
        <v>4962752.9999999991</v>
      </c>
      <c r="Q30" s="130" t="s">
        <v>121</v>
      </c>
      <c r="R30" s="131">
        <v>53.02</v>
      </c>
      <c r="S30" s="130" t="s">
        <v>122</v>
      </c>
      <c r="T30" s="132">
        <v>0.995</v>
      </c>
      <c r="U30" s="133">
        <v>1</v>
      </c>
      <c r="V30" s="134">
        <f t="shared" si="3"/>
        <v>261809538.23969996</v>
      </c>
      <c r="W30" s="134">
        <f t="shared" si="4"/>
        <v>261809.53823969996</v>
      </c>
    </row>
    <row r="31" spans="1:23" x14ac:dyDescent="0.25">
      <c r="A31" s="28" t="s">
        <v>209</v>
      </c>
      <c r="B31" s="27">
        <v>7556</v>
      </c>
      <c r="C31" s="27">
        <v>0</v>
      </c>
      <c r="D31" s="6">
        <f t="shared" si="2"/>
        <v>0</v>
      </c>
      <c r="G31" s="124">
        <f t="shared" si="5"/>
        <v>7</v>
      </c>
      <c r="H31" s="71" t="s">
        <v>42</v>
      </c>
      <c r="I31" s="71" t="s">
        <v>54</v>
      </c>
      <c r="J31" s="135">
        <v>1</v>
      </c>
      <c r="K31" s="131">
        <v>22.08</v>
      </c>
      <c r="L31" s="127" t="s">
        <v>127</v>
      </c>
      <c r="M31" s="137">
        <v>1028</v>
      </c>
      <c r="N31" s="127" t="s">
        <v>128</v>
      </c>
      <c r="O31" s="127" t="s">
        <v>112</v>
      </c>
      <c r="P31" s="129">
        <f t="shared" si="6"/>
        <v>22698.239999999998</v>
      </c>
      <c r="Q31" s="130" t="s">
        <v>121</v>
      </c>
      <c r="R31" s="131">
        <v>53.02</v>
      </c>
      <c r="S31" s="130" t="s">
        <v>122</v>
      </c>
      <c r="T31" s="132">
        <v>0.995</v>
      </c>
      <c r="U31" s="133">
        <v>1</v>
      </c>
      <c r="V31" s="134">
        <f t="shared" si="3"/>
        <v>1197443.3813759999</v>
      </c>
      <c r="W31" s="134">
        <f t="shared" si="4"/>
        <v>1197.4433813759999</v>
      </c>
    </row>
    <row r="32" spans="1:23" x14ac:dyDescent="0.25">
      <c r="A32" s="28" t="s">
        <v>210</v>
      </c>
      <c r="B32" s="27">
        <v>60332</v>
      </c>
      <c r="C32" s="27">
        <v>0</v>
      </c>
      <c r="D32" s="6">
        <f t="shared" si="2"/>
        <v>0</v>
      </c>
    </row>
    <row r="33" spans="1:16" x14ac:dyDescent="0.25">
      <c r="A33" s="28" t="s">
        <v>211</v>
      </c>
      <c r="B33" s="27">
        <v>36224</v>
      </c>
      <c r="C33" s="27">
        <v>0</v>
      </c>
      <c r="D33" s="6">
        <f t="shared" si="2"/>
        <v>0</v>
      </c>
    </row>
    <row r="34" spans="1:16" x14ac:dyDescent="0.25">
      <c r="A34" s="28"/>
      <c r="B34" s="27"/>
      <c r="C34" s="27"/>
      <c r="D34" s="6">
        <f t="shared" si="2"/>
        <v>0</v>
      </c>
      <c r="G34" t="s">
        <v>184</v>
      </c>
      <c r="H34" t="s">
        <v>185</v>
      </c>
      <c r="I34" t="s">
        <v>186</v>
      </c>
      <c r="J34" t="s">
        <v>187</v>
      </c>
      <c r="K34" t="s">
        <v>188</v>
      </c>
      <c r="L34" t="s">
        <v>189</v>
      </c>
      <c r="M34" t="s">
        <v>190</v>
      </c>
      <c r="N34" t="s">
        <v>191</v>
      </c>
      <c r="O34" t="s">
        <v>192</v>
      </c>
      <c r="P34" t="s">
        <v>193</v>
      </c>
    </row>
    <row r="35" spans="1:16" x14ac:dyDescent="0.25">
      <c r="A35" s="28"/>
      <c r="B35" s="27"/>
      <c r="C35" s="27"/>
      <c r="D35" s="6">
        <f t="shared" si="2"/>
        <v>0</v>
      </c>
      <c r="G35" t="s">
        <v>194</v>
      </c>
      <c r="H35" t="s">
        <v>195</v>
      </c>
      <c r="I35">
        <v>55179</v>
      </c>
      <c r="J35" t="s">
        <v>196</v>
      </c>
      <c r="L35">
        <v>2011</v>
      </c>
      <c r="M35" t="s">
        <v>197</v>
      </c>
      <c r="N35">
        <v>51.323999999999998</v>
      </c>
      <c r="O35">
        <v>351146.48200000002</v>
      </c>
      <c r="P35">
        <v>5908687.3720000004</v>
      </c>
    </row>
    <row r="36" spans="1:16" x14ac:dyDescent="0.25">
      <c r="A36" s="28"/>
      <c r="B36" s="27"/>
      <c r="C36" s="27"/>
      <c r="D36" s="6">
        <f t="shared" si="2"/>
        <v>0</v>
      </c>
    </row>
    <row r="37" spans="1:16" x14ac:dyDescent="0.25">
      <c r="A37" s="28"/>
      <c r="B37" s="27"/>
      <c r="C37" s="27"/>
      <c r="D37" s="6">
        <f t="shared" si="2"/>
        <v>0</v>
      </c>
      <c r="F37" s="138"/>
      <c r="G37" s="138"/>
      <c r="H37" s="139"/>
      <c r="I37" s="140"/>
      <c r="J37" s="140"/>
      <c r="K37" s="141"/>
    </row>
    <row r="38" spans="1:16" x14ac:dyDescent="0.25">
      <c r="A38" s="28"/>
      <c r="B38" s="27"/>
      <c r="C38" s="27"/>
      <c r="D38" s="6">
        <f t="shared" si="2"/>
        <v>0</v>
      </c>
      <c r="F38" s="138"/>
      <c r="G38" s="138"/>
      <c r="H38" s="139"/>
      <c r="I38" s="140"/>
      <c r="J38" s="140"/>
      <c r="K38" s="141"/>
    </row>
    <row r="39" spans="1:16" x14ac:dyDescent="0.25">
      <c r="A39" s="28"/>
      <c r="B39" s="27"/>
      <c r="C39" s="27"/>
      <c r="D39" s="6">
        <f t="shared" si="2"/>
        <v>0</v>
      </c>
      <c r="F39" s="138"/>
      <c r="G39" s="138"/>
      <c r="H39" s="139"/>
      <c r="I39" s="140"/>
      <c r="J39" s="140"/>
      <c r="K39" s="141"/>
    </row>
    <row r="40" spans="1:16" ht="15.75" thickBot="1" x14ac:dyDescent="0.3">
      <c r="A40" s="29"/>
      <c r="B40" s="30"/>
      <c r="C40" s="30"/>
      <c r="D40" s="9">
        <f t="shared" si="2"/>
        <v>0</v>
      </c>
      <c r="F40" s="138"/>
      <c r="G40" s="138"/>
      <c r="H40" s="139"/>
      <c r="I40" s="140"/>
      <c r="J40" s="140"/>
      <c r="K40" s="141"/>
    </row>
    <row r="41" spans="1:16" ht="16.5" thickTop="1" thickBot="1" x14ac:dyDescent="0.3">
      <c r="A41" s="1"/>
      <c r="B41" s="10">
        <f>SUM(B4:B40)</f>
        <v>9386518.932500001</v>
      </c>
      <c r="C41" s="144">
        <f>(D41*2000)/B41</f>
        <v>491.94950434450436</v>
      </c>
      <c r="D41" s="10">
        <f>SUM(D4:D40)</f>
        <v>2308846.6681818408</v>
      </c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opLeftCell="A38" workbookViewId="0">
      <selection activeCell="G64" sqref="G64"/>
    </sheetView>
  </sheetViews>
  <sheetFormatPr defaultRowHeight="15" x14ac:dyDescent="0.25"/>
  <cols>
    <col min="1" max="1" width="48.5703125" bestFit="1" customWidth="1"/>
    <col min="2" max="2" width="11.5703125" customWidth="1"/>
    <col min="4" max="4" width="37" customWidth="1"/>
    <col min="5" max="5" width="10.7109375" customWidth="1"/>
    <col min="6" max="6" width="16" bestFit="1" customWidth="1"/>
    <col min="7" max="7" width="16" style="167" bestFit="1" customWidth="1"/>
    <col min="8" max="8" width="11.5703125" bestFit="1" customWidth="1"/>
  </cols>
  <sheetData>
    <row r="1" spans="1:12" ht="16.5" thickBot="1" x14ac:dyDescent="0.3">
      <c r="A1" s="151" t="s">
        <v>232</v>
      </c>
      <c r="B1" s="152">
        <v>2011</v>
      </c>
    </row>
    <row r="2" spans="1:12" ht="18" x14ac:dyDescent="0.35">
      <c r="B2" s="165" t="s">
        <v>233</v>
      </c>
      <c r="C2" s="165"/>
      <c r="D2" s="166"/>
      <c r="E2" s="33">
        <v>904.7</v>
      </c>
      <c r="F2" t="s">
        <v>4</v>
      </c>
    </row>
    <row r="3" spans="1:12" ht="18" x14ac:dyDescent="0.35">
      <c r="B3" s="165" t="s">
        <v>234</v>
      </c>
      <c r="C3" s="165"/>
      <c r="D3" s="165"/>
      <c r="E3" s="153">
        <f>'Known Resources'!C41</f>
        <v>491.94950434450436</v>
      </c>
      <c r="F3" t="s">
        <v>4</v>
      </c>
    </row>
    <row r="4" spans="1:12" ht="45" x14ac:dyDescent="0.25">
      <c r="A4" s="149" t="s">
        <v>130</v>
      </c>
      <c r="B4" s="149" t="s">
        <v>131</v>
      </c>
      <c r="C4" s="149"/>
      <c r="D4" s="149" t="s">
        <v>130</v>
      </c>
      <c r="E4" s="149" t="s">
        <v>220</v>
      </c>
      <c r="F4" s="149" t="s">
        <v>231</v>
      </c>
      <c r="G4" s="168" t="s">
        <v>237</v>
      </c>
      <c r="H4" s="150"/>
    </row>
    <row r="5" spans="1:12" x14ac:dyDescent="0.25">
      <c r="A5" s="138" t="s">
        <v>132</v>
      </c>
      <c r="B5" s="141">
        <v>5400</v>
      </c>
      <c r="D5" s="146" t="s">
        <v>132</v>
      </c>
      <c r="E5" s="147">
        <v>12600</v>
      </c>
      <c r="F5" s="148">
        <f>B5-E5</f>
        <v>-7200</v>
      </c>
      <c r="G5" s="167">
        <f>IF(F5&gt;0,F5*$E$2,F5*$E$3)</f>
        <v>-3542036.4312804313</v>
      </c>
    </row>
    <row r="6" spans="1:12" x14ac:dyDescent="0.25">
      <c r="A6" s="138" t="s">
        <v>133</v>
      </c>
      <c r="B6" s="141">
        <v>1200</v>
      </c>
      <c r="D6" s="146" t="s">
        <v>133</v>
      </c>
      <c r="E6" s="147">
        <v>2000</v>
      </c>
      <c r="F6" s="148">
        <f t="shared" ref="F6:F62" si="0">B6-E6</f>
        <v>-800</v>
      </c>
      <c r="G6" s="167">
        <f t="shared" ref="G6:G62" si="1">IF(F6&gt;0,F6*$E$2,F6*$E$3)</f>
        <v>-393559.60347560351</v>
      </c>
    </row>
    <row r="7" spans="1:12" x14ac:dyDescent="0.25">
      <c r="A7" s="138" t="s">
        <v>134</v>
      </c>
      <c r="B7" s="141">
        <v>2600</v>
      </c>
      <c r="D7" s="146" t="s">
        <v>134</v>
      </c>
      <c r="E7" s="147">
        <v>2000</v>
      </c>
      <c r="F7" s="148">
        <f t="shared" si="0"/>
        <v>600</v>
      </c>
      <c r="G7" s="167">
        <f t="shared" si="1"/>
        <v>542820</v>
      </c>
    </row>
    <row r="8" spans="1:12" x14ac:dyDescent="0.25">
      <c r="A8" s="138" t="s">
        <v>221</v>
      </c>
      <c r="B8" s="141">
        <v>577581</v>
      </c>
      <c r="D8" s="146" t="s">
        <v>221</v>
      </c>
      <c r="E8" s="147">
        <v>103184</v>
      </c>
      <c r="F8" s="148">
        <f t="shared" si="0"/>
        <v>474397</v>
      </c>
      <c r="G8" s="167">
        <f t="shared" si="1"/>
        <v>429186965.90000004</v>
      </c>
      <c r="L8" s="148"/>
    </row>
    <row r="9" spans="1:12" x14ac:dyDescent="0.25">
      <c r="A9" s="138" t="s">
        <v>135</v>
      </c>
      <c r="B9" s="141">
        <v>119792</v>
      </c>
      <c r="D9" s="146" t="s">
        <v>135</v>
      </c>
      <c r="E9" s="147">
        <v>163879</v>
      </c>
      <c r="F9" s="148">
        <f t="shared" si="0"/>
        <v>-44087</v>
      </c>
      <c r="G9" s="167">
        <f t="shared" si="1"/>
        <v>-21688577.798036166</v>
      </c>
    </row>
    <row r="10" spans="1:12" x14ac:dyDescent="0.25">
      <c r="A10" s="138" t="s">
        <v>136</v>
      </c>
      <c r="B10" s="141">
        <v>800</v>
      </c>
      <c r="D10" s="146" t="s">
        <v>136</v>
      </c>
      <c r="E10" s="147">
        <v>1200</v>
      </c>
      <c r="F10" s="148">
        <f t="shared" si="0"/>
        <v>-400</v>
      </c>
      <c r="G10" s="167">
        <f t="shared" si="1"/>
        <v>-196779.80173780175</v>
      </c>
    </row>
    <row r="11" spans="1:12" x14ac:dyDescent="0.25">
      <c r="A11" s="138" t="s">
        <v>137</v>
      </c>
      <c r="B11" s="141">
        <v>85388</v>
      </c>
      <c r="D11" s="146" t="s">
        <v>137</v>
      </c>
      <c r="E11" s="147">
        <v>101108</v>
      </c>
      <c r="F11" s="148">
        <f t="shared" si="0"/>
        <v>-15720</v>
      </c>
      <c r="G11" s="167">
        <f t="shared" si="1"/>
        <v>-7733446.2082956089</v>
      </c>
    </row>
    <row r="12" spans="1:12" x14ac:dyDescent="0.25">
      <c r="A12" s="138" t="s">
        <v>138</v>
      </c>
      <c r="B12" s="141">
        <v>3814</v>
      </c>
      <c r="D12" s="146" t="s">
        <v>138</v>
      </c>
      <c r="E12" s="147">
        <v>3200</v>
      </c>
      <c r="F12" s="148">
        <f t="shared" si="0"/>
        <v>614</v>
      </c>
      <c r="G12" s="167">
        <f t="shared" si="1"/>
        <v>555485.80000000005</v>
      </c>
    </row>
    <row r="13" spans="1:12" x14ac:dyDescent="0.25">
      <c r="A13" s="138" t="s">
        <v>139</v>
      </c>
      <c r="B13" s="141">
        <v>142125</v>
      </c>
      <c r="D13" s="146" t="s">
        <v>139</v>
      </c>
      <c r="E13" s="147">
        <v>280649</v>
      </c>
      <c r="F13" s="148">
        <f t="shared" si="0"/>
        <v>-138524</v>
      </c>
      <c r="G13" s="167">
        <f t="shared" si="1"/>
        <v>-68146813.139818117</v>
      </c>
    </row>
    <row r="14" spans="1:12" x14ac:dyDescent="0.25">
      <c r="A14" s="138" t="s">
        <v>140</v>
      </c>
      <c r="B14" s="141">
        <v>2450</v>
      </c>
      <c r="D14" s="146" t="s">
        <v>140</v>
      </c>
      <c r="E14" s="147">
        <v>3505</v>
      </c>
      <c r="F14" s="148">
        <f t="shared" si="0"/>
        <v>-1055</v>
      </c>
      <c r="G14" s="167">
        <f t="shared" si="1"/>
        <v>-519006.7270834521</v>
      </c>
    </row>
    <row r="15" spans="1:12" x14ac:dyDescent="0.25">
      <c r="A15" s="138" t="s">
        <v>141</v>
      </c>
      <c r="B15" s="141">
        <v>3805</v>
      </c>
      <c r="D15" s="146" t="s">
        <v>141</v>
      </c>
      <c r="E15" s="147">
        <v>1407</v>
      </c>
      <c r="F15" s="148">
        <f t="shared" si="0"/>
        <v>2398</v>
      </c>
      <c r="G15" s="167">
        <f t="shared" si="1"/>
        <v>2169470.6</v>
      </c>
    </row>
    <row r="16" spans="1:12" x14ac:dyDescent="0.25">
      <c r="A16" s="138"/>
      <c r="B16" s="141"/>
      <c r="D16" s="146" t="s">
        <v>222</v>
      </c>
      <c r="E16" s="147">
        <v>10</v>
      </c>
      <c r="F16" s="148">
        <f t="shared" si="0"/>
        <v>-10</v>
      </c>
      <c r="G16" s="167">
        <f t="shared" si="1"/>
        <v>-4919.4950434450438</v>
      </c>
    </row>
    <row r="17" spans="1:7" x14ac:dyDescent="0.25">
      <c r="A17" s="138" t="s">
        <v>142</v>
      </c>
      <c r="B17" s="141">
        <v>16600</v>
      </c>
      <c r="D17" s="146" t="s">
        <v>142</v>
      </c>
      <c r="E17" s="147">
        <v>50250</v>
      </c>
      <c r="F17" s="148">
        <f t="shared" si="0"/>
        <v>-33650</v>
      </c>
      <c r="G17" s="167">
        <f t="shared" si="1"/>
        <v>-16554100.821192572</v>
      </c>
    </row>
    <row r="18" spans="1:7" x14ac:dyDescent="0.25">
      <c r="A18" s="138" t="s">
        <v>143</v>
      </c>
      <c r="B18" s="141">
        <v>30957</v>
      </c>
      <c r="D18" s="146" t="s">
        <v>223</v>
      </c>
      <c r="E18" s="147">
        <v>132259</v>
      </c>
      <c r="F18" s="148">
        <f t="shared" si="0"/>
        <v>-101302</v>
      </c>
      <c r="G18" s="167">
        <f t="shared" si="1"/>
        <v>-49835468.689106978</v>
      </c>
    </row>
    <row r="19" spans="1:7" x14ac:dyDescent="0.25">
      <c r="A19" s="138" t="s">
        <v>144</v>
      </c>
      <c r="B19" s="141">
        <v>20469</v>
      </c>
      <c r="D19" s="146" t="s">
        <v>144</v>
      </c>
      <c r="E19" s="147">
        <v>15206</v>
      </c>
      <c r="F19" s="148">
        <f t="shared" si="0"/>
        <v>5263</v>
      </c>
      <c r="G19" s="167">
        <f t="shared" si="1"/>
        <v>4761436.1000000006</v>
      </c>
    </row>
    <row r="20" spans="1:7" x14ac:dyDescent="0.25">
      <c r="A20" s="138" t="s">
        <v>145</v>
      </c>
      <c r="B20" s="141">
        <v>7325</v>
      </c>
      <c r="D20" s="146" t="s">
        <v>145</v>
      </c>
      <c r="E20" s="147">
        <v>11230</v>
      </c>
      <c r="F20" s="148">
        <f t="shared" si="0"/>
        <v>-3905</v>
      </c>
      <c r="G20" s="167">
        <f t="shared" si="1"/>
        <v>-1921062.8144652895</v>
      </c>
    </row>
    <row r="21" spans="1:7" x14ac:dyDescent="0.25">
      <c r="A21" s="138" t="s">
        <v>146</v>
      </c>
      <c r="B21" s="141">
        <v>10409</v>
      </c>
      <c r="D21" s="146" t="s">
        <v>146</v>
      </c>
      <c r="E21" s="147">
        <v>14977</v>
      </c>
      <c r="F21" s="148">
        <f t="shared" si="0"/>
        <v>-4568</v>
      </c>
      <c r="G21" s="167">
        <f t="shared" si="1"/>
        <v>-2247225.3358456958</v>
      </c>
    </row>
    <row r="22" spans="1:7" x14ac:dyDescent="0.25">
      <c r="A22" s="138" t="s">
        <v>147</v>
      </c>
      <c r="B22" s="141">
        <v>23024</v>
      </c>
      <c r="D22" s="146" t="s">
        <v>147</v>
      </c>
      <c r="E22" s="147">
        <v>16749</v>
      </c>
      <c r="F22" s="148">
        <f t="shared" si="0"/>
        <v>6275</v>
      </c>
      <c r="G22" s="167">
        <f t="shared" si="1"/>
        <v>5676992.5</v>
      </c>
    </row>
    <row r="23" spans="1:7" x14ac:dyDescent="0.25">
      <c r="A23" s="138" t="s">
        <v>148</v>
      </c>
      <c r="B23" s="141">
        <v>102225</v>
      </c>
      <c r="D23" s="146"/>
      <c r="E23" s="147"/>
      <c r="F23" s="148">
        <f t="shared" si="0"/>
        <v>102225</v>
      </c>
      <c r="G23" s="167">
        <f t="shared" si="1"/>
        <v>92482957.5</v>
      </c>
    </row>
    <row r="24" spans="1:7" x14ac:dyDescent="0.25">
      <c r="A24" s="138" t="s">
        <v>149</v>
      </c>
      <c r="B24" s="141">
        <v>408890</v>
      </c>
      <c r="D24" s="146" t="s">
        <v>149</v>
      </c>
      <c r="E24" s="147">
        <v>427490</v>
      </c>
      <c r="F24" s="148">
        <f t="shared" si="0"/>
        <v>-18600</v>
      </c>
      <c r="G24" s="167">
        <f t="shared" si="1"/>
        <v>-9150260.780807782</v>
      </c>
    </row>
    <row r="25" spans="1:7" x14ac:dyDescent="0.25">
      <c r="A25" s="138" t="s">
        <v>150</v>
      </c>
      <c r="B25" s="141">
        <v>4340</v>
      </c>
      <c r="D25" s="146" t="s">
        <v>150</v>
      </c>
      <c r="E25" s="147">
        <v>12709</v>
      </c>
      <c r="F25" s="148">
        <f t="shared" si="0"/>
        <v>-8369</v>
      </c>
      <c r="G25" s="167">
        <f t="shared" si="1"/>
        <v>-4117125.4018591568</v>
      </c>
    </row>
    <row r="26" spans="1:7" x14ac:dyDescent="0.25">
      <c r="A26" s="138" t="s">
        <v>151</v>
      </c>
      <c r="B26" s="141">
        <v>94</v>
      </c>
      <c r="D26" s="146"/>
      <c r="E26" s="147"/>
      <c r="F26" s="148">
        <f t="shared" si="0"/>
        <v>94</v>
      </c>
      <c r="G26" s="167">
        <f t="shared" si="1"/>
        <v>85041.8</v>
      </c>
    </row>
    <row r="27" spans="1:7" x14ac:dyDescent="0.25">
      <c r="A27" s="138"/>
      <c r="B27" s="141"/>
      <c r="D27" s="146" t="s">
        <v>224</v>
      </c>
      <c r="E27" s="147">
        <v>1600</v>
      </c>
      <c r="F27" s="148">
        <f t="shared" si="0"/>
        <v>-1600</v>
      </c>
      <c r="G27" s="167">
        <f t="shared" si="1"/>
        <v>-787119.20695120702</v>
      </c>
    </row>
    <row r="28" spans="1:7" x14ac:dyDescent="0.25">
      <c r="A28" s="138" t="s">
        <v>152</v>
      </c>
      <c r="B28" s="141">
        <v>20756</v>
      </c>
      <c r="D28" s="146" t="s">
        <v>225</v>
      </c>
      <c r="E28" s="147">
        <v>44119</v>
      </c>
      <c r="F28" s="148">
        <f t="shared" si="0"/>
        <v>-23363</v>
      </c>
      <c r="G28" s="167">
        <f t="shared" si="1"/>
        <v>-11493416.270000655</v>
      </c>
    </row>
    <row r="29" spans="1:7" x14ac:dyDescent="0.25">
      <c r="A29" s="138" t="s">
        <v>153</v>
      </c>
      <c r="B29" s="141">
        <v>43258</v>
      </c>
      <c r="D29" s="146" t="s">
        <v>153</v>
      </c>
      <c r="E29" s="147">
        <v>138335</v>
      </c>
      <c r="F29" s="148">
        <f t="shared" si="0"/>
        <v>-95077</v>
      </c>
      <c r="G29" s="167">
        <f t="shared" si="1"/>
        <v>-46773083.024562441</v>
      </c>
    </row>
    <row r="30" spans="1:7" x14ac:dyDescent="0.25">
      <c r="A30" s="138"/>
      <c r="B30" s="141"/>
      <c r="D30" s="146" t="s">
        <v>226</v>
      </c>
      <c r="E30" s="147">
        <v>14018</v>
      </c>
      <c r="F30" s="148">
        <f t="shared" si="0"/>
        <v>-14018</v>
      </c>
      <c r="G30" s="167">
        <f t="shared" si="1"/>
        <v>-6896148.1519012619</v>
      </c>
    </row>
    <row r="31" spans="1:7" x14ac:dyDescent="0.25">
      <c r="A31" s="138" t="s">
        <v>154</v>
      </c>
      <c r="B31" s="141">
        <v>240110</v>
      </c>
      <c r="D31" s="146" t="s">
        <v>154</v>
      </c>
      <c r="E31" s="147">
        <v>224401</v>
      </c>
      <c r="F31" s="148">
        <f t="shared" si="0"/>
        <v>15709</v>
      </c>
      <c r="G31" s="167">
        <f t="shared" si="1"/>
        <v>14211932.300000001</v>
      </c>
    </row>
    <row r="32" spans="1:7" x14ac:dyDescent="0.25">
      <c r="A32" s="138" t="s">
        <v>155</v>
      </c>
      <c r="B32" s="141">
        <v>226</v>
      </c>
      <c r="D32" s="146" t="s">
        <v>227</v>
      </c>
      <c r="E32" s="147">
        <v>15193</v>
      </c>
      <c r="F32" s="148">
        <f t="shared" si="0"/>
        <v>-14967</v>
      </c>
      <c r="G32" s="167">
        <f t="shared" si="1"/>
        <v>-7363008.2315241965</v>
      </c>
    </row>
    <row r="33" spans="1:7" x14ac:dyDescent="0.25">
      <c r="A33" s="138" t="s">
        <v>156</v>
      </c>
      <c r="B33" s="141">
        <v>800</v>
      </c>
      <c r="D33" s="146"/>
      <c r="E33" s="147"/>
      <c r="F33" s="148">
        <f t="shared" si="0"/>
        <v>800</v>
      </c>
      <c r="G33" s="167">
        <f t="shared" si="1"/>
        <v>723760</v>
      </c>
    </row>
    <row r="34" spans="1:7" x14ac:dyDescent="0.25">
      <c r="A34" s="138" t="s">
        <v>157</v>
      </c>
      <c r="B34" s="141">
        <v>47</v>
      </c>
      <c r="D34" s="146" t="s">
        <v>157</v>
      </c>
      <c r="E34" s="147">
        <v>1400</v>
      </c>
      <c r="F34" s="148">
        <f t="shared" si="0"/>
        <v>-1353</v>
      </c>
      <c r="G34" s="167">
        <f t="shared" si="1"/>
        <v>-665607.67937811441</v>
      </c>
    </row>
    <row r="35" spans="1:7" x14ac:dyDescent="0.25">
      <c r="A35" s="138" t="s">
        <v>158</v>
      </c>
      <c r="B35" s="141">
        <v>6209</v>
      </c>
      <c r="D35" s="146" t="s">
        <v>158</v>
      </c>
      <c r="E35" s="147">
        <v>94549</v>
      </c>
      <c r="F35" s="148">
        <f t="shared" si="0"/>
        <v>-88340</v>
      </c>
      <c r="G35" s="167">
        <f t="shared" si="1"/>
        <v>-43458819.213793516</v>
      </c>
    </row>
    <row r="36" spans="1:7" x14ac:dyDescent="0.25">
      <c r="A36" s="138" t="s">
        <v>159</v>
      </c>
      <c r="B36" s="141">
        <v>10383</v>
      </c>
      <c r="D36" s="146" t="s">
        <v>159</v>
      </c>
      <c r="E36" s="147">
        <v>1607</v>
      </c>
      <c r="F36" s="148">
        <f t="shared" si="0"/>
        <v>8776</v>
      </c>
      <c r="G36" s="167">
        <f t="shared" si="1"/>
        <v>7939647.2000000002</v>
      </c>
    </row>
    <row r="37" spans="1:7" x14ac:dyDescent="0.25">
      <c r="A37" s="138" t="s">
        <v>160</v>
      </c>
      <c r="B37" s="141">
        <v>51282</v>
      </c>
      <c r="D37" s="146" t="s">
        <v>160</v>
      </c>
      <c r="E37" s="147">
        <v>140439</v>
      </c>
      <c r="F37" s="148">
        <f t="shared" si="0"/>
        <v>-89157</v>
      </c>
      <c r="G37" s="167">
        <f t="shared" si="1"/>
        <v>-43860741.958842978</v>
      </c>
    </row>
    <row r="38" spans="1:7" x14ac:dyDescent="0.25">
      <c r="A38" s="138" t="s">
        <v>161</v>
      </c>
      <c r="B38" s="141">
        <v>72854</v>
      </c>
      <c r="D38" s="146" t="s">
        <v>161</v>
      </c>
      <c r="E38" s="147">
        <v>63978</v>
      </c>
      <c r="F38" s="148">
        <f t="shared" si="0"/>
        <v>8876</v>
      </c>
      <c r="G38" s="167">
        <f t="shared" si="1"/>
        <v>8030117.2000000002</v>
      </c>
    </row>
    <row r="39" spans="1:7" x14ac:dyDescent="0.25">
      <c r="A39" s="138" t="s">
        <v>162</v>
      </c>
      <c r="B39" s="141">
        <v>145238</v>
      </c>
      <c r="D39" s="146" t="s">
        <v>162</v>
      </c>
      <c r="E39" s="147">
        <v>140882</v>
      </c>
      <c r="F39" s="148">
        <f t="shared" si="0"/>
        <v>4356</v>
      </c>
      <c r="G39" s="167">
        <f t="shared" si="1"/>
        <v>3940873.2</v>
      </c>
    </row>
    <row r="40" spans="1:7" x14ac:dyDescent="0.25">
      <c r="A40" s="138" t="s">
        <v>163</v>
      </c>
      <c r="B40" s="141">
        <v>200</v>
      </c>
      <c r="D40" s="146" t="s">
        <v>163</v>
      </c>
      <c r="E40" s="147">
        <v>5400</v>
      </c>
      <c r="F40" s="148">
        <f t="shared" si="0"/>
        <v>-5200</v>
      </c>
      <c r="G40" s="167">
        <f t="shared" si="1"/>
        <v>-2558137.4225914227</v>
      </c>
    </row>
    <row r="41" spans="1:7" x14ac:dyDescent="0.25">
      <c r="A41" s="138" t="s">
        <v>164</v>
      </c>
      <c r="B41" s="141">
        <v>64192</v>
      </c>
      <c r="D41" s="146" t="s">
        <v>164</v>
      </c>
      <c r="E41" s="147">
        <v>6367</v>
      </c>
      <c r="F41" s="148">
        <f t="shared" si="0"/>
        <v>57825</v>
      </c>
      <c r="G41" s="167">
        <f t="shared" si="1"/>
        <v>52314277.5</v>
      </c>
    </row>
    <row r="42" spans="1:7" x14ac:dyDescent="0.25">
      <c r="A42" s="138" t="s">
        <v>165</v>
      </c>
      <c r="B42" s="141">
        <v>99000</v>
      </c>
      <c r="D42" s="146" t="s">
        <v>165</v>
      </c>
      <c r="E42" s="147">
        <v>1360</v>
      </c>
      <c r="F42" s="148">
        <f t="shared" si="0"/>
        <v>97640</v>
      </c>
      <c r="G42" s="167">
        <f t="shared" si="1"/>
        <v>88334908</v>
      </c>
    </row>
    <row r="43" spans="1:7" x14ac:dyDescent="0.25">
      <c r="A43" s="138" t="s">
        <v>166</v>
      </c>
      <c r="B43" s="141">
        <v>131525</v>
      </c>
      <c r="D43" s="146" t="s">
        <v>166</v>
      </c>
      <c r="E43" s="147">
        <v>57173</v>
      </c>
      <c r="F43" s="148">
        <f t="shared" si="0"/>
        <v>74352</v>
      </c>
      <c r="G43" s="167">
        <f t="shared" si="1"/>
        <v>67266254.400000006</v>
      </c>
    </row>
    <row r="44" spans="1:7" x14ac:dyDescent="0.25">
      <c r="A44" s="138" t="s">
        <v>167</v>
      </c>
      <c r="B44" s="141">
        <v>20395</v>
      </c>
      <c r="D44" s="146" t="s">
        <v>167</v>
      </c>
      <c r="E44" s="147">
        <v>13415</v>
      </c>
      <c r="F44" s="148">
        <f t="shared" si="0"/>
        <v>6980</v>
      </c>
      <c r="G44" s="167">
        <f t="shared" si="1"/>
        <v>6314806</v>
      </c>
    </row>
    <row r="45" spans="1:7" x14ac:dyDescent="0.25">
      <c r="A45" s="138" t="s">
        <v>168</v>
      </c>
      <c r="B45" s="141">
        <v>30733</v>
      </c>
      <c r="D45" s="146" t="s">
        <v>168</v>
      </c>
      <c r="E45" s="147">
        <v>117376</v>
      </c>
      <c r="F45" s="148">
        <f t="shared" si="0"/>
        <v>-86643</v>
      </c>
      <c r="G45" s="167">
        <f t="shared" si="1"/>
        <v>-42623980.904920891</v>
      </c>
    </row>
    <row r="46" spans="1:7" x14ac:dyDescent="0.25">
      <c r="A46" s="138" t="s">
        <v>169</v>
      </c>
      <c r="B46" s="141">
        <v>40264</v>
      </c>
      <c r="D46" s="146" t="s">
        <v>169</v>
      </c>
      <c r="E46" s="147">
        <v>46504</v>
      </c>
      <c r="F46" s="148">
        <f t="shared" si="0"/>
        <v>-6240</v>
      </c>
      <c r="G46" s="167">
        <f t="shared" si="1"/>
        <v>-3069764.9071097071</v>
      </c>
    </row>
    <row r="47" spans="1:7" x14ac:dyDescent="0.25">
      <c r="A47" s="138"/>
      <c r="B47" s="141"/>
      <c r="D47" s="146" t="s">
        <v>228</v>
      </c>
      <c r="E47" s="147">
        <v>-1</v>
      </c>
      <c r="F47" s="148">
        <f t="shared" si="0"/>
        <v>1</v>
      </c>
      <c r="G47" s="167">
        <f t="shared" si="1"/>
        <v>904.7</v>
      </c>
    </row>
    <row r="48" spans="1:7" x14ac:dyDescent="0.25">
      <c r="A48" s="138" t="s">
        <v>171</v>
      </c>
      <c r="B48" s="141">
        <v>28</v>
      </c>
      <c r="D48" s="146" t="s">
        <v>171</v>
      </c>
      <c r="E48" s="147">
        <v>12199</v>
      </c>
      <c r="F48" s="148">
        <f t="shared" si="0"/>
        <v>-12171</v>
      </c>
      <c r="G48" s="167">
        <f t="shared" si="1"/>
        <v>-5987517.4173769625</v>
      </c>
    </row>
    <row r="49" spans="1:8" x14ac:dyDescent="0.25">
      <c r="A49" s="138"/>
      <c r="B49" s="141"/>
      <c r="D49" s="146" t="s">
        <v>229</v>
      </c>
      <c r="E49" s="147">
        <v>400</v>
      </c>
      <c r="F49" s="148">
        <f t="shared" si="0"/>
        <v>-400</v>
      </c>
      <c r="G49" s="167">
        <f t="shared" si="1"/>
        <v>-196779.80173780175</v>
      </c>
    </row>
    <row r="50" spans="1:8" x14ac:dyDescent="0.25">
      <c r="A50" s="138" t="s">
        <v>172</v>
      </c>
      <c r="B50" s="141">
        <v>50020</v>
      </c>
      <c r="D50" s="146" t="s">
        <v>172</v>
      </c>
      <c r="E50" s="147">
        <v>20749</v>
      </c>
      <c r="F50" s="148">
        <f t="shared" si="0"/>
        <v>29271</v>
      </c>
      <c r="G50" s="167">
        <f t="shared" si="1"/>
        <v>26481473.700000003</v>
      </c>
    </row>
    <row r="51" spans="1:8" x14ac:dyDescent="0.25">
      <c r="A51" s="138" t="s">
        <v>173</v>
      </c>
      <c r="B51" s="141">
        <v>30400</v>
      </c>
      <c r="D51" s="146"/>
      <c r="E51" s="147"/>
      <c r="F51" s="148">
        <f t="shared" si="0"/>
        <v>30400</v>
      </c>
      <c r="G51" s="167">
        <f t="shared" si="1"/>
        <v>27502880</v>
      </c>
    </row>
    <row r="52" spans="1:8" x14ac:dyDescent="0.25">
      <c r="A52" s="138" t="s">
        <v>174</v>
      </c>
      <c r="B52" s="141">
        <v>375598</v>
      </c>
      <c r="D52" s="146" t="s">
        <v>174</v>
      </c>
      <c r="E52" s="147">
        <v>400968</v>
      </c>
      <c r="F52" s="148">
        <f t="shared" si="0"/>
        <v>-25370</v>
      </c>
      <c r="G52" s="167">
        <f t="shared" si="1"/>
        <v>-12480758.925220076</v>
      </c>
    </row>
    <row r="53" spans="1:8" x14ac:dyDescent="0.25">
      <c r="A53" s="138" t="s">
        <v>175</v>
      </c>
      <c r="B53" s="141">
        <v>225</v>
      </c>
      <c r="D53" s="146" t="s">
        <v>175</v>
      </c>
      <c r="E53" s="147">
        <v>36057</v>
      </c>
      <c r="F53" s="148">
        <f t="shared" si="0"/>
        <v>-35832</v>
      </c>
      <c r="G53" s="167">
        <f t="shared" si="1"/>
        <v>-17627534.639672279</v>
      </c>
    </row>
    <row r="54" spans="1:8" x14ac:dyDescent="0.25">
      <c r="A54" s="138" t="s">
        <v>176</v>
      </c>
      <c r="B54" s="141">
        <v>600</v>
      </c>
      <c r="D54" s="146" t="s">
        <v>176</v>
      </c>
      <c r="E54" s="147">
        <v>678225</v>
      </c>
      <c r="F54" s="148">
        <f t="shared" si="0"/>
        <v>-677625</v>
      </c>
      <c r="G54" s="167">
        <f t="shared" si="1"/>
        <v>-333357282.88144475</v>
      </c>
    </row>
    <row r="55" spans="1:8" x14ac:dyDescent="0.25">
      <c r="A55" s="138" t="s">
        <v>177</v>
      </c>
      <c r="B55" s="141">
        <v>515</v>
      </c>
      <c r="D55" s="146"/>
      <c r="E55" s="147"/>
      <c r="F55" s="148">
        <f t="shared" si="0"/>
        <v>515</v>
      </c>
      <c r="G55" s="167">
        <f t="shared" si="1"/>
        <v>465920.5</v>
      </c>
    </row>
    <row r="56" spans="1:8" x14ac:dyDescent="0.25">
      <c r="A56" s="138" t="s">
        <v>178</v>
      </c>
      <c r="B56" s="141">
        <v>6937</v>
      </c>
      <c r="D56" s="146" t="s">
        <v>178</v>
      </c>
      <c r="E56" s="147">
        <v>14159</v>
      </c>
      <c r="F56" s="148">
        <f t="shared" si="0"/>
        <v>-7222</v>
      </c>
      <c r="G56" s="167">
        <f t="shared" si="1"/>
        <v>-3552859.3203760106</v>
      </c>
    </row>
    <row r="57" spans="1:8" x14ac:dyDescent="0.25">
      <c r="A57" s="138" t="s">
        <v>179</v>
      </c>
      <c r="B57" s="141">
        <v>39005</v>
      </c>
      <c r="D57" s="146" t="s">
        <v>179</v>
      </c>
      <c r="E57" s="147">
        <v>22742</v>
      </c>
      <c r="F57" s="148">
        <f t="shared" si="0"/>
        <v>16263</v>
      </c>
      <c r="G57" s="167">
        <f t="shared" si="1"/>
        <v>14713136.100000001</v>
      </c>
    </row>
    <row r="58" spans="1:8" x14ac:dyDescent="0.25">
      <c r="A58" s="138" t="s">
        <v>180</v>
      </c>
      <c r="B58" s="141">
        <v>778874</v>
      </c>
      <c r="D58" s="146" t="s">
        <v>180</v>
      </c>
      <c r="E58" s="147">
        <v>124509</v>
      </c>
      <c r="F58" s="148">
        <f t="shared" si="0"/>
        <v>654365</v>
      </c>
      <c r="G58" s="167">
        <f t="shared" si="1"/>
        <v>592004015.5</v>
      </c>
    </row>
    <row r="59" spans="1:8" x14ac:dyDescent="0.25">
      <c r="A59" s="138" t="s">
        <v>181</v>
      </c>
      <c r="B59" s="141">
        <v>800</v>
      </c>
      <c r="D59" s="146" t="s">
        <v>181</v>
      </c>
      <c r="E59" s="147">
        <v>1602</v>
      </c>
      <c r="F59" s="148">
        <f t="shared" si="0"/>
        <v>-802</v>
      </c>
      <c r="G59" s="167">
        <f t="shared" si="1"/>
        <v>-394543.50248429249</v>
      </c>
    </row>
    <row r="60" spans="1:8" x14ac:dyDescent="0.25">
      <c r="A60" s="138" t="s">
        <v>182</v>
      </c>
      <c r="B60" s="141">
        <v>201107</v>
      </c>
      <c r="D60" s="146" t="s">
        <v>182</v>
      </c>
      <c r="E60" s="147">
        <v>288545</v>
      </c>
      <c r="F60" s="148">
        <f t="shared" si="0"/>
        <v>-87438</v>
      </c>
      <c r="G60" s="167">
        <f t="shared" si="1"/>
        <v>-43015080.760874771</v>
      </c>
    </row>
    <row r="61" spans="1:8" x14ac:dyDescent="0.25">
      <c r="A61" s="138"/>
      <c r="B61" s="141"/>
      <c r="D61" s="146" t="s">
        <v>230</v>
      </c>
      <c r="E61" s="147">
        <v>998</v>
      </c>
      <c r="F61" s="148">
        <f t="shared" si="0"/>
        <v>-998</v>
      </c>
      <c r="G61" s="167">
        <f t="shared" si="1"/>
        <v>-490965.60533581534</v>
      </c>
    </row>
    <row r="62" spans="1:8" x14ac:dyDescent="0.25">
      <c r="A62" s="138" t="s">
        <v>183</v>
      </c>
      <c r="B62" s="141">
        <v>1</v>
      </c>
      <c r="E62" s="148"/>
      <c r="F62" s="148">
        <f t="shared" si="0"/>
        <v>1</v>
      </c>
      <c r="G62" s="167">
        <f t="shared" si="1"/>
        <v>904.7</v>
      </c>
    </row>
    <row r="63" spans="1:8" x14ac:dyDescent="0.25">
      <c r="F63" s="148"/>
    </row>
    <row r="64" spans="1:8" x14ac:dyDescent="0.25">
      <c r="F64" s="148">
        <f>SUM(F5:F62)</f>
        <v>-54010</v>
      </c>
      <c r="G64" s="167">
        <f>SUM(G5:G62)/2000</f>
        <v>316501.72416292649</v>
      </c>
      <c r="H64" s="154"/>
    </row>
    <row r="65" spans="2:8" ht="60" x14ac:dyDescent="0.25">
      <c r="B65" s="148"/>
      <c r="F65" s="155" t="s">
        <v>235</v>
      </c>
      <c r="G65" s="169" t="s">
        <v>236</v>
      </c>
      <c r="H65" s="155"/>
    </row>
    <row r="73" spans="2:8" x14ac:dyDescent="0.25">
      <c r="F73" s="148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416D91-D88E-49A6-B9B9-54854D0AD4C7}"/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A7CDF9E-B9AD-4B0E-B67E-C788C6858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