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_TO_S\PUD0783 - Pullman Disposal Services\Tipping Fee Increase\010119\Workpapers\"/>
    </mc:Choice>
  </mc:AlternateContent>
  <bookViews>
    <workbookView xWindow="0" yWindow="0" windowWidth="28800" windowHeight="11625" activeTab="1"/>
  </bookViews>
  <sheets>
    <sheet name="Notes" sheetId="8" r:id="rId1"/>
    <sheet name="References" sheetId="4" r:id="rId2"/>
    <sheet name="Staff Calcs 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62913"/>
</workbook>
</file>

<file path=xl/calcChain.xml><?xml version="1.0" encoding="utf-8"?>
<calcChain xmlns="http://schemas.openxmlformats.org/spreadsheetml/2006/main">
  <c r="M24" i="7" l="1"/>
  <c r="M22" i="7"/>
  <c r="M20" i="7"/>
  <c r="G41" i="7"/>
  <c r="G46" i="7"/>
  <c r="E46" i="7"/>
  <c r="H49" i="7"/>
  <c r="E74" i="7" l="1"/>
  <c r="Q16" i="7" l="1"/>
  <c r="Q13" i="7"/>
  <c r="I48" i="7"/>
  <c r="Q48" i="7"/>
  <c r="I49" i="7"/>
  <c r="Q49" i="7"/>
  <c r="I50" i="7"/>
  <c r="Q50" i="7"/>
  <c r="G44" i="7" l="1"/>
  <c r="G52" i="7"/>
  <c r="E38" i="7"/>
  <c r="E18" i="7"/>
  <c r="B20" i="4" l="1"/>
  <c r="B17" i="4"/>
  <c r="C16" i="4"/>
  <c r="C17" i="4" s="1"/>
  <c r="C15" i="4"/>
  <c r="D6" i="4" l="1"/>
  <c r="G6" i="4" s="1"/>
  <c r="E6" i="4" l="1"/>
  <c r="F6" i="4"/>
  <c r="R70" i="7" l="1"/>
  <c r="Q70" i="7"/>
  <c r="G70" i="7"/>
  <c r="I70" i="7" s="1"/>
  <c r="R69" i="7"/>
  <c r="Q69" i="7"/>
  <c r="G69" i="7"/>
  <c r="I69" i="7" s="1"/>
  <c r="R68" i="7"/>
  <c r="Q68" i="7"/>
  <c r="G68" i="7"/>
  <c r="I68" i="7" s="1"/>
  <c r="R67" i="7"/>
  <c r="Q67" i="7"/>
  <c r="G67" i="7"/>
  <c r="I67" i="7" s="1"/>
  <c r="R66" i="7"/>
  <c r="Q66" i="7"/>
  <c r="G66" i="7"/>
  <c r="I66" i="7" s="1"/>
  <c r="R65" i="7"/>
  <c r="Q65" i="7"/>
  <c r="G65" i="7"/>
  <c r="I65" i="7" s="1"/>
  <c r="R64" i="7"/>
  <c r="Q64" i="7"/>
  <c r="F64" i="7"/>
  <c r="G64" i="7" s="1"/>
  <c r="I64" i="7" s="1"/>
  <c r="R63" i="7"/>
  <c r="Q63" i="7"/>
  <c r="G63" i="7"/>
  <c r="I63" i="7" s="1"/>
  <c r="R62" i="7"/>
  <c r="Q62" i="7"/>
  <c r="F62" i="7"/>
  <c r="G62" i="7" s="1"/>
  <c r="I62" i="7" s="1"/>
  <c r="R61" i="7"/>
  <c r="Q61" i="7"/>
  <c r="G61" i="7"/>
  <c r="I61" i="7" s="1"/>
  <c r="R60" i="7"/>
  <c r="Q60" i="7"/>
  <c r="F60" i="7"/>
  <c r="G60" i="7" s="1"/>
  <c r="I60" i="7" s="1"/>
  <c r="R59" i="7"/>
  <c r="Q59" i="7"/>
  <c r="G59" i="7"/>
  <c r="I59" i="7" s="1"/>
  <c r="R58" i="7"/>
  <c r="Q58" i="7"/>
  <c r="G58" i="7"/>
  <c r="I58" i="7" s="1"/>
  <c r="R57" i="7"/>
  <c r="Q57" i="7"/>
  <c r="G57" i="7"/>
  <c r="I57" i="7" s="1"/>
  <c r="R56" i="7"/>
  <c r="Q56" i="7"/>
  <c r="F56" i="7"/>
  <c r="G56" i="7" s="1"/>
  <c r="I56" i="7" s="1"/>
  <c r="Q51" i="7"/>
  <c r="Q47" i="7"/>
  <c r="Q46" i="7"/>
  <c r="Q43" i="7"/>
  <c r="Q42" i="7"/>
  <c r="Q41" i="7"/>
  <c r="Q17" i="7"/>
  <c r="Q6" i="7"/>
  <c r="Q12" i="7"/>
  <c r="Q11" i="7"/>
  <c r="Q10" i="7"/>
  <c r="Q9" i="7"/>
  <c r="Q8" i="7"/>
  <c r="Q7" i="7"/>
  <c r="S57" i="7" l="1"/>
  <c r="S59" i="7"/>
  <c r="S63" i="7"/>
  <c r="I41" i="7"/>
  <c r="S56" i="7"/>
  <c r="I51" i="7"/>
  <c r="I43" i="7"/>
  <c r="I40" i="7"/>
  <c r="I42" i="7"/>
  <c r="I45" i="7"/>
  <c r="I47" i="7"/>
  <c r="I46" i="7"/>
  <c r="S58" i="7"/>
  <c r="S62" i="7"/>
  <c r="E53" i="7"/>
  <c r="Q40" i="7"/>
  <c r="Q44" i="7" s="1"/>
  <c r="Q45" i="7"/>
  <c r="Q52" i="7" s="1"/>
  <c r="S60" i="7"/>
  <c r="S61" i="7"/>
  <c r="S64" i="7"/>
  <c r="S65" i="7"/>
  <c r="S66" i="7"/>
  <c r="S67" i="7"/>
  <c r="S68" i="7"/>
  <c r="S69" i="7"/>
  <c r="S70" i="7"/>
  <c r="I44" i="7" l="1"/>
  <c r="I52" i="7"/>
  <c r="F15" i="4" l="1"/>
  <c r="F16" i="4"/>
  <c r="D9" i="4"/>
  <c r="D8" i="4"/>
  <c r="D7" i="4"/>
  <c r="F28" i="7" l="1"/>
  <c r="G28" i="7" s="1"/>
  <c r="F26" i="7"/>
  <c r="F15" i="7"/>
  <c r="F30" i="7"/>
  <c r="G30" i="7" s="1"/>
  <c r="F24" i="7"/>
  <c r="F14" i="7"/>
  <c r="F20" i="7"/>
  <c r="F32" i="7"/>
  <c r="F31" i="7"/>
  <c r="G31" i="7" s="1"/>
  <c r="F23" i="7"/>
  <c r="F29" i="7"/>
  <c r="G29" i="7" s="1"/>
  <c r="F27" i="7"/>
  <c r="G27" i="7" s="1"/>
  <c r="Q27" i="7" s="1"/>
  <c r="F19" i="7"/>
  <c r="F25" i="7"/>
  <c r="F21" i="7"/>
  <c r="F34" i="7"/>
  <c r="G34" i="7" s="1"/>
  <c r="F33" i="7"/>
  <c r="G33" i="7" s="1"/>
  <c r="F35" i="7"/>
  <c r="G35" i="7" s="1"/>
  <c r="F36" i="7"/>
  <c r="G36" i="7" s="1"/>
  <c r="F37" i="7"/>
  <c r="G37" i="7" s="1"/>
  <c r="F16" i="7"/>
  <c r="F13" i="7"/>
  <c r="F17" i="7"/>
  <c r="F12" i="7"/>
  <c r="G12" i="7" s="1"/>
  <c r="I12" i="7" s="1"/>
  <c r="F17" i="4"/>
  <c r="F18" i="4" s="1"/>
  <c r="B21" i="4" s="1"/>
  <c r="B23" i="4" s="1"/>
  <c r="G8" i="4"/>
  <c r="F8" i="4"/>
  <c r="E8" i="4"/>
  <c r="G23" i="7"/>
  <c r="G13" i="7"/>
  <c r="I13" i="7" s="1"/>
  <c r="F22" i="7"/>
  <c r="G22" i="7" s="1"/>
  <c r="G7" i="4"/>
  <c r="G26" i="7" s="1"/>
  <c r="Q26" i="7" s="1"/>
  <c r="F7" i="4"/>
  <c r="E7" i="4"/>
  <c r="G25" i="7" s="1"/>
  <c r="Q25" i="7" s="1"/>
  <c r="G17" i="7"/>
  <c r="I17" i="7" s="1"/>
  <c r="G24" i="7"/>
  <c r="Q24" i="7" s="1"/>
  <c r="G19" i="7"/>
  <c r="Q19" i="7" s="1"/>
  <c r="G15" i="7"/>
  <c r="F6" i="7"/>
  <c r="G6" i="7" s="1"/>
  <c r="I6" i="7" s="1"/>
  <c r="F11" i="7"/>
  <c r="G11" i="7" s="1"/>
  <c r="I11" i="7" s="1"/>
  <c r="F9" i="7"/>
  <c r="G9" i="7" s="1"/>
  <c r="I9" i="7" s="1"/>
  <c r="F7" i="7"/>
  <c r="G7" i="7" s="1"/>
  <c r="I7" i="7" s="1"/>
  <c r="G21" i="7"/>
  <c r="G20" i="7"/>
  <c r="F10" i="7"/>
  <c r="G10" i="7" s="1"/>
  <c r="I10" i="7" s="1"/>
  <c r="F8" i="7"/>
  <c r="G8" i="7" s="1"/>
  <c r="I8" i="7" s="1"/>
  <c r="G9" i="4"/>
  <c r="F9" i="4"/>
  <c r="E9" i="4"/>
  <c r="G32" i="7"/>
  <c r="Q32" i="7" s="1"/>
  <c r="G16" i="7"/>
  <c r="I16" i="7" s="1"/>
  <c r="G14" i="7"/>
  <c r="I37" i="7" l="1"/>
  <c r="Q37" i="7"/>
  <c r="Q36" i="7"/>
  <c r="I36" i="7"/>
  <c r="Q29" i="7"/>
  <c r="I29" i="7"/>
  <c r="Q34" i="7"/>
  <c r="I34" i="7"/>
  <c r="Q30" i="7"/>
  <c r="I30" i="7"/>
  <c r="I35" i="7"/>
  <c r="Q35" i="7"/>
  <c r="I33" i="7"/>
  <c r="Q33" i="7"/>
  <c r="I31" i="7"/>
  <c r="Q31" i="7"/>
  <c r="Q28" i="7"/>
  <c r="I28" i="7"/>
  <c r="G18" i="7"/>
  <c r="I22" i="7"/>
  <c r="Q22" i="7"/>
  <c r="I23" i="7"/>
  <c r="Q23" i="7"/>
  <c r="I21" i="7"/>
  <c r="Q21" i="7"/>
  <c r="I20" i="7"/>
  <c r="Q20" i="7"/>
  <c r="G38" i="7"/>
  <c r="I19" i="7"/>
  <c r="I27" i="7"/>
  <c r="Q14" i="7"/>
  <c r="I14" i="7"/>
  <c r="I32" i="7"/>
  <c r="I15" i="7"/>
  <c r="Q15" i="7"/>
  <c r="I24" i="7"/>
  <c r="I25" i="7"/>
  <c r="I26" i="7"/>
  <c r="E75" i="7" l="1"/>
  <c r="I18" i="7"/>
  <c r="Q18" i="7"/>
  <c r="I38" i="7"/>
  <c r="Q38" i="7"/>
  <c r="G53" i="7"/>
  <c r="Q53" i="7" l="1"/>
  <c r="I53" i="7"/>
  <c r="E76" i="7" s="1"/>
  <c r="J6" i="7" s="1"/>
  <c r="J49" i="7" l="1"/>
  <c r="K49" i="7" s="1"/>
  <c r="L49" i="7" s="1"/>
  <c r="M49" i="7" s="1"/>
  <c r="O49" i="7" s="1"/>
  <c r="J50" i="7"/>
  <c r="K50" i="7" s="1"/>
  <c r="L50" i="7" s="1"/>
  <c r="M50" i="7" s="1"/>
  <c r="O50" i="7" s="1"/>
  <c r="J48" i="7"/>
  <c r="K48" i="7" s="1"/>
  <c r="L48" i="7" s="1"/>
  <c r="M48" i="7" s="1"/>
  <c r="O48" i="7" s="1"/>
  <c r="J34" i="7"/>
  <c r="K34" i="7" s="1"/>
  <c r="L34" i="7" s="1"/>
  <c r="M34" i="7" s="1"/>
  <c r="J36" i="7"/>
  <c r="K36" i="7" s="1"/>
  <c r="L36" i="7" s="1"/>
  <c r="M36" i="7" s="1"/>
  <c r="O36" i="7" s="1"/>
  <c r="J35" i="7"/>
  <c r="K35" i="7" s="1"/>
  <c r="L35" i="7" s="1"/>
  <c r="M35" i="7" s="1"/>
  <c r="O35" i="7" s="1"/>
  <c r="J33" i="7"/>
  <c r="K33" i="7" s="1"/>
  <c r="L33" i="7" s="1"/>
  <c r="M33" i="7" s="1"/>
  <c r="O33" i="7" s="1"/>
  <c r="J37" i="7"/>
  <c r="K37" i="7" s="1"/>
  <c r="L37" i="7" s="1"/>
  <c r="M37" i="7" s="1"/>
  <c r="O37" i="7" s="1"/>
  <c r="O34" i="7" l="1"/>
  <c r="T33" i="7"/>
  <c r="U33" i="7" s="1"/>
  <c r="P33" i="7"/>
  <c r="R33" i="7" s="1"/>
  <c r="S33" i="7" s="1"/>
  <c r="T48" i="7"/>
  <c r="U48" i="7" s="1"/>
  <c r="P48" i="7"/>
  <c r="R48" i="7" s="1"/>
  <c r="S48" i="7" s="1"/>
  <c r="T50" i="7"/>
  <c r="U50" i="7" s="1"/>
  <c r="P50" i="7"/>
  <c r="R50" i="7" s="1"/>
  <c r="S50" i="7" s="1"/>
  <c r="T37" i="7"/>
  <c r="U37" i="7" s="1"/>
  <c r="P37" i="7"/>
  <c r="R37" i="7" s="1"/>
  <c r="S37" i="7" s="1"/>
  <c r="T35" i="7"/>
  <c r="U35" i="7" s="1"/>
  <c r="P35" i="7"/>
  <c r="R35" i="7" s="1"/>
  <c r="S35" i="7" s="1"/>
  <c r="T36" i="7"/>
  <c r="U36" i="7" s="1"/>
  <c r="P36" i="7"/>
  <c r="R36" i="7" s="1"/>
  <c r="S36" i="7" s="1"/>
  <c r="T49" i="7"/>
  <c r="U49" i="7" s="1"/>
  <c r="P49" i="7"/>
  <c r="R49" i="7" s="1"/>
  <c r="S49" i="7" s="1"/>
  <c r="J24" i="7"/>
  <c r="K24" i="7" s="1"/>
  <c r="L24" i="7" s="1"/>
  <c r="O24" i="7" s="1"/>
  <c r="T24" i="7" s="1"/>
  <c r="J31" i="7"/>
  <c r="K31" i="7" s="1"/>
  <c r="L31" i="7" s="1"/>
  <c r="M31" i="7" s="1"/>
  <c r="O31" i="7" s="1"/>
  <c r="J32" i="7"/>
  <c r="K32" i="7" s="1"/>
  <c r="L32" i="7" s="1"/>
  <c r="M32" i="7" s="1"/>
  <c r="O32" i="7" s="1"/>
  <c r="J43" i="7"/>
  <c r="K43" i="7" s="1"/>
  <c r="L43" i="7" s="1"/>
  <c r="M43" i="7" s="1"/>
  <c r="O43" i="7" s="1"/>
  <c r="J9" i="7"/>
  <c r="K9" i="7" s="1"/>
  <c r="L9" i="7" s="1"/>
  <c r="M9" i="7" s="1"/>
  <c r="O9" i="7" s="1"/>
  <c r="J14" i="7"/>
  <c r="K14" i="7" s="1"/>
  <c r="L14" i="7" s="1"/>
  <c r="M14" i="7" s="1"/>
  <c r="O14" i="7" s="1"/>
  <c r="J66" i="7"/>
  <c r="K66" i="7" s="1"/>
  <c r="L66" i="7" s="1"/>
  <c r="O66" i="7" s="1"/>
  <c r="T66" i="7" s="1"/>
  <c r="J68" i="7"/>
  <c r="K68" i="7" s="1"/>
  <c r="L68" i="7" s="1"/>
  <c r="O68" i="7" s="1"/>
  <c r="T68" i="7" s="1"/>
  <c r="J60" i="7"/>
  <c r="K60" i="7" s="1"/>
  <c r="L60" i="7" s="1"/>
  <c r="O60" i="7" s="1"/>
  <c r="T60" i="7" s="1"/>
  <c r="J41" i="7"/>
  <c r="K41" i="7" s="1"/>
  <c r="L41" i="7" s="1"/>
  <c r="M41" i="7" s="1"/>
  <c r="O41" i="7" s="1"/>
  <c r="J27" i="7"/>
  <c r="K27" i="7" s="1"/>
  <c r="L27" i="7" s="1"/>
  <c r="M27" i="7" s="1"/>
  <c r="O27" i="7" s="1"/>
  <c r="J22" i="7"/>
  <c r="K22" i="7" s="1"/>
  <c r="L22" i="7" s="1"/>
  <c r="O22" i="7" s="1"/>
  <c r="J21" i="7"/>
  <c r="K21" i="7" s="1"/>
  <c r="L21" i="7" s="1"/>
  <c r="M21" i="7" s="1"/>
  <c r="O21" i="7" s="1"/>
  <c r="J61" i="7"/>
  <c r="K61" i="7" s="1"/>
  <c r="L61" i="7" s="1"/>
  <c r="O61" i="7" s="1"/>
  <c r="T61" i="7" s="1"/>
  <c r="J42" i="7"/>
  <c r="K42" i="7" s="1"/>
  <c r="L42" i="7" s="1"/>
  <c r="M42" i="7" s="1"/>
  <c r="O42" i="7" s="1"/>
  <c r="J7" i="7"/>
  <c r="K7" i="7" s="1"/>
  <c r="L7" i="7" s="1"/>
  <c r="M7" i="7" s="1"/>
  <c r="O7" i="7" s="1"/>
  <c r="J65" i="7"/>
  <c r="K65" i="7" s="1"/>
  <c r="L65" i="7" s="1"/>
  <c r="O65" i="7" s="1"/>
  <c r="T65" i="7" s="1"/>
  <c r="J40" i="7"/>
  <c r="K40" i="7" s="1"/>
  <c r="L40" i="7" s="1"/>
  <c r="M40" i="7" s="1"/>
  <c r="J20" i="7"/>
  <c r="K20" i="7" s="1"/>
  <c r="L20" i="7" s="1"/>
  <c r="O20" i="7" s="1"/>
  <c r="J70" i="7"/>
  <c r="K70" i="7" s="1"/>
  <c r="L70" i="7" s="1"/>
  <c r="O70" i="7" s="1"/>
  <c r="T70" i="7" s="1"/>
  <c r="J51" i="7"/>
  <c r="K51" i="7" s="1"/>
  <c r="L51" i="7" s="1"/>
  <c r="M51" i="7" s="1"/>
  <c r="O51" i="7" s="1"/>
  <c r="J67" i="7"/>
  <c r="K67" i="7" s="1"/>
  <c r="L67" i="7" s="1"/>
  <c r="O67" i="7" s="1"/>
  <c r="T67" i="7" s="1"/>
  <c r="J56" i="7"/>
  <c r="K56" i="7" s="1"/>
  <c r="L56" i="7" s="1"/>
  <c r="O56" i="7" s="1"/>
  <c r="T56" i="7" s="1"/>
  <c r="J10" i="7"/>
  <c r="K10" i="7" s="1"/>
  <c r="L10" i="7" s="1"/>
  <c r="M10" i="7" s="1"/>
  <c r="O10" i="7" s="1"/>
  <c r="J57" i="7"/>
  <c r="K57" i="7" s="1"/>
  <c r="L57" i="7" s="1"/>
  <c r="O57" i="7" s="1"/>
  <c r="T57" i="7" s="1"/>
  <c r="J59" i="7"/>
  <c r="K59" i="7" s="1"/>
  <c r="L59" i="7" s="1"/>
  <c r="O59" i="7" s="1"/>
  <c r="T59" i="7" s="1"/>
  <c r="J30" i="7"/>
  <c r="K30" i="7" s="1"/>
  <c r="L30" i="7" s="1"/>
  <c r="M30" i="7" s="1"/>
  <c r="O30" i="7" s="1"/>
  <c r="J64" i="7"/>
  <c r="K64" i="7" s="1"/>
  <c r="L64" i="7" s="1"/>
  <c r="O64" i="7" s="1"/>
  <c r="T64" i="7" s="1"/>
  <c r="J25" i="7"/>
  <c r="K25" i="7" s="1"/>
  <c r="L25" i="7" s="1"/>
  <c r="M25" i="7" s="1"/>
  <c r="O25" i="7" s="1"/>
  <c r="J29" i="7"/>
  <c r="K29" i="7" s="1"/>
  <c r="L29" i="7" s="1"/>
  <c r="M29" i="7" s="1"/>
  <c r="O29" i="7" s="1"/>
  <c r="J28" i="7"/>
  <c r="K28" i="7" s="1"/>
  <c r="L28" i="7" s="1"/>
  <c r="M28" i="7" s="1"/>
  <c r="O28" i="7" s="1"/>
  <c r="J63" i="7"/>
  <c r="K63" i="7" s="1"/>
  <c r="L63" i="7" s="1"/>
  <c r="O63" i="7" s="1"/>
  <c r="T63" i="7" s="1"/>
  <c r="J17" i="7"/>
  <c r="K17" i="7" s="1"/>
  <c r="L17" i="7" s="1"/>
  <c r="M17" i="7" s="1"/>
  <c r="O17" i="7" s="1"/>
  <c r="J19" i="7"/>
  <c r="J15" i="7"/>
  <c r="K15" i="7" s="1"/>
  <c r="L15" i="7" s="1"/>
  <c r="J62" i="7"/>
  <c r="K62" i="7" s="1"/>
  <c r="L62" i="7" s="1"/>
  <c r="O62" i="7" s="1"/>
  <c r="T62" i="7" s="1"/>
  <c r="J12" i="7"/>
  <c r="K12" i="7" s="1"/>
  <c r="L12" i="7" s="1"/>
  <c r="M12" i="7" s="1"/>
  <c r="O12" i="7" s="1"/>
  <c r="J58" i="7"/>
  <c r="K58" i="7" s="1"/>
  <c r="L58" i="7" s="1"/>
  <c r="O58" i="7" s="1"/>
  <c r="T58" i="7" s="1"/>
  <c r="J46" i="7"/>
  <c r="K46" i="7" s="1"/>
  <c r="L46" i="7" s="1"/>
  <c r="M46" i="7" s="1"/>
  <c r="O46" i="7" s="1"/>
  <c r="J23" i="7"/>
  <c r="K23" i="7" s="1"/>
  <c r="L23" i="7" s="1"/>
  <c r="M23" i="7" s="1"/>
  <c r="O23" i="7" s="1"/>
  <c r="J69" i="7"/>
  <c r="K69" i="7" s="1"/>
  <c r="L69" i="7" s="1"/>
  <c r="O69" i="7" s="1"/>
  <c r="T69" i="7" s="1"/>
  <c r="J8" i="7"/>
  <c r="K8" i="7" s="1"/>
  <c r="L8" i="7" s="1"/>
  <c r="M8" i="7" s="1"/>
  <c r="O8" i="7" s="1"/>
  <c r="J45" i="7"/>
  <c r="K45" i="7" s="1"/>
  <c r="L45" i="7" s="1"/>
  <c r="M45" i="7" s="1"/>
  <c r="O45" i="7" s="1"/>
  <c r="J16" i="7"/>
  <c r="K16" i="7" s="1"/>
  <c r="L16" i="7" s="1"/>
  <c r="M16" i="7" s="1"/>
  <c r="O16" i="7" s="1"/>
  <c r="J26" i="7"/>
  <c r="K26" i="7" s="1"/>
  <c r="L26" i="7" s="1"/>
  <c r="M26" i="7" s="1"/>
  <c r="O26" i="7" s="1"/>
  <c r="J47" i="7"/>
  <c r="K47" i="7" s="1"/>
  <c r="L47" i="7" s="1"/>
  <c r="M47" i="7" s="1"/>
  <c r="O47" i="7" s="1"/>
  <c r="J11" i="7"/>
  <c r="K11" i="7" s="1"/>
  <c r="L11" i="7" s="1"/>
  <c r="M11" i="7" s="1"/>
  <c r="O11" i="7" s="1"/>
  <c r="J13" i="7"/>
  <c r="K13" i="7" s="1"/>
  <c r="L13" i="7" s="1"/>
  <c r="M13" i="7" s="1"/>
  <c r="O13" i="7" s="1"/>
  <c r="M15" i="7" l="1"/>
  <c r="O15" i="7" s="1"/>
  <c r="T43" i="7"/>
  <c r="U43" i="7" s="1"/>
  <c r="P43" i="7"/>
  <c r="R43" i="7" s="1"/>
  <c r="S43" i="7" s="1"/>
  <c r="T17" i="7"/>
  <c r="U17" i="7" s="1"/>
  <c r="P17" i="7"/>
  <c r="R17" i="7" s="1"/>
  <c r="S17" i="7" s="1"/>
  <c r="T51" i="7"/>
  <c r="U51" i="7" s="1"/>
  <c r="P51" i="7"/>
  <c r="R51" i="7" s="1"/>
  <c r="S51" i="7" s="1"/>
  <c r="T21" i="7"/>
  <c r="U21" i="7" s="1"/>
  <c r="P21" i="7"/>
  <c r="R21" i="7" s="1"/>
  <c r="S21" i="7" s="1"/>
  <c r="T45" i="7"/>
  <c r="U45" i="7" s="1"/>
  <c r="P45" i="7"/>
  <c r="R45" i="7" s="1"/>
  <c r="T22" i="7"/>
  <c r="U22" i="7" s="1"/>
  <c r="P22" i="7"/>
  <c r="R22" i="7" s="1"/>
  <c r="S22" i="7" s="1"/>
  <c r="T8" i="7"/>
  <c r="U8" i="7" s="1"/>
  <c r="P8" i="7"/>
  <c r="R8" i="7" s="1"/>
  <c r="S8" i="7" s="1"/>
  <c r="T28" i="7"/>
  <c r="U28" i="7" s="1"/>
  <c r="P28" i="7"/>
  <c r="R28" i="7" s="1"/>
  <c r="S28" i="7" s="1"/>
  <c r="T30" i="7"/>
  <c r="U30" i="7" s="1"/>
  <c r="P30" i="7"/>
  <c r="R30" i="7" s="1"/>
  <c r="S30" i="7" s="1"/>
  <c r="T20" i="7"/>
  <c r="U20" i="7" s="1"/>
  <c r="P20" i="7"/>
  <c r="R20" i="7" s="1"/>
  <c r="S20" i="7" s="1"/>
  <c r="T42" i="7"/>
  <c r="U42" i="7" s="1"/>
  <c r="P42" i="7"/>
  <c r="R42" i="7" s="1"/>
  <c r="S42" i="7" s="1"/>
  <c r="T27" i="7"/>
  <c r="U27" i="7" s="1"/>
  <c r="P27" i="7"/>
  <c r="R27" i="7" s="1"/>
  <c r="S27" i="7" s="1"/>
  <c r="P32" i="7"/>
  <c r="R32" i="7" s="1"/>
  <c r="S32" i="7" s="1"/>
  <c r="T32" i="7"/>
  <c r="U32" i="7" s="1"/>
  <c r="T13" i="7"/>
  <c r="U13" i="7" s="1"/>
  <c r="P13" i="7"/>
  <c r="R13" i="7" s="1"/>
  <c r="S13" i="7" s="1"/>
  <c r="T16" i="7"/>
  <c r="U16" i="7" s="1"/>
  <c r="P16" i="7"/>
  <c r="R16" i="7" s="1"/>
  <c r="S16" i="7" s="1"/>
  <c r="T12" i="7"/>
  <c r="U12" i="7" s="1"/>
  <c r="P12" i="7"/>
  <c r="R12" i="7" s="1"/>
  <c r="S12" i="7" s="1"/>
  <c r="T25" i="7"/>
  <c r="U25" i="7" s="1"/>
  <c r="P25" i="7"/>
  <c r="R25" i="7" s="1"/>
  <c r="S25" i="7" s="1"/>
  <c r="T11" i="7"/>
  <c r="U11" i="7" s="1"/>
  <c r="P11" i="7"/>
  <c r="R11" i="7" s="1"/>
  <c r="S11" i="7" s="1"/>
  <c r="P23" i="7"/>
  <c r="R23" i="7" s="1"/>
  <c r="S23" i="7" s="1"/>
  <c r="T23" i="7"/>
  <c r="U23" i="7" s="1"/>
  <c r="T10" i="7"/>
  <c r="U10" i="7" s="1"/>
  <c r="P10" i="7"/>
  <c r="R10" i="7" s="1"/>
  <c r="S10" i="7" s="1"/>
  <c r="T7" i="7"/>
  <c r="U7" i="7" s="1"/>
  <c r="P7" i="7"/>
  <c r="R7" i="7" s="1"/>
  <c r="S7" i="7" s="1"/>
  <c r="T47" i="7"/>
  <c r="U47" i="7" s="1"/>
  <c r="P47" i="7"/>
  <c r="R47" i="7" s="1"/>
  <c r="S47" i="7" s="1"/>
  <c r="T46" i="7"/>
  <c r="U46" i="7" s="1"/>
  <c r="P46" i="7"/>
  <c r="R46" i="7" s="1"/>
  <c r="S46" i="7" s="1"/>
  <c r="T26" i="7"/>
  <c r="U26" i="7" s="1"/>
  <c r="P26" i="7"/>
  <c r="R26" i="7" s="1"/>
  <c r="S26" i="7" s="1"/>
  <c r="J18" i="7"/>
  <c r="T29" i="7"/>
  <c r="U29" i="7" s="1"/>
  <c r="P29" i="7"/>
  <c r="R29" i="7" s="1"/>
  <c r="S29" i="7" s="1"/>
  <c r="T41" i="7"/>
  <c r="U41" i="7" s="1"/>
  <c r="P41" i="7"/>
  <c r="R41" i="7" s="1"/>
  <c r="S41" i="7" s="1"/>
  <c r="T14" i="7"/>
  <c r="U14" i="7" s="1"/>
  <c r="P14" i="7"/>
  <c r="R14" i="7" s="1"/>
  <c r="S14" i="7" s="1"/>
  <c r="P31" i="7"/>
  <c r="R31" i="7" s="1"/>
  <c r="S31" i="7" s="1"/>
  <c r="T31" i="7"/>
  <c r="U31" i="7" s="1"/>
  <c r="T34" i="7"/>
  <c r="U34" i="7" s="1"/>
  <c r="P34" i="7"/>
  <c r="R34" i="7" s="1"/>
  <c r="S34" i="7" s="1"/>
  <c r="T9" i="7"/>
  <c r="U9" i="7" s="1"/>
  <c r="P9" i="7"/>
  <c r="R9" i="7" s="1"/>
  <c r="S9" i="7" s="1"/>
  <c r="U24" i="7"/>
  <c r="P24" i="7"/>
  <c r="R24" i="7" s="1"/>
  <c r="K6" i="7"/>
  <c r="L6" i="7" s="1"/>
  <c r="M6" i="7" s="1"/>
  <c r="O6" i="7" s="1"/>
  <c r="J38" i="7"/>
  <c r="K19" i="7"/>
  <c r="L19" i="7" s="1"/>
  <c r="M19" i="7" s="1"/>
  <c r="O19" i="7" s="1"/>
  <c r="J44" i="7"/>
  <c r="J52" i="7"/>
  <c r="O40" i="7"/>
  <c r="T15" i="7" l="1"/>
  <c r="U15" i="7" s="1"/>
  <c r="P15" i="7"/>
  <c r="R15" i="7" s="1"/>
  <c r="S15" i="7" s="1"/>
  <c r="U52" i="7"/>
  <c r="T52" i="7"/>
  <c r="T40" i="7"/>
  <c r="U40" i="7" s="1"/>
  <c r="U44" i="7" s="1"/>
  <c r="P40" i="7"/>
  <c r="R40" i="7" s="1"/>
  <c r="S45" i="7"/>
  <c r="S52" i="7" s="1"/>
  <c r="R52" i="7"/>
  <c r="P19" i="7"/>
  <c r="R19" i="7" s="1"/>
  <c r="S19" i="7" s="1"/>
  <c r="T19" i="7"/>
  <c r="U19" i="7" s="1"/>
  <c r="U38" i="7" s="1"/>
  <c r="T6" i="7"/>
  <c r="U6" i="7" s="1"/>
  <c r="P6" i="7"/>
  <c r="R6" i="7" s="1"/>
  <c r="S24" i="7"/>
  <c r="J53" i="7"/>
  <c r="U18" i="7" l="1"/>
  <c r="U53" i="7" s="1"/>
  <c r="B28" i="4" s="1"/>
  <c r="S38" i="7"/>
  <c r="T44" i="7"/>
  <c r="T18" i="7"/>
  <c r="R38" i="7"/>
  <c r="T38" i="7"/>
  <c r="S6" i="7"/>
  <c r="S18" i="7" s="1"/>
  <c r="R18" i="7"/>
  <c r="R44" i="7"/>
  <c r="S40" i="7"/>
  <c r="S44" i="7" s="1"/>
  <c r="T53" i="7" l="1"/>
  <c r="S53" i="7"/>
  <c r="B25" i="4" s="1"/>
  <c r="B26" i="4" s="1"/>
  <c r="R53" i="7"/>
  <c r="B29" i="4"/>
  <c r="C29" i="4" s="1"/>
</calcChain>
</file>

<file path=xl/comments1.xml><?xml version="1.0" encoding="utf-8"?>
<comments xmlns="http://schemas.openxmlformats.org/spreadsheetml/2006/main">
  <authors>
    <author>Randy Poole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Randy Poole:</t>
        </r>
        <r>
          <rPr>
            <sz val="9"/>
            <color indexed="81"/>
            <rFont val="Tahoma"/>
            <family val="2"/>
          </rPr>
          <t xml:space="preserve">
Referenced from Bainbridge and Waste Control price-outs; the highlighted I could not find reference for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Randy Poole:</t>
        </r>
        <r>
          <rPr>
            <sz val="9"/>
            <color indexed="81"/>
            <rFont val="Tahoma"/>
            <family val="2"/>
          </rPr>
          <t xml:space="preserve">
Delete this column?</t>
        </r>
      </text>
    </comment>
    <comment ref="D55" authorId="0" shapeId="0">
      <text>
        <r>
          <rPr>
            <b/>
            <sz val="9"/>
            <color indexed="81"/>
            <rFont val="Tahoma"/>
            <family val="2"/>
          </rPr>
          <t>Randy Poole:</t>
        </r>
        <r>
          <rPr>
            <sz val="9"/>
            <color indexed="81"/>
            <rFont val="Tahoma"/>
            <family val="2"/>
          </rPr>
          <t xml:space="preserve">
Not updated</t>
        </r>
      </text>
    </comment>
  </commentList>
</comments>
</file>

<file path=xl/sharedStrings.xml><?xml version="1.0" encoding="utf-8"?>
<sst xmlns="http://schemas.openxmlformats.org/spreadsheetml/2006/main" count="151" uniqueCount="139">
  <si>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</si>
  <si>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</si>
  <si>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</si>
  <si>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</si>
  <si>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</si>
  <si>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</si>
  <si>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</si>
  <si>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</si>
  <si>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>Increase</t>
  </si>
  <si>
    <t>Disposal fee</t>
  </si>
  <si>
    <t>Meeks Weights</t>
  </si>
  <si>
    <t>Adjustment factor</t>
  </si>
  <si>
    <t>Collected Revenue Excess/(Deficiency)</t>
  </si>
  <si>
    <t>Residential</t>
  </si>
  <si>
    <t>Commercial</t>
  </si>
  <si>
    <t>mini can EOW</t>
  </si>
  <si>
    <t>mini can MG</t>
  </si>
  <si>
    <t>2 cans MG</t>
  </si>
  <si>
    <t>3 cans MG</t>
  </si>
  <si>
    <t>4 can EOW</t>
  </si>
  <si>
    <t>4 cans MG</t>
  </si>
  <si>
    <t>64 gal cart EOW</t>
  </si>
  <si>
    <t>64 gal cart MG</t>
  </si>
  <si>
    <t>96 gal cart EOW</t>
  </si>
  <si>
    <t>96 gal cart MG</t>
  </si>
  <si>
    <t>Extra minican</t>
  </si>
  <si>
    <t>Extra bag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</si>
  <si>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</si>
  <si>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</si>
  <si>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</si>
  <si>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</si>
  <si>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</si>
  <si>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</si>
  <si>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</si>
  <si>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</si>
  <si>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</si>
  <si>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</si>
  <si>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</si>
  <si>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</si>
  <si>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</si>
  <si>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</si>
  <si>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</si>
  <si>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</si>
  <si>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</si>
  <si>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Bags-on call</t>
  </si>
  <si>
    <t>Total Tonnage</t>
  </si>
  <si>
    <t>Total Pounds</t>
  </si>
  <si>
    <t>Calculated Annual Pounds</t>
  </si>
  <si>
    <t>Adjusted Annual Pounds</t>
  </si>
  <si>
    <t>No Current Customers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</si>
  <si>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</si>
  <si>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</si>
  <si>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</si>
  <si>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</si>
  <si>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</si>
  <si>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</si>
  <si>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</si>
  <si>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>Tariff Rate Increase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</si>
  <si>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</si>
  <si>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</si>
  <si>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</si>
  <si>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</si>
  <si>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</si>
  <si>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</si>
  <si>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</si>
  <si>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Revenue from Revised Rates</t>
  </si>
  <si>
    <t>4 units</t>
  </si>
  <si>
    <t>Some County Disposal Fees</t>
  </si>
  <si>
    <t>Current Rate</t>
  </si>
  <si>
    <t>New Rate</t>
  </si>
  <si>
    <t>Staff Revenue Increase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</si>
  <si>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</si>
  <si>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</si>
  <si>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</si>
  <si>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</si>
  <si>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</si>
  <si>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</si>
  <si>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</si>
  <si>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</si>
  <si>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</si>
  <si>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</si>
  <si>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</si>
  <si>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</si>
  <si>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</si>
  <si>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</si>
  <si>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</si>
  <si>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</si>
  <si>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</si>
  <si>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</si>
  <si>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</si>
  <si>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</si>
  <si>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</si>
  <si>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</si>
  <si>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Pullman Disposal</t>
  </si>
  <si>
    <t>Note: Include bad debt if it was included in Lurito model</t>
  </si>
  <si>
    <t>6 cans weekly</t>
  </si>
  <si>
    <t>1 can weekly</t>
  </si>
  <si>
    <t>2 cans weekly</t>
  </si>
  <si>
    <t>3 cans weekly</t>
  </si>
  <si>
    <t>4 cans weekly</t>
  </si>
  <si>
    <t>5 cans weekly</t>
  </si>
  <si>
    <t>Mini-can weekly</t>
  </si>
  <si>
    <t>68 Gal weekly</t>
  </si>
  <si>
    <t>95 Gal weekly</t>
  </si>
  <si>
    <t>68 Gal YW eow</t>
  </si>
  <si>
    <t>95 Gal YW eow</t>
  </si>
  <si>
    <t>Micro-can weekly</t>
  </si>
  <si>
    <t>1.0 Yd. pu</t>
  </si>
  <si>
    <t>1.0 Yd. rent</t>
  </si>
  <si>
    <t>1.5 Yd. rent</t>
  </si>
  <si>
    <t>1.5 Yd. pu</t>
  </si>
  <si>
    <t>2.0 Yd. rent</t>
  </si>
  <si>
    <t>2.0 Yd, pu</t>
  </si>
  <si>
    <t>3.0 Yd. rent</t>
  </si>
  <si>
    <t>3.0 Yd. pu</t>
  </si>
  <si>
    <t>4.0 Yd. rent</t>
  </si>
  <si>
    <t>4.0 Yd. pu</t>
  </si>
  <si>
    <t>6.0 Yd. rent</t>
  </si>
  <si>
    <t>6.0 Yd. pu</t>
  </si>
  <si>
    <t>8.0 Yd. rent</t>
  </si>
  <si>
    <t>8.0 Yd. pu</t>
  </si>
  <si>
    <t>20,30,40 Yd rent</t>
  </si>
  <si>
    <t>20 Yd p/u</t>
  </si>
  <si>
    <t>30 Yd p/u</t>
  </si>
  <si>
    <t>40 Yd p/u</t>
  </si>
  <si>
    <t>10-25 cmpctr p/u</t>
  </si>
  <si>
    <t>Distance 5'-25'</t>
  </si>
  <si>
    <t>Drive Ins</t>
  </si>
  <si>
    <t>Loose Yards</t>
  </si>
  <si>
    <t>Cans</t>
  </si>
  <si>
    <t>Rollout</t>
  </si>
  <si>
    <t>Lock change</t>
  </si>
  <si>
    <t>Latching fee</t>
  </si>
  <si>
    <t>Daily rent (avg)</t>
  </si>
  <si>
    <t>Extra 64 gal cart</t>
  </si>
  <si>
    <t>Extra 96 gal cart</t>
  </si>
  <si>
    <t>Drop Box</t>
  </si>
  <si>
    <t>change in tariff</t>
  </si>
  <si>
    <t>Once/month "On-call"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</si>
</sst>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0.000000"/>
    <numFmt numFmtId="170" formatCode="General_)"/>
    <numFmt numFmtId="171" formatCode="0.0%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41" fontId="3" fillId="0" borderId="0"/>
    <xf numFmtId="0" fontId="11" fillId="10" borderId="0" applyNumberFormat="0" applyBorder="0" applyAlignment="0" applyProtection="0"/>
    <xf numFmtId="3" fontId="3" fillId="0" borderId="0"/>
    <xf numFmtId="0" fontId="12" fillId="11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3" fillId="0" borderId="0"/>
    <xf numFmtId="0" fontId="14" fillId="0" borderId="0"/>
    <xf numFmtId="0" fontId="14" fillId="0" borderId="0"/>
    <xf numFmtId="0" fontId="15" fillId="12" borderId="1" applyAlignment="0">
      <alignment horizontal="right"/>
      <protection locked="0"/>
    </xf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" fillId="13" borderId="0">
      <alignment horizontal="right"/>
      <protection locked="0"/>
    </xf>
    <xf numFmtId="2" fontId="16" fillId="13" borderId="0">
      <alignment horizontal="right"/>
      <protection locked="0"/>
    </xf>
    <xf numFmtId="0" fontId="17" fillId="1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3" fontId="23" fillId="15" borderId="0">
      <protection locked="0"/>
    </xf>
    <xf numFmtId="4" fontId="23" fillId="15" borderId="0">
      <protection locked="0"/>
    </xf>
    <xf numFmtId="0" fontId="24" fillId="0" borderId="10" applyNumberFormat="0" applyFill="0" applyAlignment="0" applyProtection="0"/>
    <xf numFmtId="0" fontId="25" fillId="4" borderId="0" applyNumberFormat="0" applyBorder="0" applyAlignment="0" applyProtection="0"/>
    <xf numFmtId="43" fontId="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26" fillId="0" borderId="0"/>
    <xf numFmtId="0" fontId="27" fillId="0" borderId="0"/>
    <xf numFmtId="0" fontId="2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16" borderId="11" applyNumberFormat="0" applyFont="0" applyAlignment="0" applyProtection="0"/>
    <xf numFmtId="171" fontId="28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17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29" fillId="0" borderId="0" applyNumberFormat="0" applyFont="0" applyFill="0" applyBorder="0" applyAlignment="0" applyProtection="0">
      <alignment horizontal="left"/>
    </xf>
    <xf numFmtId="0" fontId="30" fillId="0" borderId="5">
      <alignment horizontal="center"/>
    </xf>
    <xf numFmtId="0" fontId="13" fillId="0" borderId="0">
      <alignment vertical="top"/>
    </xf>
    <xf numFmtId="0" fontId="13" fillId="0" borderId="0" applyNumberFormat="0" applyBorder="0" applyAlignment="0"/>
    <xf numFmtId="0" fontId="31" fillId="0" borderId="12" applyNumberFormat="0" applyFill="0" applyAlignment="0" applyProtection="0"/>
  </cellStyleXfs>
  <cellXfs count="1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4" fontId="0" fillId="0" borderId="0" xfId="2" applyFont="1"/>
    <xf numFmtId="44" fontId="0" fillId="0" borderId="1" xfId="2" applyFont="1" applyBorder="1"/>
    <xf numFmtId="0" fontId="0" fillId="0" borderId="0" xfId="0" applyAlignment="1">
      <alignment horizontal="right"/>
    </xf>
    <xf numFmtId="165" fontId="0" fillId="0" borderId="0" xfId="2" applyNumberFormat="1" applyFont="1"/>
    <xf numFmtId="165" fontId="0" fillId="0" borderId="1" xfId="2" applyNumberFormat="1" applyFont="1" applyBorder="1"/>
    <xf numFmtId="0" fontId="4" fillId="0" borderId="0" xfId="4" applyFont="1" applyFill="1" applyBorder="1" applyAlignment="1">
      <alignment horizontal="left"/>
    </xf>
    <xf numFmtId="44" fontId="0" fillId="0" borderId="0" xfId="0" applyNumberFormat="1" applyBorder="1"/>
    <xf numFmtId="164" fontId="0" fillId="0" borderId="0" xfId="2" applyNumberFormat="1" applyFont="1" applyBorder="1"/>
    <xf numFmtId="164" fontId="0" fillId="0" borderId="0" xfId="0" applyNumberFormat="1" applyBorder="1"/>
    <xf numFmtId="10" fontId="0" fillId="0" borderId="0" xfId="3" applyNumberFormat="1" applyFont="1" applyBorder="1"/>
    <xf numFmtId="10" fontId="0" fillId="0" borderId="0" xfId="3" applyNumberFormat="1" applyFont="1"/>
    <xf numFmtId="43" fontId="0" fillId="0" borderId="0" xfId="0" applyNumberFormat="1" applyFill="1" applyBorder="1"/>
    <xf numFmtId="43" fontId="0" fillId="0" borderId="0" xfId="1" applyFont="1" applyFill="1" applyBorder="1"/>
    <xf numFmtId="0" fontId="0" fillId="0" borderId="0" xfId="0"/>
    <xf numFmtId="0" fontId="0" fillId="0" borderId="0" xfId="0" applyBorder="1"/>
    <xf numFmtId="0" fontId="3" fillId="0" borderId="0" xfId="4" applyFont="1" applyFill="1" applyBorder="1" applyAlignment="1">
      <alignment horizontal="left"/>
    </xf>
    <xf numFmtId="3" fontId="0" fillId="0" borderId="0" xfId="0" applyNumberFormat="1" applyFill="1" applyBorder="1"/>
    <xf numFmtId="43" fontId="0" fillId="0" borderId="0" xfId="1" applyFont="1" applyFill="1" applyBorder="1" applyAlignment="1">
      <alignment horizontal="center" wrapText="1"/>
    </xf>
    <xf numFmtId="167" fontId="0" fillId="0" borderId="0" xfId="1" applyNumberFormat="1" applyFont="1" applyFill="1" applyBorder="1"/>
    <xf numFmtId="167" fontId="0" fillId="0" borderId="0" xfId="1" applyNumberFormat="1" applyFont="1" applyFill="1"/>
    <xf numFmtId="0" fontId="0" fillId="0" borderId="0" xfId="0" applyFill="1"/>
    <xf numFmtId="3" fontId="0" fillId="0" borderId="1" xfId="0" applyNumberFormat="1" applyFill="1" applyBorder="1"/>
    <xf numFmtId="43" fontId="0" fillId="0" borderId="1" xfId="1" applyFont="1" applyFill="1" applyBorder="1"/>
    <xf numFmtId="43" fontId="0" fillId="0" borderId="1" xfId="0" applyNumberFormat="1" applyFill="1" applyBorder="1"/>
    <xf numFmtId="43" fontId="0" fillId="0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3" xfId="4" applyFont="1" applyFill="1" applyBorder="1" applyAlignment="1">
      <alignment horizontal="left"/>
    </xf>
    <xf numFmtId="3" fontId="0" fillId="0" borderId="3" xfId="0" applyNumberFormat="1" applyFill="1" applyBorder="1"/>
    <xf numFmtId="43" fontId="0" fillId="0" borderId="3" xfId="0" applyNumberFormat="1" applyFill="1" applyBorder="1"/>
    <xf numFmtId="43" fontId="0" fillId="0" borderId="3" xfId="1" applyFont="1" applyFill="1" applyBorder="1" applyAlignment="1">
      <alignment horizontal="center" wrapText="1"/>
    </xf>
    <xf numFmtId="43" fontId="0" fillId="0" borderId="3" xfId="1" applyFont="1" applyFill="1" applyBorder="1"/>
    <xf numFmtId="0" fontId="0" fillId="0" borderId="1" xfId="0" applyFill="1" applyBorder="1" applyAlignment="1">
      <alignment vertical="center"/>
    </xf>
    <xf numFmtId="0" fontId="3" fillId="0" borderId="1" xfId="4" applyFont="1" applyFill="1" applyBorder="1" applyAlignment="1">
      <alignment horizontal="left"/>
    </xf>
    <xf numFmtId="167" fontId="0" fillId="0" borderId="1" xfId="1" applyNumberFormat="1" applyFont="1" applyFill="1" applyBorder="1"/>
    <xf numFmtId="0" fontId="6" fillId="0" borderId="0" xfId="4" applyFont="1" applyFill="1" applyBorder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0" fontId="0" fillId="0" borderId="0" xfId="0" applyAlignment="1">
      <alignment horizontal="center"/>
    </xf>
    <xf numFmtId="0" fontId="5" fillId="0" borderId="1" xfId="0" applyFont="1" applyBorder="1"/>
    <xf numFmtId="44" fontId="0" fillId="0" borderId="0" xfId="0" applyNumberFormat="1"/>
    <xf numFmtId="169" fontId="0" fillId="0" borderId="0" xfId="0" applyNumberFormat="1"/>
    <xf numFmtId="0" fontId="5" fillId="0" borderId="0" xfId="0" applyFont="1"/>
    <xf numFmtId="0" fontId="0" fillId="0" borderId="0" xfId="0" applyBorder="1" applyAlignment="1">
      <alignment horizontal="left"/>
    </xf>
    <xf numFmtId="44" fontId="0" fillId="0" borderId="0" xfId="2" applyFont="1" applyBorder="1"/>
    <xf numFmtId="165" fontId="0" fillId="0" borderId="0" xfId="2" applyNumberFormat="1" applyFont="1" applyBorder="1"/>
    <xf numFmtId="166" fontId="0" fillId="0" borderId="0" xfId="0" applyNumberFormat="1" applyBorder="1"/>
    <xf numFmtId="0" fontId="2" fillId="0" borderId="0" xfId="0" applyFont="1" applyBorder="1"/>
    <xf numFmtId="168" fontId="2" fillId="0" borderId="0" xfId="1" applyNumberFormat="1" applyFont="1" applyBorder="1"/>
    <xf numFmtId="0" fontId="6" fillId="0" borderId="0" xfId="4" applyFont="1" applyFill="1" applyBorder="1" applyAlignment="1">
      <alignment horizontal="left"/>
    </xf>
    <xf numFmtId="3" fontId="5" fillId="0" borderId="0" xfId="0" applyNumberFormat="1" applyFont="1" applyFill="1" applyBorder="1"/>
    <xf numFmtId="44" fontId="0" fillId="0" borderId="3" xfId="1" applyNumberFormat="1" applyFont="1" applyFill="1" applyBorder="1"/>
    <xf numFmtId="44" fontId="0" fillId="0" borderId="0" xfId="1" applyNumberFormat="1" applyFont="1" applyFill="1" applyBorder="1"/>
    <xf numFmtId="4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5" fillId="0" borderId="0" xfId="0" applyNumberFormat="1" applyFont="1" applyFill="1" applyBorder="1"/>
    <xf numFmtId="3" fontId="5" fillId="0" borderId="1" xfId="0" applyNumberFormat="1" applyFont="1" applyFill="1" applyBorder="1"/>
    <xf numFmtId="164" fontId="0" fillId="0" borderId="0" xfId="0" applyNumberFormat="1"/>
    <xf numFmtId="43" fontId="0" fillId="0" borderId="2" xfId="1" applyFont="1" applyFill="1" applyBorder="1"/>
    <xf numFmtId="44" fontId="0" fillId="0" borderId="0" xfId="2" applyNumberFormat="1" applyFont="1" applyFill="1" applyBorder="1"/>
    <xf numFmtId="44" fontId="0" fillId="0" borderId="1" xfId="2" applyNumberFormat="1" applyFont="1" applyFill="1" applyBorder="1"/>
    <xf numFmtId="167" fontId="0" fillId="0" borderId="3" xfId="0" applyNumberForma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167" fontId="5" fillId="0" borderId="0" xfId="0" applyNumberFormat="1" applyFont="1" applyFill="1" applyBorder="1"/>
    <xf numFmtId="167" fontId="5" fillId="0" borderId="1" xfId="0" applyNumberFormat="1" applyFont="1" applyFill="1" applyBorder="1"/>
    <xf numFmtId="43" fontId="5" fillId="0" borderId="2" xfId="1" applyFont="1" applyFill="1" applyBorder="1" applyAlignment="1">
      <alignment wrapText="1"/>
    </xf>
    <xf numFmtId="0" fontId="0" fillId="0" borderId="2" xfId="0" applyFill="1" applyBorder="1"/>
    <xf numFmtId="0" fontId="6" fillId="0" borderId="2" xfId="4" applyFont="1" applyFill="1" applyBorder="1" applyAlignment="1">
      <alignment horizontal="left"/>
    </xf>
    <xf numFmtId="0" fontId="0" fillId="0" borderId="2" xfId="0" applyFill="1" applyBorder="1" applyAlignment="1">
      <alignment vertical="center" textRotation="90"/>
    </xf>
    <xf numFmtId="0" fontId="0" fillId="0" borderId="2" xfId="0" applyBorder="1"/>
    <xf numFmtId="0" fontId="6" fillId="0" borderId="2" xfId="4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3" fontId="5" fillId="0" borderId="2" xfId="0" applyNumberFormat="1" applyFont="1" applyFill="1" applyBorder="1"/>
    <xf numFmtId="0" fontId="6" fillId="0" borderId="0" xfId="4" applyFont="1" applyFill="1" applyBorder="1" applyAlignment="1">
      <alignment horizontal="center" vertical="center"/>
    </xf>
    <xf numFmtId="164" fontId="0" fillId="0" borderId="3" xfId="1" applyNumberFormat="1" applyFont="1" applyFill="1" applyBorder="1"/>
    <xf numFmtId="164" fontId="5" fillId="0" borderId="1" xfId="0" applyNumberFormat="1" applyFont="1" applyFill="1" applyBorder="1"/>
    <xf numFmtId="164" fontId="0" fillId="0" borderId="0" xfId="1" applyNumberFormat="1" applyFont="1" applyFill="1"/>
    <xf numFmtId="164" fontId="5" fillId="0" borderId="1" xfId="1" applyNumberFormat="1" applyFont="1" applyFill="1" applyBorder="1"/>
    <xf numFmtId="164" fontId="5" fillId="0" borderId="2" xfId="1" applyNumberFormat="1" applyFont="1" applyBorder="1" applyAlignment="1">
      <alignment horizontal="center" wrapText="1"/>
    </xf>
    <xf numFmtId="164" fontId="5" fillId="0" borderId="2" xfId="0" applyNumberFormat="1" applyFont="1" applyBorder="1"/>
    <xf numFmtId="44" fontId="0" fillId="0" borderId="0" xfId="1" applyNumberFormat="1" applyFont="1" applyFill="1" applyBorder="1" applyAlignment="1">
      <alignment horizontal="center" wrapText="1"/>
    </xf>
    <xf numFmtId="44" fontId="0" fillId="0" borderId="1" xfId="1" applyNumberFormat="1" applyFont="1" applyFill="1" applyBorder="1" applyAlignment="1">
      <alignment horizontal="center" wrapText="1"/>
    </xf>
    <xf numFmtId="44" fontId="5" fillId="0" borderId="2" xfId="1" applyNumberFormat="1" applyFont="1" applyFill="1" applyBorder="1" applyAlignment="1">
      <alignment horizontal="center" wrapText="1"/>
    </xf>
    <xf numFmtId="44" fontId="5" fillId="0" borderId="0" xfId="1" applyNumberFormat="1" applyFont="1" applyFill="1" applyBorder="1" applyAlignment="1">
      <alignment horizontal="center" wrapText="1"/>
    </xf>
    <xf numFmtId="0" fontId="0" fillId="0" borderId="4" xfId="0" applyBorder="1"/>
    <xf numFmtId="0" fontId="6" fillId="0" borderId="4" xfId="4" applyFont="1" applyFill="1" applyBorder="1" applyAlignment="1">
      <alignment horizontal="left"/>
    </xf>
    <xf numFmtId="164" fontId="5" fillId="0" borderId="4" xfId="0" applyNumberFormat="1" applyFont="1" applyBorder="1"/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164" fontId="0" fillId="0" borderId="0" xfId="2" applyNumberFormat="1" applyFont="1" applyFill="1" applyBorder="1"/>
    <xf numFmtId="164" fontId="0" fillId="0" borderId="0" xfId="0" applyNumberFormat="1" applyFill="1" applyBorder="1"/>
    <xf numFmtId="0" fontId="0" fillId="0" borderId="1" xfId="0" applyBorder="1" applyAlignment="1">
      <alignment horizontal="center"/>
    </xf>
    <xf numFmtId="44" fontId="5" fillId="0" borderId="0" xfId="0" applyNumberFormat="1" applyFont="1"/>
    <xf numFmtId="44" fontId="5" fillId="0" borderId="1" xfId="0" applyNumberFormat="1" applyFont="1" applyBorder="1"/>
    <xf numFmtId="0" fontId="0" fillId="0" borderId="1" xfId="0" applyFill="1" applyBorder="1" applyAlignment="1">
      <alignment horizontal="center"/>
    </xf>
    <xf numFmtId="43" fontId="0" fillId="0" borderId="0" xfId="1" applyFont="1" applyAlignment="1">
      <alignment horizontal="center"/>
    </xf>
    <xf numFmtId="164" fontId="5" fillId="0" borderId="2" xfId="0" applyNumberFormat="1" applyFont="1" applyFill="1" applyBorder="1"/>
    <xf numFmtId="164" fontId="0" fillId="0" borderId="1" xfId="0" applyNumberFormat="1" applyFill="1" applyBorder="1"/>
    <xf numFmtId="164" fontId="5" fillId="0" borderId="2" xfId="1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/>
    <xf numFmtId="0" fontId="5" fillId="0" borderId="1" xfId="0" applyFon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/>
    <xf numFmtId="0" fontId="0" fillId="0" borderId="0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3" fontId="0" fillId="0" borderId="0" xfId="1" applyNumberFormat="1" applyFont="1" applyFill="1" applyAlignment="1">
      <alignment horizontal="center"/>
    </xf>
    <xf numFmtId="0" fontId="5" fillId="0" borderId="0" xfId="0" applyFont="1" applyFill="1"/>
    <xf numFmtId="43" fontId="0" fillId="0" borderId="1" xfId="1" applyNumberFormat="1" applyFont="1" applyFill="1" applyBorder="1"/>
    <xf numFmtId="0" fontId="34" fillId="0" borderId="0" xfId="0" applyFont="1" applyFill="1"/>
    <xf numFmtId="0" fontId="2" fillId="0" borderId="0" xfId="0" applyFont="1" applyFill="1" applyBorder="1"/>
    <xf numFmtId="168" fontId="2" fillId="0" borderId="0" xfId="1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right"/>
    </xf>
    <xf numFmtId="10" fontId="0" fillId="0" borderId="0" xfId="3" applyNumberFormat="1" applyFont="1" applyFill="1"/>
    <xf numFmtId="43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wrapText="1"/>
    </xf>
    <xf numFmtId="43" fontId="0" fillId="0" borderId="0" xfId="1" applyFont="1" applyFill="1" applyBorder="1" applyAlignment="1">
      <alignment wrapText="1"/>
    </xf>
    <xf numFmtId="43" fontId="0" fillId="0" borderId="1" xfId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7" fontId="5" fillId="0" borderId="0" xfId="1" applyNumberFormat="1" applyFont="1" applyFill="1" applyBorder="1" applyAlignment="1">
      <alignment horizontal="center" wrapText="1"/>
    </xf>
    <xf numFmtId="43" fontId="5" fillId="0" borderId="0" xfId="1" applyFont="1" applyFill="1" applyBorder="1" applyAlignment="1">
      <alignment horizontal="center" wrapText="1"/>
    </xf>
    <xf numFmtId="43" fontId="5" fillId="0" borderId="2" xfId="1" applyFont="1" applyFill="1" applyBorder="1" applyAlignment="1">
      <alignment horizontal="center" wrapText="1"/>
    </xf>
    <xf numFmtId="167" fontId="5" fillId="0" borderId="2" xfId="0" applyNumberFormat="1" applyFont="1" applyFill="1" applyBorder="1"/>
    <xf numFmtId="3" fontId="5" fillId="0" borderId="4" xfId="0" applyNumberFormat="1" applyFont="1" applyFill="1" applyBorder="1"/>
    <xf numFmtId="0" fontId="0" fillId="0" borderId="4" xfId="0" applyFill="1" applyBorder="1"/>
    <xf numFmtId="2" fontId="0" fillId="0" borderId="4" xfId="0" applyNumberFormat="1" applyFill="1" applyBorder="1"/>
    <xf numFmtId="0" fontId="0" fillId="0" borderId="0" xfId="0" applyFill="1" applyBorder="1" applyAlignment="1">
      <alignment horizontal="right"/>
    </xf>
    <xf numFmtId="44" fontId="0" fillId="0" borderId="0" xfId="2" applyFont="1" applyFill="1" applyBorder="1"/>
    <xf numFmtId="167" fontId="0" fillId="0" borderId="0" xfId="0" applyNumberFormat="1" applyFill="1"/>
    <xf numFmtId="0" fontId="0" fillId="0" borderId="0" xfId="0" applyFill="1" applyBorder="1"/>
    <xf numFmtId="10" fontId="0" fillId="0" borderId="0" xfId="3" applyNumberFormat="1" applyFont="1" applyFill="1" applyBorder="1"/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44" fontId="0" fillId="0" borderId="0" xfId="0" applyNumberFormat="1" applyFill="1" applyBorder="1"/>
    <xf numFmtId="165" fontId="0" fillId="0" borderId="0" xfId="2" applyNumberFormat="1" applyFont="1" applyFill="1" applyBorder="1"/>
    <xf numFmtId="0" fontId="0" fillId="0" borderId="0" xfId="0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</cellXfs>
  <cellStyles count="129">
    <cellStyle name="20% - Accent1 2" xfId="7"/>
    <cellStyle name="20% - Accent4 2" xfId="8"/>
    <cellStyle name="40% - Accent1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Accent1 2" xfId="18"/>
    <cellStyle name="Accent2 2" xfId="19"/>
    <cellStyle name="Accent3 2" xfId="20"/>
    <cellStyle name="Accent6 2" xfId="21"/>
    <cellStyle name="Accounting" xfId="22"/>
    <cellStyle name="Bad 2" xfId="23"/>
    <cellStyle name="Budget" xfId="24"/>
    <cellStyle name="Calculation 2" xfId="25"/>
    <cellStyle name="Comma" xfId="1" builtinId="3"/>
    <cellStyle name="Comma 10" xfId="26"/>
    <cellStyle name="Comma 11" xfId="27"/>
    <cellStyle name="Comma 12" xfId="28"/>
    <cellStyle name="Comma 13" xfId="29"/>
    <cellStyle name="Comma 14" xfId="30"/>
    <cellStyle name="Comma 15" xfId="31"/>
    <cellStyle name="Comma 16" xfId="32"/>
    <cellStyle name="Comma 17" xfId="33"/>
    <cellStyle name="Comma 2" xfId="5"/>
    <cellStyle name="Comma 2 2" xfId="34"/>
    <cellStyle name="Comma 2 3" xfId="35"/>
    <cellStyle name="Comma 3" xfId="36"/>
    <cellStyle name="Comma 3 2" xfId="37"/>
    <cellStyle name="Comma 3 2 2" xfId="38"/>
    <cellStyle name="Comma 3 3" xfId="39"/>
    <cellStyle name="Comma 4" xfId="40"/>
    <cellStyle name="Comma 4 2" xfId="41"/>
    <cellStyle name="Comma 4 3" xfId="42"/>
    <cellStyle name="Comma 4 4" xfId="43"/>
    <cellStyle name="Comma 4 5" xfId="44"/>
    <cellStyle name="Comma 5" xfId="45"/>
    <cellStyle name="Comma 6" xfId="46"/>
    <cellStyle name="Comma 7" xfId="47"/>
    <cellStyle name="Comma 8" xfId="48"/>
    <cellStyle name="Comma 9" xfId="49"/>
    <cellStyle name="Comma(2)" xfId="50"/>
    <cellStyle name="Comma0 - Style2" xfId="51"/>
    <cellStyle name="Comma1 - Style1" xfId="52"/>
    <cellStyle name="Comments" xfId="53"/>
    <cellStyle name="Currency" xfId="2" builtinId="4"/>
    <cellStyle name="Currency 2" xfId="6"/>
    <cellStyle name="Currency 2 2" xfId="54"/>
    <cellStyle name="Currency 3" xfId="55"/>
    <cellStyle name="Currency 4" xfId="56"/>
    <cellStyle name="Currency 5" xfId="57"/>
    <cellStyle name="Currency 6" xfId="58"/>
    <cellStyle name="Currency 7" xfId="59"/>
    <cellStyle name="Currency 9" xfId="60"/>
    <cellStyle name="Data Enter" xfId="61"/>
    <cellStyle name="FactSheet" xfId="62"/>
    <cellStyle name="Good 2" xfId="63"/>
    <cellStyle name="Heading 1 2" xfId="64"/>
    <cellStyle name="Heading 2 2" xfId="65"/>
    <cellStyle name="Heading 3 2" xfId="66"/>
    <cellStyle name="Hyperlink 2" xfId="67"/>
    <cellStyle name="Hyperlink 3" xfId="68"/>
    <cellStyle name="input(0)" xfId="69"/>
    <cellStyle name="Input(2)" xfId="70"/>
    <cellStyle name="Linked Cell 2" xfId="71"/>
    <cellStyle name="Neutral 2" xfId="72"/>
    <cellStyle name="New_normal" xfId="73"/>
    <cellStyle name="Normal" xfId="0" builtinId="0"/>
    <cellStyle name="Normal - Style1" xfId="74"/>
    <cellStyle name="Normal - Style2" xfId="75"/>
    <cellStyle name="Normal - Style3" xfId="76"/>
    <cellStyle name="Normal - Style4" xfId="77"/>
    <cellStyle name="Normal - Style5" xfId="78"/>
    <cellStyle name="Normal 10" xfId="79"/>
    <cellStyle name="Normal 10 2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2" xfId="91"/>
    <cellStyle name="Normal 2 2 2" xfId="92"/>
    <cellStyle name="Normal 2 2 3" xfId="93"/>
    <cellStyle name="Normal 2 2_IS210PL" xfId="94"/>
    <cellStyle name="Normal 2 3" xfId="95"/>
    <cellStyle name="Normal 2 3 2" xfId="96"/>
    <cellStyle name="Normal 2 3 3" xfId="97"/>
    <cellStyle name="Normal 2 4" xfId="98"/>
    <cellStyle name="Normal 2 5" xfId="99"/>
    <cellStyle name="Normal 2_2180 Payroll Schedule 8-22-2011" xfId="100"/>
    <cellStyle name="Normal 20" xfId="101"/>
    <cellStyle name="Normal 3" xfId="102"/>
    <cellStyle name="Normal 3 2" xfId="103"/>
    <cellStyle name="Normal 3_2149 Depr 9-30-12" xfId="104"/>
    <cellStyle name="Normal 4" xfId="105"/>
    <cellStyle name="Normal 5" xfId="106"/>
    <cellStyle name="Normal 5 2" xfId="107"/>
    <cellStyle name="Normal 5_2183 UTC Depreciation 3 31 2012 Heather 6-6-2012" xfId="108"/>
    <cellStyle name="Normal 6" xfId="109"/>
    <cellStyle name="Normal 7" xfId="110"/>
    <cellStyle name="Normal 8" xfId="111"/>
    <cellStyle name="Normal 9" xfId="112"/>
    <cellStyle name="Normal_Price out" xfId="4"/>
    <cellStyle name="Note 2" xfId="113"/>
    <cellStyle name="Notes" xfId="114"/>
    <cellStyle name="Percent" xfId="3" builtinId="5"/>
    <cellStyle name="Percent 2" xfId="115"/>
    <cellStyle name="Percent 2 2" xfId="116"/>
    <cellStyle name="Percent 3" xfId="117"/>
    <cellStyle name="Percent 4" xfId="118"/>
    <cellStyle name="Percent 4 2" xfId="119"/>
    <cellStyle name="Percent 7" xfId="120"/>
    <cellStyle name="Percent(1)" xfId="121"/>
    <cellStyle name="Percent(2)" xfId="122"/>
    <cellStyle name="PRM" xfId="123"/>
    <cellStyle name="PSChar" xfId="124"/>
    <cellStyle name="PSHeading" xfId="125"/>
    <cellStyle name="Style 1" xfId="126"/>
    <cellStyle name="STYLE1" xfId="127"/>
    <cellStyle name="Total 2" xfId="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workbookViewId="0"/>
  </sheetViews>
  <sheetFormatPr defaultRowHeight="15"/>
  <sheetData>
    <row r="2" spans="1:3">
      <c r="A2" s="109" t="s">
        <v>72</v>
      </c>
    </row>
    <row r="4" spans="1:3">
      <c r="B4" t="s">
        <v>73</v>
      </c>
    </row>
    <row r="5" spans="1:3">
      <c r="C5" t="s">
        <v>83</v>
      </c>
    </row>
    <row r="6" spans="1:3">
      <c r="C6" t="s">
        <v>74</v>
      </c>
    </row>
    <row r="7" spans="1:3" s="17" customFormat="1">
      <c r="C7" s="17" t="s">
        <v>84</v>
      </c>
    </row>
    <row r="8" spans="1:3" s="17" customFormat="1"/>
    <row r="9" spans="1:3" s="17" customFormat="1">
      <c r="B9" s="17" t="s">
        <v>87</v>
      </c>
    </row>
    <row r="10" spans="1:3" s="17" customFormat="1">
      <c r="C10" s="17" t="s">
        <v>88</v>
      </c>
    </row>
    <row r="11" spans="1:3" s="17" customFormat="1"/>
    <row r="12" spans="1:3">
      <c r="B12" t="s">
        <v>89</v>
      </c>
    </row>
    <row r="13" spans="1:3" s="17" customFormat="1">
      <c r="C13" s="17" t="s">
        <v>85</v>
      </c>
    </row>
    <row r="14" spans="1:3" s="17" customFormat="1">
      <c r="C14" s="17" t="s">
        <v>90</v>
      </c>
    </row>
    <row r="15" spans="1:3">
      <c r="C15" t="s">
        <v>86</v>
      </c>
    </row>
    <row r="17" spans="2:3">
      <c r="B17" t="s">
        <v>77</v>
      </c>
    </row>
    <row r="18" spans="2:3">
      <c r="C18" t="s">
        <v>75</v>
      </c>
    </row>
    <row r="19" spans="2:3">
      <c r="C19" t="s">
        <v>76</v>
      </c>
    </row>
    <row r="21" spans="2:3">
      <c r="B21" t="s">
        <v>78</v>
      </c>
    </row>
    <row r="22" spans="2:3">
      <c r="C22" t="s">
        <v>80</v>
      </c>
    </row>
    <row r="23" spans="2:3">
      <c r="C23" t="s">
        <v>79</v>
      </c>
    </row>
    <row r="24" spans="2:3">
      <c r="C24" t="s">
        <v>81</v>
      </c>
    </row>
    <row r="25" spans="2:3">
      <c r="C25" t="s">
        <v>82</v>
      </c>
    </row>
    <row r="27" spans="2:3">
      <c r="B27" t="s">
        <v>92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/>
  </sheetViews>
  <sheetFormatPr defaultRowHeight="15"/>
  <cols>
    <col min="1" max="1" width="37" customWidth="1"/>
    <col min="2" max="2" width="12.140625" customWidth="1"/>
    <col min="3" max="3" width="9.28515625" bestFit="1" customWidth="1"/>
    <col min="4" max="4" width="6.7109375" customWidth="1"/>
    <col min="5" max="5" width="10.85546875" customWidth="1"/>
    <col min="6" max="6" width="9" bestFit="1" customWidth="1"/>
  </cols>
  <sheetData>
    <row r="1" spans="1:9" s="17" customFormat="1">
      <c r="A1" s="46" t="s">
        <v>93</v>
      </c>
    </row>
    <row r="2" spans="1:9" s="17" customFormat="1">
      <c r="A2" s="46" t="s">
        <v>9</v>
      </c>
    </row>
    <row r="3" spans="1:9" s="17" customFormat="1">
      <c r="A3" s="46"/>
    </row>
    <row r="4" spans="1:9" s="17" customFormat="1">
      <c r="A4" s="46"/>
      <c r="D4" s="146" t="s">
        <v>30</v>
      </c>
      <c r="E4" s="146"/>
      <c r="F4" s="146"/>
      <c r="G4" s="146"/>
    </row>
    <row r="5" spans="1:9" s="17" customFormat="1">
      <c r="D5" s="98" t="s">
        <v>60</v>
      </c>
      <c r="E5" s="98" t="s">
        <v>61</v>
      </c>
      <c r="F5" s="98" t="s">
        <v>62</v>
      </c>
      <c r="G5" s="101" t="s">
        <v>66</v>
      </c>
    </row>
    <row r="6" spans="1:9" s="17" customFormat="1">
      <c r="A6" s="94" t="s">
        <v>59</v>
      </c>
      <c r="D6" s="102">
        <f>52*2/12</f>
        <v>8.6666666666666661</v>
      </c>
      <c r="E6" s="102">
        <f>D6*2</f>
        <v>17.333333333333332</v>
      </c>
      <c r="F6" s="102">
        <f>D6*3</f>
        <v>26</v>
      </c>
      <c r="G6" s="102">
        <f>D6*4</f>
        <v>34.666666666666664</v>
      </c>
    </row>
    <row r="7" spans="1:9">
      <c r="A7" t="s">
        <v>33</v>
      </c>
      <c r="D7" s="102">
        <f>52/12</f>
        <v>4.333333333333333</v>
      </c>
      <c r="E7" s="102">
        <f t="shared" ref="E7:E9" si="0">D7*2</f>
        <v>8.6666666666666661</v>
      </c>
      <c r="F7" s="102">
        <f t="shared" ref="F7:F9" si="1">D7*3</f>
        <v>13</v>
      </c>
      <c r="G7" s="102">
        <f t="shared" ref="G7:G9" si="2">D7*4</f>
        <v>17.333333333333332</v>
      </c>
    </row>
    <row r="8" spans="1:9">
      <c r="A8" t="s">
        <v>35</v>
      </c>
      <c r="D8" s="102">
        <f>26/12</f>
        <v>2.1666666666666665</v>
      </c>
      <c r="E8" s="102">
        <f t="shared" si="0"/>
        <v>4.333333333333333</v>
      </c>
      <c r="F8" s="102">
        <f t="shared" si="1"/>
        <v>6.5</v>
      </c>
      <c r="G8" s="102">
        <f t="shared" si="2"/>
        <v>8.6666666666666661</v>
      </c>
    </row>
    <row r="9" spans="1:9">
      <c r="A9" t="s">
        <v>34</v>
      </c>
      <c r="D9" s="102">
        <f>12/12</f>
        <v>1</v>
      </c>
      <c r="E9" s="102">
        <f t="shared" si="0"/>
        <v>2</v>
      </c>
      <c r="F9" s="102">
        <f t="shared" si="1"/>
        <v>3</v>
      </c>
      <c r="G9" s="102">
        <f t="shared" si="2"/>
        <v>4</v>
      </c>
    </row>
    <row r="11" spans="1:9">
      <c r="A11" t="s">
        <v>31</v>
      </c>
      <c r="B11" s="115">
        <v>2000</v>
      </c>
    </row>
    <row r="12" spans="1:9">
      <c r="A12" t="s">
        <v>32</v>
      </c>
      <c r="B12" s="42" t="s">
        <v>63</v>
      </c>
    </row>
    <row r="14" spans="1:9">
      <c r="A14" s="43" t="s">
        <v>67</v>
      </c>
      <c r="B14" s="98" t="s">
        <v>6</v>
      </c>
      <c r="C14" s="1" t="s">
        <v>7</v>
      </c>
      <c r="E14" s="43" t="s">
        <v>38</v>
      </c>
      <c r="F14" s="1"/>
      <c r="I14" s="108"/>
    </row>
    <row r="15" spans="1:9">
      <c r="A15" s="17" t="s">
        <v>68</v>
      </c>
      <c r="B15" s="4">
        <v>106</v>
      </c>
      <c r="C15" s="7">
        <f>B15/2000</f>
        <v>5.2999999999999999E-2</v>
      </c>
      <c r="E15" t="s">
        <v>39</v>
      </c>
      <c r="F15" s="45">
        <f>0.015</f>
        <v>1.4999999999999999E-2</v>
      </c>
      <c r="I15" s="18"/>
    </row>
    <row r="16" spans="1:9">
      <c r="A16" s="17" t="s">
        <v>69</v>
      </c>
      <c r="B16" s="5">
        <v>110</v>
      </c>
      <c r="C16" s="8">
        <f>B16/2000</f>
        <v>5.5E-2</v>
      </c>
      <c r="E16" t="s">
        <v>40</v>
      </c>
      <c r="F16" s="1">
        <f>0.004275</f>
        <v>4.2750000000000002E-3</v>
      </c>
    </row>
    <row r="17" spans="1:6">
      <c r="A17" s="17" t="s">
        <v>8</v>
      </c>
      <c r="B17" s="4">
        <f>B16-B15</f>
        <v>4</v>
      </c>
      <c r="C17" s="7">
        <f>C16-C15</f>
        <v>2.0000000000000018E-3</v>
      </c>
      <c r="E17" t="s">
        <v>28</v>
      </c>
      <c r="F17" s="45">
        <f>SUM(F15:F16)</f>
        <v>1.9275E-2</v>
      </c>
    </row>
    <row r="18" spans="1:6">
      <c r="E18" t="s">
        <v>41</v>
      </c>
      <c r="F18" s="45">
        <f>1-F17</f>
        <v>0.98072499999999996</v>
      </c>
    </row>
    <row r="20" spans="1:6">
      <c r="A20" t="s">
        <v>4</v>
      </c>
      <c r="B20" s="44">
        <f>B17</f>
        <v>4</v>
      </c>
      <c r="C20" s="44"/>
      <c r="E20" t="s">
        <v>94</v>
      </c>
    </row>
    <row r="21" spans="1:6">
      <c r="A21" t="s">
        <v>37</v>
      </c>
      <c r="B21" s="44">
        <f>B20/F18</f>
        <v>4.0786153101022204</v>
      </c>
    </row>
    <row r="22" spans="1:6">
      <c r="A22" t="s">
        <v>36</v>
      </c>
      <c r="B22" s="117">
        <v>10487.44</v>
      </c>
      <c r="C22" s="118"/>
    </row>
    <row r="23" spans="1:6">
      <c r="A23" s="46" t="s">
        <v>42</v>
      </c>
      <c r="B23" s="99">
        <f>B21*B22</f>
        <v>42774.233347778434</v>
      </c>
    </row>
    <row r="25" spans="1:6">
      <c r="A25" t="s">
        <v>64</v>
      </c>
      <c r="B25" s="5">
        <f>'Staff Calcs '!S53</f>
        <v>42808.350000000064</v>
      </c>
    </row>
    <row r="26" spans="1:6">
      <c r="A26" s="47" t="s">
        <v>12</v>
      </c>
      <c r="B26" s="44">
        <f>B25-B23</f>
        <v>34.11665222162992</v>
      </c>
    </row>
    <row r="27" spans="1:6">
      <c r="E27" s="107" t="s">
        <v>71</v>
      </c>
      <c r="F27" s="1"/>
    </row>
    <row r="28" spans="1:6">
      <c r="A28" s="46" t="s">
        <v>65</v>
      </c>
      <c r="B28" s="100">
        <f>'Staff Calcs '!U53</f>
        <v>42808.350000000064</v>
      </c>
      <c r="E28">
        <v>0.01</v>
      </c>
    </row>
    <row r="29" spans="1:6">
      <c r="A29" s="47" t="s">
        <v>12</v>
      </c>
      <c r="B29" s="44">
        <f>B28-B23</f>
        <v>34.11665222162992</v>
      </c>
      <c r="C29" s="14">
        <f>B29/B23</f>
        <v>7.9759821629630297E-4</v>
      </c>
    </row>
    <row r="31" spans="1:6">
      <c r="A31" s="24"/>
      <c r="B31" s="24"/>
    </row>
  </sheetData>
  <mergeCells count="1">
    <mergeCell ref="D4:G4"/>
  </mergeCells>
  <pageMargins left="0.28000000000000003" right="0.5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zoomScaleNormal="10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E6" sqref="E6"/>
    </sheetView>
  </sheetViews>
  <sheetFormatPr defaultColWidth="8.85546875" defaultRowHeight="15"/>
  <cols>
    <col min="1" max="1" width="4.5703125" style="17" bestFit="1" customWidth="1"/>
    <col min="2" max="2" width="6.140625" style="17" customWidth="1"/>
    <col min="3" max="3" width="5.5703125" style="17" bestFit="1" customWidth="1"/>
    <col min="4" max="4" width="27" style="17" bestFit="1" customWidth="1"/>
    <col min="5" max="5" width="14.140625" style="17" customWidth="1"/>
    <col min="6" max="6" width="10.28515625" style="17" customWidth="1"/>
    <col min="7" max="7" width="10.140625" style="17" customWidth="1"/>
    <col min="8" max="8" width="13.42578125" style="17" bestFit="1" customWidth="1"/>
    <col min="9" max="9" width="15.7109375" style="17" bestFit="1" customWidth="1"/>
    <col min="10" max="10" width="14.140625" style="17" bestFit="1" customWidth="1"/>
    <col min="11" max="11" width="11.28515625" style="17" customWidth="1"/>
    <col min="12" max="12" width="12.140625" style="17" customWidth="1"/>
    <col min="13" max="13" width="9.140625" style="17" customWidth="1"/>
    <col min="14" max="15" width="10.28515625" style="17" customWidth="1"/>
    <col min="16" max="16" width="10.5703125" style="17" customWidth="1"/>
    <col min="17" max="18" width="11.5703125" style="17" bestFit="1" customWidth="1"/>
    <col min="19" max="19" width="10.7109375" style="17" bestFit="1" customWidth="1"/>
    <col min="20" max="20" width="11.5703125" style="17" bestFit="1" customWidth="1"/>
    <col min="21" max="21" width="8.85546875" style="17" bestFit="1" customWidth="1"/>
    <col min="22" max="16384" width="8.85546875" style="17"/>
  </cols>
  <sheetData>
    <row r="1" spans="1:21">
      <c r="D1" s="46" t="s">
        <v>93</v>
      </c>
      <c r="K1" s="51"/>
      <c r="L1" s="52"/>
      <c r="M1" s="52"/>
      <c r="O1" s="6"/>
    </row>
    <row r="2" spans="1:21" ht="15.75" thickBot="1">
      <c r="D2" s="46" t="s">
        <v>9</v>
      </c>
      <c r="E2" s="24"/>
      <c r="F2" s="24"/>
      <c r="G2" s="24"/>
      <c r="H2" s="24"/>
      <c r="I2" s="24"/>
      <c r="J2" s="24"/>
      <c r="K2" s="119"/>
      <c r="L2" s="120"/>
      <c r="M2" s="120"/>
      <c r="N2" s="24"/>
      <c r="O2" s="24"/>
      <c r="P2" s="24"/>
      <c r="Q2" s="24"/>
      <c r="R2" s="24"/>
    </row>
    <row r="3" spans="1:21">
      <c r="D3" s="116"/>
      <c r="E3" s="24"/>
      <c r="F3" s="24"/>
      <c r="G3" s="24"/>
      <c r="H3" s="24"/>
      <c r="I3" s="24"/>
      <c r="J3" s="24"/>
      <c r="K3" s="119"/>
      <c r="L3" s="120"/>
      <c r="M3" s="120"/>
      <c r="N3" s="24"/>
      <c r="O3" s="147" t="s">
        <v>137</v>
      </c>
      <c r="P3" s="24"/>
      <c r="Q3" s="24"/>
      <c r="R3" s="24"/>
    </row>
    <row r="4" spans="1:21" ht="15.75" thickBot="1">
      <c r="E4" s="24"/>
      <c r="F4" s="24"/>
      <c r="G4" s="24"/>
      <c r="H4" s="24"/>
      <c r="I4" s="24"/>
      <c r="J4" s="24"/>
      <c r="K4" s="119"/>
      <c r="L4" s="119"/>
      <c r="M4" s="119"/>
      <c r="N4" s="24"/>
      <c r="O4" s="148"/>
      <c r="P4" s="24"/>
      <c r="Q4" s="24"/>
      <c r="R4" s="24"/>
    </row>
    <row r="5" spans="1:21" ht="45">
      <c r="A5" s="1"/>
      <c r="B5" s="2" t="s">
        <v>91</v>
      </c>
      <c r="C5" s="2" t="s">
        <v>27</v>
      </c>
      <c r="D5" s="95" t="s">
        <v>29</v>
      </c>
      <c r="E5" s="121" t="s">
        <v>56</v>
      </c>
      <c r="F5" s="3" t="s">
        <v>0</v>
      </c>
      <c r="G5" s="3" t="s">
        <v>1</v>
      </c>
      <c r="H5" s="3" t="s">
        <v>10</v>
      </c>
      <c r="I5" s="3" t="s">
        <v>47</v>
      </c>
      <c r="J5" s="3" t="s">
        <v>48</v>
      </c>
      <c r="K5" s="3" t="s">
        <v>8</v>
      </c>
      <c r="L5" s="3" t="s">
        <v>2</v>
      </c>
      <c r="M5" s="3" t="s">
        <v>57</v>
      </c>
      <c r="N5" s="3" t="s">
        <v>53</v>
      </c>
      <c r="O5" s="3" t="s">
        <v>50</v>
      </c>
      <c r="P5" s="3" t="s">
        <v>51</v>
      </c>
      <c r="Q5" s="3" t="s">
        <v>54</v>
      </c>
      <c r="R5" s="3" t="s">
        <v>52</v>
      </c>
      <c r="S5" s="3" t="s">
        <v>58</v>
      </c>
      <c r="T5" s="3" t="s">
        <v>55</v>
      </c>
      <c r="U5" s="3" t="s">
        <v>70</v>
      </c>
    </row>
    <row r="6" spans="1:21" s="24" customFormat="1">
      <c r="A6" s="149" t="s">
        <v>13</v>
      </c>
      <c r="B6" s="112">
        <v>100</v>
      </c>
      <c r="C6" s="29">
        <v>29</v>
      </c>
      <c r="D6" s="19" t="s">
        <v>101</v>
      </c>
      <c r="E6" s="20">
        <v>244</v>
      </c>
      <c r="F6" s="16">
        <f>References!$D$7</f>
        <v>4.333333333333333</v>
      </c>
      <c r="G6" s="67">
        <f>E6*F6*12</f>
        <v>12688</v>
      </c>
      <c r="H6" s="15">
        <v>20</v>
      </c>
      <c r="I6" s="15">
        <f>G6*H6</f>
        <v>253760</v>
      </c>
      <c r="J6" s="21">
        <f>$E$76*I6</f>
        <v>173577.98294961665</v>
      </c>
      <c r="K6" s="56">
        <f>References!$C$17*J6</f>
        <v>347.15596589923359</v>
      </c>
      <c r="L6" s="64">
        <f>K6/References!$F$18</f>
        <v>353.97890937748463</v>
      </c>
      <c r="M6" s="64">
        <f>L6/G6*F6</f>
        <v>0.12089443626280212</v>
      </c>
      <c r="N6" s="56">
        <v>15.26</v>
      </c>
      <c r="O6" s="64">
        <f>MROUND(N6+M6,References!$E$28)</f>
        <v>15.38</v>
      </c>
      <c r="P6" s="56">
        <f>O6</f>
        <v>15.38</v>
      </c>
      <c r="Q6" s="58">
        <f>E6*N6*12</f>
        <v>44681.279999999999</v>
      </c>
      <c r="R6" s="58">
        <f>E6*P6*12</f>
        <v>45032.639999999999</v>
      </c>
      <c r="S6" s="58">
        <f>R6-Q6</f>
        <v>351.36000000000058</v>
      </c>
      <c r="T6" s="58">
        <f>E6*O6*12</f>
        <v>45032.639999999999</v>
      </c>
      <c r="U6" s="97">
        <f>T6-Q6</f>
        <v>351.36000000000058</v>
      </c>
    </row>
    <row r="7" spans="1:21" s="24" customFormat="1" ht="15" customHeight="1">
      <c r="A7" s="149"/>
      <c r="B7" s="112">
        <v>100</v>
      </c>
      <c r="C7" s="29">
        <v>29</v>
      </c>
      <c r="D7" s="19" t="s">
        <v>96</v>
      </c>
      <c r="E7" s="20">
        <v>2127</v>
      </c>
      <c r="F7" s="16">
        <f>References!$D$7</f>
        <v>4.333333333333333</v>
      </c>
      <c r="G7" s="67">
        <f>E7*F7*12</f>
        <v>110604</v>
      </c>
      <c r="H7" s="15">
        <v>34</v>
      </c>
      <c r="I7" s="15">
        <f>G7*H7</f>
        <v>3760536</v>
      </c>
      <c r="J7" s="21">
        <f t="shared" ref="J7:J17" si="0">$E$76*I7</f>
        <v>2572297.6579816346</v>
      </c>
      <c r="K7" s="56">
        <f>References!$C$17*J7</f>
        <v>5144.5953159632736</v>
      </c>
      <c r="L7" s="64">
        <f>K7/References!$F$18</f>
        <v>5245.7063049919943</v>
      </c>
      <c r="M7" s="64">
        <f>L7/G7*F7</f>
        <v>0.20552054164676359</v>
      </c>
      <c r="N7" s="64">
        <v>18.14</v>
      </c>
      <c r="O7" s="64">
        <f>MROUND(N7+M7,References!$E$28)</f>
        <v>18.350000000000001</v>
      </c>
      <c r="P7" s="56">
        <f t="shared" ref="P7:P17" si="1">O7</f>
        <v>18.350000000000001</v>
      </c>
      <c r="Q7" s="96">
        <f t="shared" ref="Q7:Q12" si="2">E7*N7*12</f>
        <v>463005.36</v>
      </c>
      <c r="R7" s="96">
        <f t="shared" ref="R7:R13" si="3">E7*P7*12</f>
        <v>468365.4</v>
      </c>
      <c r="S7" s="58">
        <f t="shared" ref="S7:S17" si="4">R7-Q7</f>
        <v>5360.0400000000373</v>
      </c>
      <c r="T7" s="97">
        <f t="shared" ref="T7:T13" si="5">E7*O7*12</f>
        <v>468365.4</v>
      </c>
      <c r="U7" s="97">
        <f t="shared" ref="U7:U17" si="6">T7-Q7</f>
        <v>5360.0400000000373</v>
      </c>
    </row>
    <row r="8" spans="1:21" s="24" customFormat="1">
      <c r="A8" s="149"/>
      <c r="B8" s="112">
        <v>100</v>
      </c>
      <c r="C8" s="29">
        <v>29</v>
      </c>
      <c r="D8" s="19" t="s">
        <v>97</v>
      </c>
      <c r="E8" s="20">
        <v>154</v>
      </c>
      <c r="F8" s="16">
        <f>References!$D$7</f>
        <v>4.333333333333333</v>
      </c>
      <c r="G8" s="67">
        <f t="shared" ref="G8:G37" si="7">E8*F8*12</f>
        <v>8007.9999999999991</v>
      </c>
      <c r="H8" s="15">
        <v>51</v>
      </c>
      <c r="I8" s="15">
        <f t="shared" ref="I8:I32" si="8">G8*H8</f>
        <v>408407.99999999994</v>
      </c>
      <c r="J8" s="21">
        <f t="shared" si="0"/>
        <v>279360.95862423955</v>
      </c>
      <c r="K8" s="56">
        <f>References!$C$17*J8</f>
        <v>558.7219172484796</v>
      </c>
      <c r="L8" s="64">
        <f>K8/References!$F$18</f>
        <v>569.70294144482875</v>
      </c>
      <c r="M8" s="64">
        <f t="shared" ref="M8:M23" si="9">L8/G8*F8</f>
        <v>0.30828081247014549</v>
      </c>
      <c r="N8" s="56">
        <v>24.14</v>
      </c>
      <c r="O8" s="64">
        <f>MROUND(N8+M8,References!$E$28)</f>
        <v>24.45</v>
      </c>
      <c r="P8" s="56">
        <f t="shared" si="1"/>
        <v>24.45</v>
      </c>
      <c r="Q8" s="58">
        <f t="shared" si="2"/>
        <v>44610.720000000001</v>
      </c>
      <c r="R8" s="58">
        <f t="shared" si="3"/>
        <v>45183.6</v>
      </c>
      <c r="S8" s="58">
        <f t="shared" si="4"/>
        <v>572.87999999999738</v>
      </c>
      <c r="T8" s="58">
        <f t="shared" si="5"/>
        <v>45183.6</v>
      </c>
      <c r="U8" s="97">
        <f t="shared" si="6"/>
        <v>572.87999999999738</v>
      </c>
    </row>
    <row r="9" spans="1:21" s="24" customFormat="1">
      <c r="A9" s="149"/>
      <c r="B9" s="112">
        <v>100</v>
      </c>
      <c r="C9" s="29">
        <v>29</v>
      </c>
      <c r="D9" s="19" t="s">
        <v>98</v>
      </c>
      <c r="E9" s="20">
        <v>24</v>
      </c>
      <c r="F9" s="16">
        <f>References!$D$7</f>
        <v>4.333333333333333</v>
      </c>
      <c r="G9" s="67">
        <f t="shared" si="7"/>
        <v>1248</v>
      </c>
      <c r="H9" s="15">
        <v>77</v>
      </c>
      <c r="I9" s="15">
        <f t="shared" si="8"/>
        <v>96096</v>
      </c>
      <c r="J9" s="21">
        <f t="shared" si="0"/>
        <v>65731.990264526961</v>
      </c>
      <c r="K9" s="56">
        <f>References!$C$17*J9</f>
        <v>131.46398052905403</v>
      </c>
      <c r="L9" s="64">
        <f>K9/References!$F$18</f>
        <v>134.047750928195</v>
      </c>
      <c r="M9" s="64">
        <f t="shared" si="9"/>
        <v>0.46544357961178817</v>
      </c>
      <c r="N9" s="56">
        <v>30.67</v>
      </c>
      <c r="O9" s="64">
        <f>MROUND(N9+M9,References!$E$28)</f>
        <v>31.14</v>
      </c>
      <c r="P9" s="56">
        <f t="shared" si="1"/>
        <v>31.14</v>
      </c>
      <c r="Q9" s="58">
        <f t="shared" si="2"/>
        <v>8832.9600000000009</v>
      </c>
      <c r="R9" s="58">
        <f t="shared" si="3"/>
        <v>8968.32</v>
      </c>
      <c r="S9" s="58">
        <f t="shared" si="4"/>
        <v>135.35999999999876</v>
      </c>
      <c r="T9" s="58">
        <f t="shared" si="5"/>
        <v>8968.32</v>
      </c>
      <c r="U9" s="97">
        <f t="shared" si="6"/>
        <v>135.35999999999876</v>
      </c>
    </row>
    <row r="10" spans="1:21" s="24" customFormat="1">
      <c r="A10" s="149"/>
      <c r="B10" s="112">
        <v>100</v>
      </c>
      <c r="C10" s="29">
        <v>29</v>
      </c>
      <c r="D10" s="19" t="s">
        <v>99</v>
      </c>
      <c r="E10" s="20">
        <v>12</v>
      </c>
      <c r="F10" s="16">
        <f>References!$D$7</f>
        <v>4.333333333333333</v>
      </c>
      <c r="G10" s="67">
        <f t="shared" si="7"/>
        <v>624</v>
      </c>
      <c r="H10" s="15">
        <v>97</v>
      </c>
      <c r="I10" s="15">
        <f t="shared" si="8"/>
        <v>60528</v>
      </c>
      <c r="J10" s="21">
        <f t="shared" si="0"/>
        <v>41402.61724453971</v>
      </c>
      <c r="K10" s="56">
        <f>References!$C$17*J10</f>
        <v>82.805234489079496</v>
      </c>
      <c r="L10" s="64">
        <f>K10/References!$F$18</f>
        <v>84.432674285941019</v>
      </c>
      <c r="M10" s="64">
        <f t="shared" si="9"/>
        <v>0.58633801587459045</v>
      </c>
      <c r="N10" s="56">
        <v>36.130000000000003</v>
      </c>
      <c r="O10" s="64">
        <f>MROUND(N10+M10,References!$E$28)</f>
        <v>36.72</v>
      </c>
      <c r="P10" s="56">
        <f t="shared" si="1"/>
        <v>36.72</v>
      </c>
      <c r="Q10" s="58">
        <f t="shared" si="2"/>
        <v>5202.7200000000012</v>
      </c>
      <c r="R10" s="58">
        <f t="shared" si="3"/>
        <v>5287.68</v>
      </c>
      <c r="S10" s="58">
        <f t="shared" si="4"/>
        <v>84.959999999999127</v>
      </c>
      <c r="T10" s="58">
        <f t="shared" si="5"/>
        <v>5287.68</v>
      </c>
      <c r="U10" s="97">
        <f t="shared" si="6"/>
        <v>84.959999999999127</v>
      </c>
    </row>
    <row r="11" spans="1:21" s="24" customFormat="1">
      <c r="A11" s="149"/>
      <c r="B11" s="112">
        <v>100</v>
      </c>
      <c r="C11" s="29">
        <v>29</v>
      </c>
      <c r="D11" s="19" t="s">
        <v>100</v>
      </c>
      <c r="E11" s="20">
        <v>2</v>
      </c>
      <c r="F11" s="16">
        <f>References!$D$7</f>
        <v>4.333333333333333</v>
      </c>
      <c r="G11" s="67">
        <f t="shared" si="7"/>
        <v>104</v>
      </c>
      <c r="H11" s="15">
        <v>117</v>
      </c>
      <c r="I11" s="15">
        <f t="shared" si="8"/>
        <v>12168</v>
      </c>
      <c r="J11" s="21">
        <f t="shared" si="0"/>
        <v>8323.2065594693231</v>
      </c>
      <c r="K11" s="56">
        <f>References!$C$17*J11</f>
        <v>16.646413118938661</v>
      </c>
      <c r="L11" s="64">
        <f>K11/References!$F$18</f>
        <v>16.973578851297418</v>
      </c>
      <c r="M11" s="64">
        <f t="shared" si="9"/>
        <v>0.70723245213739239</v>
      </c>
      <c r="N11" s="56">
        <v>42.13</v>
      </c>
      <c r="O11" s="64">
        <f>MROUND(N11+M11,References!$E$28)</f>
        <v>42.84</v>
      </c>
      <c r="P11" s="56">
        <f t="shared" si="1"/>
        <v>42.84</v>
      </c>
      <c r="Q11" s="58">
        <f t="shared" si="2"/>
        <v>1011.1200000000001</v>
      </c>
      <c r="R11" s="58">
        <f t="shared" si="3"/>
        <v>1028.1600000000001</v>
      </c>
      <c r="S11" s="58">
        <f t="shared" si="4"/>
        <v>17.039999999999964</v>
      </c>
      <c r="T11" s="58">
        <f t="shared" si="5"/>
        <v>1028.1600000000001</v>
      </c>
      <c r="U11" s="97">
        <f t="shared" si="6"/>
        <v>17.039999999999964</v>
      </c>
    </row>
    <row r="12" spans="1:21" s="24" customFormat="1">
      <c r="A12" s="149"/>
      <c r="B12" s="112">
        <v>100</v>
      </c>
      <c r="C12" s="29">
        <v>29</v>
      </c>
      <c r="D12" s="19" t="s">
        <v>95</v>
      </c>
      <c r="E12" s="20">
        <v>2</v>
      </c>
      <c r="F12" s="16">
        <f>References!$D$7</f>
        <v>4.333333333333333</v>
      </c>
      <c r="G12" s="67">
        <f t="shared" si="7"/>
        <v>104</v>
      </c>
      <c r="H12" s="15">
        <v>137</v>
      </c>
      <c r="I12" s="15">
        <f t="shared" si="8"/>
        <v>14248</v>
      </c>
      <c r="J12" s="21">
        <f t="shared" si="0"/>
        <v>9745.9769115153613</v>
      </c>
      <c r="K12" s="56">
        <f>References!$C$17*J12</f>
        <v>19.491953823030741</v>
      </c>
      <c r="L12" s="64">
        <f>K12/References!$F$18</f>
        <v>19.875045321604674</v>
      </c>
      <c r="M12" s="64">
        <f t="shared" si="9"/>
        <v>0.82812688840019466</v>
      </c>
      <c r="N12" s="56">
        <v>48.12</v>
      </c>
      <c r="O12" s="64">
        <f>MROUND(N12+M12,References!$E$28)</f>
        <v>48.95</v>
      </c>
      <c r="P12" s="56">
        <f t="shared" si="1"/>
        <v>48.95</v>
      </c>
      <c r="Q12" s="58">
        <f t="shared" si="2"/>
        <v>1154.8799999999999</v>
      </c>
      <c r="R12" s="58">
        <f t="shared" si="3"/>
        <v>1174.8000000000002</v>
      </c>
      <c r="S12" s="58">
        <f t="shared" si="4"/>
        <v>19.9200000000003</v>
      </c>
      <c r="T12" s="58">
        <f t="shared" si="5"/>
        <v>1174.8000000000002</v>
      </c>
      <c r="U12" s="97">
        <f t="shared" si="6"/>
        <v>19.9200000000003</v>
      </c>
    </row>
    <row r="13" spans="1:21" s="24" customFormat="1">
      <c r="A13" s="149"/>
      <c r="B13" s="112">
        <v>100</v>
      </c>
      <c r="C13" s="29">
        <v>29</v>
      </c>
      <c r="D13" s="19" t="s">
        <v>106</v>
      </c>
      <c r="E13" s="20">
        <v>26</v>
      </c>
      <c r="F13" s="16">
        <f>References!$D$7</f>
        <v>4.333333333333333</v>
      </c>
      <c r="G13" s="67">
        <f t="shared" si="7"/>
        <v>1352</v>
      </c>
      <c r="H13" s="15">
        <v>20</v>
      </c>
      <c r="I13" s="15">
        <f t="shared" si="8"/>
        <v>27040</v>
      </c>
      <c r="J13" s="21">
        <f t="shared" si="0"/>
        <v>18496.014576598496</v>
      </c>
      <c r="K13" s="56">
        <f>References!$C$17*J13</f>
        <v>36.992029153197024</v>
      </c>
      <c r="L13" s="64">
        <f>K13/References!$F$18</f>
        <v>37.719064113994264</v>
      </c>
      <c r="M13" s="64">
        <f t="shared" si="9"/>
        <v>0.12089443626280212</v>
      </c>
      <c r="N13" s="56">
        <v>13.3</v>
      </c>
      <c r="O13" s="64">
        <f>MROUND(N13+M13,References!$E$28)</f>
        <v>13.42</v>
      </c>
      <c r="P13" s="56">
        <f t="shared" si="1"/>
        <v>13.42</v>
      </c>
      <c r="Q13" s="58">
        <f>E13*N13*12</f>
        <v>4149.6000000000004</v>
      </c>
      <c r="R13" s="58">
        <f t="shared" si="3"/>
        <v>4187.04</v>
      </c>
      <c r="S13" s="58">
        <f t="shared" si="4"/>
        <v>37.4399999999996</v>
      </c>
      <c r="T13" s="58">
        <f t="shared" si="5"/>
        <v>4187.04</v>
      </c>
      <c r="U13" s="97">
        <f t="shared" si="6"/>
        <v>37.4399999999996</v>
      </c>
    </row>
    <row r="14" spans="1:21" s="24" customFormat="1" ht="14.45" customHeight="1">
      <c r="A14" s="149"/>
      <c r="B14" s="112">
        <v>100</v>
      </c>
      <c r="C14" s="29">
        <v>29</v>
      </c>
      <c r="D14" s="19" t="s">
        <v>104</v>
      </c>
      <c r="E14" s="20">
        <v>596</v>
      </c>
      <c r="F14" s="16">
        <f>References!$D$8</f>
        <v>2.1666666666666665</v>
      </c>
      <c r="G14" s="67">
        <f t="shared" si="7"/>
        <v>15496</v>
      </c>
      <c r="H14" s="15"/>
      <c r="I14" s="15">
        <f t="shared" si="8"/>
        <v>0</v>
      </c>
      <c r="J14" s="21">
        <f t="shared" si="0"/>
        <v>0</v>
      </c>
      <c r="K14" s="56">
        <f>References!$C$17*J14</f>
        <v>0</v>
      </c>
      <c r="L14" s="64">
        <f>K14/References!$F$18</f>
        <v>0</v>
      </c>
      <c r="M14" s="64">
        <f>L14/G14</f>
        <v>0</v>
      </c>
      <c r="N14" s="56">
        <v>4.99</v>
      </c>
      <c r="O14" s="64">
        <f>MROUND(N14+M14,References!$E$28)</f>
        <v>4.99</v>
      </c>
      <c r="P14" s="56">
        <f t="shared" si="1"/>
        <v>4.99</v>
      </c>
      <c r="Q14" s="58">
        <f>G14*N14</f>
        <v>77325.040000000008</v>
      </c>
      <c r="R14" s="58">
        <f>G14*P14</f>
        <v>77325.040000000008</v>
      </c>
      <c r="S14" s="58">
        <f t="shared" si="4"/>
        <v>0</v>
      </c>
      <c r="T14" s="58">
        <f>G14*O14</f>
        <v>77325.040000000008</v>
      </c>
      <c r="U14" s="97">
        <f t="shared" si="6"/>
        <v>0</v>
      </c>
    </row>
    <row r="15" spans="1:21" s="24" customFormat="1">
      <c r="A15" s="149"/>
      <c r="B15" s="112">
        <v>100</v>
      </c>
      <c r="C15" s="29">
        <v>29</v>
      </c>
      <c r="D15" s="19" t="s">
        <v>105</v>
      </c>
      <c r="E15" s="20">
        <v>789</v>
      </c>
      <c r="F15" s="16">
        <f>References!$D$8</f>
        <v>2.1666666666666665</v>
      </c>
      <c r="G15" s="67">
        <f t="shared" si="7"/>
        <v>20513.999999999996</v>
      </c>
      <c r="H15" s="15"/>
      <c r="I15" s="15">
        <f t="shared" si="8"/>
        <v>0</v>
      </c>
      <c r="J15" s="21">
        <f t="shared" si="0"/>
        <v>0</v>
      </c>
      <c r="K15" s="56">
        <f>References!$C$17*J15</f>
        <v>0</v>
      </c>
      <c r="L15" s="64">
        <f>K15/References!$F$18</f>
        <v>0</v>
      </c>
      <c r="M15" s="64">
        <f>L15/G15</f>
        <v>0</v>
      </c>
      <c r="N15" s="56">
        <v>5.43</v>
      </c>
      <c r="O15" s="64">
        <f>MROUND(N15+M15,References!$E$28)</f>
        <v>5.43</v>
      </c>
      <c r="P15" s="56">
        <f t="shared" si="1"/>
        <v>5.43</v>
      </c>
      <c r="Q15" s="58">
        <f>G15*N15</f>
        <v>111391.01999999997</v>
      </c>
      <c r="R15" s="58">
        <f>G15*P15</f>
        <v>111391.01999999997</v>
      </c>
      <c r="S15" s="58">
        <f t="shared" si="4"/>
        <v>0</v>
      </c>
      <c r="T15" s="58">
        <f>G15*O15</f>
        <v>111391.01999999997</v>
      </c>
      <c r="U15" s="97">
        <f t="shared" si="6"/>
        <v>0</v>
      </c>
    </row>
    <row r="16" spans="1:21" s="24" customFormat="1">
      <c r="A16" s="149"/>
      <c r="B16" s="112">
        <v>100</v>
      </c>
      <c r="C16" s="29">
        <v>29</v>
      </c>
      <c r="D16" s="19" t="s">
        <v>102</v>
      </c>
      <c r="E16" s="20">
        <v>1447</v>
      </c>
      <c r="F16" s="16">
        <f>References!$D$7</f>
        <v>4.333333333333333</v>
      </c>
      <c r="G16" s="67">
        <f t="shared" si="7"/>
        <v>75244</v>
      </c>
      <c r="H16" s="15">
        <v>47</v>
      </c>
      <c r="I16" s="15">
        <f t="shared" si="8"/>
        <v>3536468</v>
      </c>
      <c r="J16" s="21">
        <f t="shared" si="0"/>
        <v>2419029.7218074752</v>
      </c>
      <c r="K16" s="56">
        <f>References!$C$17*J16</f>
        <v>4838.0594436149549</v>
      </c>
      <c r="L16" s="64">
        <f>K16/References!$F$18</f>
        <v>4933.145829478146</v>
      </c>
      <c r="M16" s="64">
        <f t="shared" si="9"/>
        <v>0.28410192521758498</v>
      </c>
      <c r="N16" s="56">
        <v>24.14</v>
      </c>
      <c r="O16" s="64">
        <f>MROUND(N16+M16,References!$E$28)</f>
        <v>24.42</v>
      </c>
      <c r="P16" s="56">
        <f t="shared" si="1"/>
        <v>24.42</v>
      </c>
      <c r="Q16" s="58">
        <f>E16*N16*12</f>
        <v>419166.96</v>
      </c>
      <c r="R16" s="58">
        <f>E16*P16*12</f>
        <v>424028.88000000006</v>
      </c>
      <c r="S16" s="58">
        <f t="shared" si="4"/>
        <v>4861.9200000000419</v>
      </c>
      <c r="T16" s="58">
        <f>E16*O16*12</f>
        <v>424028.88000000006</v>
      </c>
      <c r="U16" s="97">
        <f t="shared" si="6"/>
        <v>4861.9200000000419</v>
      </c>
    </row>
    <row r="17" spans="1:21" s="24" customFormat="1">
      <c r="A17" s="149"/>
      <c r="B17" s="113">
        <v>100</v>
      </c>
      <c r="C17" s="36">
        <v>29</v>
      </c>
      <c r="D17" s="37" t="s">
        <v>103</v>
      </c>
      <c r="E17" s="25">
        <v>209</v>
      </c>
      <c r="F17" s="16">
        <f>References!$D$7</f>
        <v>4.333333333333333</v>
      </c>
      <c r="G17" s="68">
        <f t="shared" si="7"/>
        <v>10868</v>
      </c>
      <c r="H17" s="27">
        <v>68</v>
      </c>
      <c r="I17" s="27">
        <f t="shared" si="8"/>
        <v>739024</v>
      </c>
      <c r="J17" s="28">
        <f t="shared" si="0"/>
        <v>505510.30608195736</v>
      </c>
      <c r="K17" s="56">
        <f>References!$C$17*J17</f>
        <v>1011.0206121639156</v>
      </c>
      <c r="L17" s="65">
        <f>K17/References!$F$18</f>
        <v>1030.8910369001665</v>
      </c>
      <c r="M17" s="65">
        <f t="shared" si="9"/>
        <v>0.41104108329352729</v>
      </c>
      <c r="N17" s="57">
        <v>30.13</v>
      </c>
      <c r="O17" s="64">
        <f>MROUND(N17+M17,References!$E$28)</f>
        <v>30.54</v>
      </c>
      <c r="P17" s="57">
        <f t="shared" si="1"/>
        <v>30.54</v>
      </c>
      <c r="Q17" s="59">
        <f>E17*N17*12</f>
        <v>75566.040000000008</v>
      </c>
      <c r="R17" s="59">
        <f>E17*P17*12</f>
        <v>76594.319999999992</v>
      </c>
      <c r="S17" s="59">
        <f t="shared" si="4"/>
        <v>1028.2799999999843</v>
      </c>
      <c r="T17" s="59">
        <f>E17*O17*12</f>
        <v>76594.319999999992</v>
      </c>
      <c r="U17" s="104">
        <f t="shared" si="6"/>
        <v>1028.2799999999843</v>
      </c>
    </row>
    <row r="18" spans="1:21" s="24" customFormat="1">
      <c r="A18" s="150"/>
      <c r="B18" s="114"/>
      <c r="C18" s="29"/>
      <c r="D18" s="53" t="s">
        <v>28</v>
      </c>
      <c r="E18" s="54">
        <f>SUM(E6:E17)</f>
        <v>5632</v>
      </c>
      <c r="F18" s="63"/>
      <c r="G18" s="69">
        <f>SUM(G6:G17)</f>
        <v>256854</v>
      </c>
      <c r="H18" s="15"/>
      <c r="I18" s="79">
        <f>SUM(I6:I17)</f>
        <v>8908276</v>
      </c>
      <c r="J18" s="79">
        <f>SUM(J6:J17)</f>
        <v>6093476.4330015732</v>
      </c>
      <c r="K18" s="63"/>
      <c r="L18" s="63"/>
      <c r="M18" s="63"/>
      <c r="N18" s="16"/>
      <c r="O18" s="63"/>
      <c r="P18" s="16"/>
      <c r="Q18" s="60">
        <f>SUM(Q6:Q17)</f>
        <v>1256097.7</v>
      </c>
      <c r="R18" s="60">
        <f t="shared" ref="R18:U18" si="10">SUM(R6:R17)</f>
        <v>1268566.9000000004</v>
      </c>
      <c r="S18" s="60">
        <f t="shared" si="10"/>
        <v>12469.200000000059</v>
      </c>
      <c r="T18" s="60">
        <f t="shared" si="10"/>
        <v>1268566.9000000004</v>
      </c>
      <c r="U18" s="82">
        <f t="shared" si="10"/>
        <v>12469.200000000059</v>
      </c>
    </row>
    <row r="19" spans="1:21" s="24" customFormat="1" ht="14.45" customHeight="1">
      <c r="A19" s="151" t="s">
        <v>14</v>
      </c>
      <c r="B19" s="112">
        <v>240</v>
      </c>
      <c r="C19" s="30">
        <v>42</v>
      </c>
      <c r="D19" s="31" t="s">
        <v>108</v>
      </c>
      <c r="E19" s="32">
        <v>146</v>
      </c>
      <c r="F19" s="16">
        <f>References!D9</f>
        <v>1</v>
      </c>
      <c r="G19" s="66">
        <f>E19*F19*12</f>
        <v>1752</v>
      </c>
      <c r="H19" s="33">
        <v>0</v>
      </c>
      <c r="I19" s="15">
        <f t="shared" si="8"/>
        <v>0</v>
      </c>
      <c r="J19" s="21">
        <f t="shared" ref="J19:J32" si="11">$E$76*I19</f>
        <v>0</v>
      </c>
      <c r="K19" s="56">
        <f>References!$C$17*J19</f>
        <v>0</v>
      </c>
      <c r="L19" s="64">
        <f>K19/References!$F$18</f>
        <v>0</v>
      </c>
      <c r="M19" s="64">
        <f t="shared" si="9"/>
        <v>0</v>
      </c>
      <c r="N19" s="55">
        <v>4.16</v>
      </c>
      <c r="O19" s="64">
        <f>MROUND(N19+M19,References!$E$28)</f>
        <v>4.16</v>
      </c>
      <c r="P19" s="55">
        <f>O19</f>
        <v>4.16</v>
      </c>
      <c r="Q19" s="81">
        <f>G19*N19</f>
        <v>7288.3200000000006</v>
      </c>
      <c r="R19" s="81">
        <f>G19*P19</f>
        <v>7288.3200000000006</v>
      </c>
      <c r="S19" s="81">
        <f t="shared" ref="S19:S32" si="12">R19-Q19</f>
        <v>0</v>
      </c>
      <c r="T19" s="81">
        <f>G19*O19</f>
        <v>7288.3200000000006</v>
      </c>
      <c r="U19" s="97">
        <f t="shared" ref="U19:U32" si="13">T19-Q19</f>
        <v>0</v>
      </c>
    </row>
    <row r="20" spans="1:21" s="24" customFormat="1">
      <c r="A20" s="149"/>
      <c r="B20" s="112">
        <v>240</v>
      </c>
      <c r="C20" s="29">
        <v>42</v>
      </c>
      <c r="D20" s="19" t="s">
        <v>107</v>
      </c>
      <c r="E20" s="20">
        <v>339</v>
      </c>
      <c r="F20" s="16">
        <f>References!$D$8</f>
        <v>2.1666666666666665</v>
      </c>
      <c r="G20" s="67">
        <f t="shared" si="7"/>
        <v>8814</v>
      </c>
      <c r="H20" s="15">
        <v>175</v>
      </c>
      <c r="I20" s="15">
        <f t="shared" si="8"/>
        <v>1542450</v>
      </c>
      <c r="J20" s="21">
        <f t="shared" si="11"/>
        <v>1055073.1391891402</v>
      </c>
      <c r="K20" s="56">
        <f>References!$C$17*J20</f>
        <v>2110.1462783782822</v>
      </c>
      <c r="L20" s="64">
        <f>K20/References!$F$18</f>
        <v>2151.6187293872208</v>
      </c>
      <c r="M20" s="64">
        <f>L20/G20</f>
        <v>0.24411376553065814</v>
      </c>
      <c r="N20" s="56">
        <v>11.79</v>
      </c>
      <c r="O20" s="64">
        <f>MROUND(N20+M20,References!$E$28)</f>
        <v>12.030000000000001</v>
      </c>
      <c r="P20" s="56">
        <f>O20</f>
        <v>12.030000000000001</v>
      </c>
      <c r="Q20" s="58">
        <f>G20*N20</f>
        <v>103917.06</v>
      </c>
      <c r="R20" s="58">
        <f>G20*P20</f>
        <v>106032.42000000001</v>
      </c>
      <c r="S20" s="58">
        <f t="shared" si="12"/>
        <v>2115.3600000000151</v>
      </c>
      <c r="T20" s="58">
        <f>G20*O20</f>
        <v>106032.42000000001</v>
      </c>
      <c r="U20" s="97">
        <f t="shared" si="13"/>
        <v>2115.3600000000151</v>
      </c>
    </row>
    <row r="21" spans="1:21" s="24" customFormat="1">
      <c r="A21" s="149"/>
      <c r="B21" s="112">
        <v>240</v>
      </c>
      <c r="C21" s="29">
        <v>42</v>
      </c>
      <c r="D21" s="19" t="s">
        <v>109</v>
      </c>
      <c r="E21" s="20">
        <v>34</v>
      </c>
      <c r="F21" s="16">
        <f>References!D9</f>
        <v>1</v>
      </c>
      <c r="G21" s="67">
        <f t="shared" si="7"/>
        <v>408</v>
      </c>
      <c r="H21" s="15">
        <v>0</v>
      </c>
      <c r="I21" s="15">
        <f t="shared" si="8"/>
        <v>0</v>
      </c>
      <c r="J21" s="21">
        <f t="shared" si="11"/>
        <v>0</v>
      </c>
      <c r="K21" s="56">
        <f>References!$C$17*J21</f>
        <v>0</v>
      </c>
      <c r="L21" s="64">
        <f>K21/References!$F$18</f>
        <v>0</v>
      </c>
      <c r="M21" s="64">
        <f t="shared" si="9"/>
        <v>0</v>
      </c>
      <c r="N21" s="56">
        <v>4.74</v>
      </c>
      <c r="O21" s="64">
        <f>MROUND(N21+M21,References!$E$28)</f>
        <v>4.74</v>
      </c>
      <c r="P21" s="56">
        <f t="shared" ref="P21:P37" si="14">O21</f>
        <v>4.74</v>
      </c>
      <c r="Q21" s="58">
        <f t="shared" ref="Q21:Q32" si="15">G21*N21</f>
        <v>1933.92</v>
      </c>
      <c r="R21" s="58">
        <f t="shared" ref="R21:R33" si="16">G21*P21</f>
        <v>1933.92</v>
      </c>
      <c r="S21" s="58">
        <f t="shared" si="12"/>
        <v>0</v>
      </c>
      <c r="T21" s="58">
        <f t="shared" ref="T21:T37" si="17">G21*O21</f>
        <v>1933.92</v>
      </c>
      <c r="U21" s="97">
        <f t="shared" si="13"/>
        <v>0</v>
      </c>
    </row>
    <row r="22" spans="1:21" s="24" customFormat="1">
      <c r="A22" s="149"/>
      <c r="B22" s="112">
        <v>240</v>
      </c>
      <c r="C22" s="29">
        <v>42</v>
      </c>
      <c r="D22" s="19" t="s">
        <v>110</v>
      </c>
      <c r="E22" s="20">
        <v>132</v>
      </c>
      <c r="F22" s="16">
        <f>References!$D$8</f>
        <v>2.1666666666666665</v>
      </c>
      <c r="G22" s="67">
        <f t="shared" si="7"/>
        <v>3432</v>
      </c>
      <c r="H22" s="15">
        <v>250</v>
      </c>
      <c r="I22" s="15">
        <f t="shared" si="8"/>
        <v>858000</v>
      </c>
      <c r="J22" s="21">
        <f t="shared" si="11"/>
        <v>586892.77021899074</v>
      </c>
      <c r="K22" s="56">
        <f>References!$C$17*J22</f>
        <v>1173.7855404379825</v>
      </c>
      <c r="L22" s="64">
        <f>K22/References!$F$18</f>
        <v>1196.8549190017411</v>
      </c>
      <c r="M22" s="64">
        <f>L22/G22</f>
        <v>0.34873395075808306</v>
      </c>
      <c r="N22" s="56">
        <v>16.329999999999998</v>
      </c>
      <c r="O22" s="64">
        <f>MROUND(N22+M22,References!$E$28)</f>
        <v>16.68</v>
      </c>
      <c r="P22" s="56">
        <f t="shared" si="14"/>
        <v>16.68</v>
      </c>
      <c r="Q22" s="58">
        <f t="shared" si="15"/>
        <v>56044.56</v>
      </c>
      <c r="R22" s="58">
        <f t="shared" si="16"/>
        <v>57245.760000000002</v>
      </c>
      <c r="S22" s="58">
        <f t="shared" si="12"/>
        <v>1201.2000000000044</v>
      </c>
      <c r="T22" s="58">
        <f t="shared" si="17"/>
        <v>57245.760000000002</v>
      </c>
      <c r="U22" s="97">
        <f t="shared" si="13"/>
        <v>1201.2000000000044</v>
      </c>
    </row>
    <row r="23" spans="1:21" s="24" customFormat="1">
      <c r="A23" s="149"/>
      <c r="B23" s="112">
        <v>240</v>
      </c>
      <c r="C23" s="29">
        <v>42</v>
      </c>
      <c r="D23" s="19" t="s">
        <v>111</v>
      </c>
      <c r="E23" s="20">
        <v>151</v>
      </c>
      <c r="F23" s="16">
        <f>References!D9</f>
        <v>1</v>
      </c>
      <c r="G23" s="67">
        <f t="shared" si="7"/>
        <v>1812</v>
      </c>
      <c r="H23" s="15">
        <v>0</v>
      </c>
      <c r="I23" s="15">
        <f t="shared" si="8"/>
        <v>0</v>
      </c>
      <c r="J23" s="21">
        <f t="shared" si="11"/>
        <v>0</v>
      </c>
      <c r="K23" s="56">
        <f>References!$C$17*J23</f>
        <v>0</v>
      </c>
      <c r="L23" s="64">
        <f>K23/References!$F$18</f>
        <v>0</v>
      </c>
      <c r="M23" s="64">
        <f t="shared" si="9"/>
        <v>0</v>
      </c>
      <c r="N23" s="56">
        <v>5.67</v>
      </c>
      <c r="O23" s="64">
        <f>MROUND(N23+M23,References!$E$28)</f>
        <v>5.67</v>
      </c>
      <c r="P23" s="56">
        <f t="shared" si="14"/>
        <v>5.67</v>
      </c>
      <c r="Q23" s="58">
        <f t="shared" si="15"/>
        <v>10274.039999999999</v>
      </c>
      <c r="R23" s="58">
        <f t="shared" si="16"/>
        <v>10274.039999999999</v>
      </c>
      <c r="S23" s="58">
        <f t="shared" si="12"/>
        <v>0</v>
      </c>
      <c r="T23" s="58">
        <f t="shared" si="17"/>
        <v>10274.039999999999</v>
      </c>
      <c r="U23" s="97">
        <f t="shared" si="13"/>
        <v>0</v>
      </c>
    </row>
    <row r="24" spans="1:21" s="24" customFormat="1">
      <c r="A24" s="149"/>
      <c r="B24" s="112">
        <v>240</v>
      </c>
      <c r="C24" s="29">
        <v>42</v>
      </c>
      <c r="D24" s="19" t="s">
        <v>112</v>
      </c>
      <c r="E24" s="20">
        <v>255</v>
      </c>
      <c r="F24" s="16">
        <f>References!$D$8</f>
        <v>2.1666666666666665</v>
      </c>
      <c r="G24" s="67">
        <f t="shared" si="7"/>
        <v>6630</v>
      </c>
      <c r="H24" s="15">
        <v>324</v>
      </c>
      <c r="I24" s="15">
        <f t="shared" si="8"/>
        <v>2148120</v>
      </c>
      <c r="J24" s="21">
        <f t="shared" si="11"/>
        <v>1469366.0810755459</v>
      </c>
      <c r="K24" s="56">
        <f>References!$C$17*J24</f>
        <v>2938.7321621510941</v>
      </c>
      <c r="L24" s="64">
        <f>K24/References!$F$18</f>
        <v>2996.4894972098136</v>
      </c>
      <c r="M24" s="64">
        <f>L24/G24</f>
        <v>0.45195920018247565</v>
      </c>
      <c r="N24" s="56">
        <v>21.19</v>
      </c>
      <c r="O24" s="64">
        <f>MROUND(N24+M24,References!$E$28)</f>
        <v>21.64</v>
      </c>
      <c r="P24" s="56">
        <f t="shared" si="14"/>
        <v>21.64</v>
      </c>
      <c r="Q24" s="58">
        <f t="shared" si="15"/>
        <v>140489.70000000001</v>
      </c>
      <c r="R24" s="58">
        <f t="shared" si="16"/>
        <v>143473.20000000001</v>
      </c>
      <c r="S24" s="58">
        <f t="shared" si="12"/>
        <v>2983.5</v>
      </c>
      <c r="T24" s="58">
        <f t="shared" si="17"/>
        <v>143473.20000000001</v>
      </c>
      <c r="U24" s="97">
        <f t="shared" si="13"/>
        <v>2983.5</v>
      </c>
    </row>
    <row r="25" spans="1:21" s="24" customFormat="1">
      <c r="A25" s="149"/>
      <c r="B25" s="112">
        <v>240</v>
      </c>
      <c r="C25" s="29">
        <v>42</v>
      </c>
      <c r="D25" s="19" t="s">
        <v>113</v>
      </c>
      <c r="E25" s="20">
        <v>68</v>
      </c>
      <c r="F25" s="16">
        <f>References!D9</f>
        <v>1</v>
      </c>
      <c r="G25" s="67">
        <f>E25*F25*12</f>
        <v>816</v>
      </c>
      <c r="H25" s="15">
        <v>0</v>
      </c>
      <c r="I25" s="15">
        <f t="shared" si="8"/>
        <v>0</v>
      </c>
      <c r="J25" s="21">
        <f t="shared" si="11"/>
        <v>0</v>
      </c>
      <c r="K25" s="56">
        <f>References!$C$17*J25</f>
        <v>0</v>
      </c>
      <c r="L25" s="64">
        <f>K25/References!$F$18</f>
        <v>0</v>
      </c>
      <c r="M25" s="64">
        <f t="shared" ref="M25:M32" si="18">L25/G25</f>
        <v>0</v>
      </c>
      <c r="N25" s="56">
        <v>6.69</v>
      </c>
      <c r="O25" s="64">
        <f>MROUND(N25+M25,References!$E$28)</f>
        <v>6.69</v>
      </c>
      <c r="P25" s="56">
        <f t="shared" si="14"/>
        <v>6.69</v>
      </c>
      <c r="Q25" s="58">
        <f t="shared" si="15"/>
        <v>5459.04</v>
      </c>
      <c r="R25" s="58">
        <f t="shared" si="16"/>
        <v>5459.04</v>
      </c>
      <c r="S25" s="58">
        <f t="shared" si="12"/>
        <v>0</v>
      </c>
      <c r="T25" s="58">
        <f t="shared" si="17"/>
        <v>5459.04</v>
      </c>
      <c r="U25" s="97">
        <f t="shared" si="13"/>
        <v>0</v>
      </c>
    </row>
    <row r="26" spans="1:21" s="24" customFormat="1">
      <c r="A26" s="149"/>
      <c r="B26" s="112">
        <v>240</v>
      </c>
      <c r="C26" s="29">
        <v>42</v>
      </c>
      <c r="D26" s="19" t="s">
        <v>114</v>
      </c>
      <c r="E26" s="20">
        <v>223</v>
      </c>
      <c r="F26" s="16">
        <f>References!$D$8</f>
        <v>2.1666666666666665</v>
      </c>
      <c r="G26" s="67">
        <f>E26*F26*12</f>
        <v>5798</v>
      </c>
      <c r="H26" s="15">
        <v>473</v>
      </c>
      <c r="I26" s="15">
        <f t="shared" si="8"/>
        <v>2742454</v>
      </c>
      <c r="J26" s="21">
        <f t="shared" si="11"/>
        <v>1875904.9245433006</v>
      </c>
      <c r="K26" s="56">
        <f>References!$C$17*J26</f>
        <v>3751.8098490866046</v>
      </c>
      <c r="L26" s="64">
        <f>K26/References!$F$18</f>
        <v>3825.5472727692318</v>
      </c>
      <c r="M26" s="64">
        <f t="shared" si="18"/>
        <v>0.65980463483429319</v>
      </c>
      <c r="N26" s="56">
        <v>29.77</v>
      </c>
      <c r="O26" s="64">
        <f>MROUND(N26+M26,References!$E$28)</f>
        <v>30.43</v>
      </c>
      <c r="P26" s="56">
        <f t="shared" si="14"/>
        <v>30.43</v>
      </c>
      <c r="Q26" s="58">
        <f t="shared" si="15"/>
        <v>172606.46</v>
      </c>
      <c r="R26" s="58">
        <f t="shared" si="16"/>
        <v>176433.13999999998</v>
      </c>
      <c r="S26" s="58">
        <f t="shared" si="12"/>
        <v>3826.679999999993</v>
      </c>
      <c r="T26" s="58">
        <f t="shared" si="17"/>
        <v>176433.13999999998</v>
      </c>
      <c r="U26" s="97">
        <f t="shared" si="13"/>
        <v>3826.679999999993</v>
      </c>
    </row>
    <row r="27" spans="1:21" s="24" customFormat="1">
      <c r="A27" s="149"/>
      <c r="B27" s="112">
        <v>240</v>
      </c>
      <c r="C27" s="29">
        <v>42</v>
      </c>
      <c r="D27" s="19" t="s">
        <v>115</v>
      </c>
      <c r="E27" s="20">
        <v>55</v>
      </c>
      <c r="F27" s="16">
        <f>References!D9</f>
        <v>1</v>
      </c>
      <c r="G27" s="67">
        <f t="shared" si="7"/>
        <v>660</v>
      </c>
      <c r="H27" s="15">
        <v>0</v>
      </c>
      <c r="I27" s="15">
        <f t="shared" si="8"/>
        <v>0</v>
      </c>
      <c r="J27" s="21">
        <f t="shared" si="11"/>
        <v>0</v>
      </c>
      <c r="K27" s="56">
        <f>References!$C$17*J27</f>
        <v>0</v>
      </c>
      <c r="L27" s="64">
        <f>K27/References!$F$18</f>
        <v>0</v>
      </c>
      <c r="M27" s="64">
        <f t="shared" si="18"/>
        <v>0</v>
      </c>
      <c r="N27" s="56">
        <v>7.31</v>
      </c>
      <c r="O27" s="64">
        <f>MROUND(N27+M27,References!$E$28)</f>
        <v>7.3100000000000005</v>
      </c>
      <c r="P27" s="56">
        <f t="shared" si="14"/>
        <v>7.3100000000000005</v>
      </c>
      <c r="Q27" s="58">
        <f t="shared" si="15"/>
        <v>4824.5999999999995</v>
      </c>
      <c r="R27" s="58">
        <f t="shared" si="16"/>
        <v>4824.6000000000004</v>
      </c>
      <c r="S27" s="58">
        <f t="shared" si="12"/>
        <v>0</v>
      </c>
      <c r="T27" s="58">
        <f t="shared" si="17"/>
        <v>4824.6000000000004</v>
      </c>
      <c r="U27" s="97">
        <f t="shared" si="13"/>
        <v>0</v>
      </c>
    </row>
    <row r="28" spans="1:21" s="24" customFormat="1">
      <c r="A28" s="149"/>
      <c r="B28" s="112">
        <v>240</v>
      </c>
      <c r="C28" s="29">
        <v>42</v>
      </c>
      <c r="D28" s="19" t="s">
        <v>116</v>
      </c>
      <c r="E28" s="20">
        <v>161</v>
      </c>
      <c r="F28" s="16">
        <f>References!$D$8</f>
        <v>2.1666666666666665</v>
      </c>
      <c r="G28" s="67">
        <f t="shared" si="7"/>
        <v>4186</v>
      </c>
      <c r="H28" s="15">
        <v>613</v>
      </c>
      <c r="I28" s="15">
        <f t="shared" si="8"/>
        <v>2566018</v>
      </c>
      <c r="J28" s="21">
        <f t="shared" si="11"/>
        <v>1755218.4294309954</v>
      </c>
      <c r="K28" s="56">
        <f>References!$C$17*J28</f>
        <v>3510.4368588619936</v>
      </c>
      <c r="L28" s="64">
        <f>K28/References!$F$18</f>
        <v>3579.4303794254188</v>
      </c>
      <c r="M28" s="64">
        <f t="shared" si="18"/>
        <v>0.85509564725881959</v>
      </c>
      <c r="N28" s="56">
        <v>38.5</v>
      </c>
      <c r="O28" s="64">
        <f>MROUND(N28+M28,References!$E$28)</f>
        <v>39.36</v>
      </c>
      <c r="P28" s="56">
        <f t="shared" si="14"/>
        <v>39.36</v>
      </c>
      <c r="Q28" s="58">
        <f t="shared" si="15"/>
        <v>161161</v>
      </c>
      <c r="R28" s="58">
        <f t="shared" si="16"/>
        <v>164760.95999999999</v>
      </c>
      <c r="S28" s="58">
        <f t="shared" si="12"/>
        <v>3599.9599999999919</v>
      </c>
      <c r="T28" s="58">
        <f t="shared" si="17"/>
        <v>164760.95999999999</v>
      </c>
      <c r="U28" s="97">
        <f t="shared" si="13"/>
        <v>3599.9599999999919</v>
      </c>
    </row>
    <row r="29" spans="1:21" s="24" customFormat="1">
      <c r="A29" s="149"/>
      <c r="B29" s="112">
        <v>240</v>
      </c>
      <c r="C29" s="29">
        <v>42</v>
      </c>
      <c r="D29" s="19" t="s">
        <v>117</v>
      </c>
      <c r="E29" s="20">
        <v>67</v>
      </c>
      <c r="F29" s="16">
        <f>References!D9</f>
        <v>1</v>
      </c>
      <c r="G29" s="67">
        <f>E29*F29*12</f>
        <v>804</v>
      </c>
      <c r="H29" s="15">
        <v>0</v>
      </c>
      <c r="I29" s="15">
        <f t="shared" si="8"/>
        <v>0</v>
      </c>
      <c r="J29" s="21">
        <f t="shared" si="11"/>
        <v>0</v>
      </c>
      <c r="K29" s="56">
        <f>References!$C$17*J29</f>
        <v>0</v>
      </c>
      <c r="L29" s="64">
        <f>K29/References!$F$18</f>
        <v>0</v>
      </c>
      <c r="M29" s="64">
        <f t="shared" si="18"/>
        <v>0</v>
      </c>
      <c r="N29" s="56">
        <v>11.26</v>
      </c>
      <c r="O29" s="64">
        <f>MROUND(N29+M29,References!$E$28)</f>
        <v>11.26</v>
      </c>
      <c r="P29" s="56">
        <f t="shared" si="14"/>
        <v>11.26</v>
      </c>
      <c r="Q29" s="58">
        <f t="shared" si="15"/>
        <v>9053.0399999999991</v>
      </c>
      <c r="R29" s="58">
        <f t="shared" si="16"/>
        <v>9053.0399999999991</v>
      </c>
      <c r="S29" s="58">
        <f t="shared" si="12"/>
        <v>0</v>
      </c>
      <c r="T29" s="58">
        <f t="shared" si="17"/>
        <v>9053.0399999999991</v>
      </c>
      <c r="U29" s="97">
        <f t="shared" si="13"/>
        <v>0</v>
      </c>
    </row>
    <row r="30" spans="1:21" s="24" customFormat="1">
      <c r="A30" s="149"/>
      <c r="B30" s="112">
        <v>240</v>
      </c>
      <c r="C30" s="29">
        <v>42</v>
      </c>
      <c r="D30" s="19" t="s">
        <v>118</v>
      </c>
      <c r="E30" s="20">
        <v>260</v>
      </c>
      <c r="F30" s="16">
        <f>References!$D$8</f>
        <v>2.1666666666666665</v>
      </c>
      <c r="G30" s="67">
        <f>E30*F30*12</f>
        <v>6759.9999999999991</v>
      </c>
      <c r="H30" s="15">
        <v>840</v>
      </c>
      <c r="I30" s="15">
        <f t="shared" si="8"/>
        <v>5678399.9999999991</v>
      </c>
      <c r="J30" s="21">
        <f t="shared" si="11"/>
        <v>3884163.0610856833</v>
      </c>
      <c r="K30" s="56">
        <f>References!$C$17*J30</f>
        <v>7768.3261221713738</v>
      </c>
      <c r="L30" s="64">
        <f>K30/References!$F$18</f>
        <v>7921.0034639387941</v>
      </c>
      <c r="M30" s="64">
        <f t="shared" si="18"/>
        <v>1.1717460745471591</v>
      </c>
      <c r="N30" s="56">
        <v>54.68</v>
      </c>
      <c r="O30" s="64">
        <f>MROUND(N30+M30,References!$E$28)</f>
        <v>55.85</v>
      </c>
      <c r="P30" s="56">
        <f t="shared" si="14"/>
        <v>55.85</v>
      </c>
      <c r="Q30" s="58">
        <f t="shared" si="15"/>
        <v>369636.79999999993</v>
      </c>
      <c r="R30" s="58">
        <f t="shared" si="16"/>
        <v>377545.99999999994</v>
      </c>
      <c r="S30" s="58">
        <f t="shared" si="12"/>
        <v>7909.2000000000116</v>
      </c>
      <c r="T30" s="58">
        <f t="shared" si="17"/>
        <v>377545.99999999994</v>
      </c>
      <c r="U30" s="97">
        <f t="shared" si="13"/>
        <v>7909.2000000000116</v>
      </c>
    </row>
    <row r="31" spans="1:21" s="24" customFormat="1">
      <c r="A31" s="149"/>
      <c r="B31" s="112">
        <v>240</v>
      </c>
      <c r="C31" s="29">
        <v>43</v>
      </c>
      <c r="D31" s="19" t="s">
        <v>119</v>
      </c>
      <c r="E31" s="20">
        <v>42</v>
      </c>
      <c r="F31" s="16">
        <f>References!D9</f>
        <v>1</v>
      </c>
      <c r="G31" s="67">
        <f>E31*F31*12</f>
        <v>504</v>
      </c>
      <c r="H31" s="15">
        <v>0</v>
      </c>
      <c r="I31" s="15">
        <f t="shared" ref="I31" si="19">G31*H31</f>
        <v>0</v>
      </c>
      <c r="J31" s="21">
        <f t="shared" si="11"/>
        <v>0</v>
      </c>
      <c r="K31" s="56">
        <f>References!$C$17*J31</f>
        <v>0</v>
      </c>
      <c r="L31" s="64">
        <f>K31/References!$F$18</f>
        <v>0</v>
      </c>
      <c r="M31" s="64">
        <f t="shared" ref="M31" si="20">L31/G31</f>
        <v>0</v>
      </c>
      <c r="N31" s="56">
        <v>13.34</v>
      </c>
      <c r="O31" s="64">
        <f>MROUND(N31+M31,References!$E$28)</f>
        <v>13.34</v>
      </c>
      <c r="P31" s="56">
        <f t="shared" si="14"/>
        <v>13.34</v>
      </c>
      <c r="Q31" s="58">
        <f t="shared" si="15"/>
        <v>6723.36</v>
      </c>
      <c r="R31" s="58">
        <f t="shared" si="16"/>
        <v>6723.36</v>
      </c>
      <c r="S31" s="58">
        <f t="shared" ref="S31" si="21">R31-Q31</f>
        <v>0</v>
      </c>
      <c r="T31" s="58">
        <f t="shared" si="17"/>
        <v>6723.36</v>
      </c>
      <c r="U31" s="97">
        <f t="shared" ref="U31" si="22">T31-Q31</f>
        <v>0</v>
      </c>
    </row>
    <row r="32" spans="1:21" s="24" customFormat="1">
      <c r="A32" s="149"/>
      <c r="B32" s="112">
        <v>240</v>
      </c>
      <c r="C32" s="29">
        <v>43</v>
      </c>
      <c r="D32" s="19" t="s">
        <v>120</v>
      </c>
      <c r="E32" s="20">
        <v>240</v>
      </c>
      <c r="F32" s="16">
        <f>References!$D$8</f>
        <v>2.1666666666666665</v>
      </c>
      <c r="G32" s="67">
        <f t="shared" si="7"/>
        <v>6240</v>
      </c>
      <c r="H32" s="15">
        <v>980</v>
      </c>
      <c r="I32" s="15">
        <f t="shared" si="8"/>
        <v>6115200</v>
      </c>
      <c r="J32" s="21">
        <f t="shared" si="11"/>
        <v>4182944.8350153519</v>
      </c>
      <c r="K32" s="56">
        <f>References!$C$17*J32</f>
        <v>8365.8896700307105</v>
      </c>
      <c r="L32" s="64">
        <f>K32/References!$F$18</f>
        <v>8530.3114227033166</v>
      </c>
      <c r="M32" s="64">
        <f t="shared" si="18"/>
        <v>1.3670370869716852</v>
      </c>
      <c r="N32" s="56">
        <v>71.8</v>
      </c>
      <c r="O32" s="64">
        <f>MROUND(N32+M32,References!$E$28)</f>
        <v>73.17</v>
      </c>
      <c r="P32" s="56">
        <f t="shared" si="14"/>
        <v>73.17</v>
      </c>
      <c r="Q32" s="58">
        <f t="shared" si="15"/>
        <v>448032</v>
      </c>
      <c r="R32" s="58">
        <f t="shared" si="16"/>
        <v>456580.8</v>
      </c>
      <c r="S32" s="58">
        <f t="shared" si="12"/>
        <v>8548.7999999999884</v>
      </c>
      <c r="T32" s="58">
        <f t="shared" si="17"/>
        <v>456580.8</v>
      </c>
      <c r="U32" s="97">
        <f t="shared" si="13"/>
        <v>8548.7999999999884</v>
      </c>
    </row>
    <row r="33" spans="1:21" s="24" customFormat="1">
      <c r="A33" s="149" t="s">
        <v>136</v>
      </c>
      <c r="B33" s="112">
        <v>260</v>
      </c>
      <c r="C33" s="29">
        <v>48</v>
      </c>
      <c r="D33" s="19" t="s">
        <v>121</v>
      </c>
      <c r="E33" s="20">
        <v>139</v>
      </c>
      <c r="F33" s="16">
        <f>References!$D$9</f>
        <v>1</v>
      </c>
      <c r="G33" s="67">
        <f t="shared" si="7"/>
        <v>1668</v>
      </c>
      <c r="H33" s="15">
        <v>0</v>
      </c>
      <c r="I33" s="15">
        <f t="shared" ref="I33:I37" si="23">G33*H33</f>
        <v>0</v>
      </c>
      <c r="J33" s="21">
        <f t="shared" ref="J33:J37" si="24">$E$76*I33</f>
        <v>0</v>
      </c>
      <c r="K33" s="56">
        <f>References!$C$17*J33</f>
        <v>0</v>
      </c>
      <c r="L33" s="64">
        <f>K33/References!$F$18</f>
        <v>0</v>
      </c>
      <c r="M33" s="64">
        <f t="shared" ref="M33:M37" si="25">L33/G33</f>
        <v>0</v>
      </c>
      <c r="N33" s="56">
        <v>61.04</v>
      </c>
      <c r="O33" s="64">
        <f>MROUND(N33+M33,References!$E$28)</f>
        <v>61.04</v>
      </c>
      <c r="P33" s="56">
        <f t="shared" si="14"/>
        <v>61.04</v>
      </c>
      <c r="Q33" s="58">
        <f t="shared" ref="Q33:Q37" si="26">G33*N33</f>
        <v>101814.72</v>
      </c>
      <c r="R33" s="58">
        <f t="shared" si="16"/>
        <v>101814.72</v>
      </c>
      <c r="S33" s="58">
        <f t="shared" ref="S33:S37" si="27">R33-Q33</f>
        <v>0</v>
      </c>
      <c r="T33" s="58">
        <f t="shared" si="17"/>
        <v>101814.72</v>
      </c>
      <c r="U33" s="97">
        <f t="shared" ref="U33:U37" si="28">T33-Q33</f>
        <v>0</v>
      </c>
    </row>
    <row r="34" spans="1:21" s="24" customFormat="1">
      <c r="A34" s="149"/>
      <c r="B34" s="112">
        <v>260</v>
      </c>
      <c r="C34" s="29">
        <v>48</v>
      </c>
      <c r="D34" s="19" t="s">
        <v>122</v>
      </c>
      <c r="E34" s="20">
        <v>115</v>
      </c>
      <c r="F34" s="16">
        <f>References!$D$9</f>
        <v>1</v>
      </c>
      <c r="G34" s="67">
        <f t="shared" si="7"/>
        <v>1380</v>
      </c>
      <c r="H34" s="15">
        <v>0</v>
      </c>
      <c r="I34" s="15">
        <f t="shared" si="23"/>
        <v>0</v>
      </c>
      <c r="J34" s="21">
        <f t="shared" si="24"/>
        <v>0</v>
      </c>
      <c r="K34" s="56">
        <f>References!$C$17*J34</f>
        <v>0</v>
      </c>
      <c r="L34" s="64">
        <f>K34/References!$F$18</f>
        <v>0</v>
      </c>
      <c r="M34" s="64">
        <f t="shared" si="25"/>
        <v>0</v>
      </c>
      <c r="N34" s="56">
        <v>184.06</v>
      </c>
      <c r="O34" s="64">
        <f>MROUND(N34+M34,References!$E$28)</f>
        <v>184.06</v>
      </c>
      <c r="P34" s="56">
        <f t="shared" si="14"/>
        <v>184.06</v>
      </c>
      <c r="Q34" s="58">
        <f t="shared" si="26"/>
        <v>254002.80000000002</v>
      </c>
      <c r="R34" s="58">
        <f t="shared" ref="R34:R37" si="29">G34*P34</f>
        <v>254002.80000000002</v>
      </c>
      <c r="S34" s="58">
        <f t="shared" si="27"/>
        <v>0</v>
      </c>
      <c r="T34" s="58">
        <f t="shared" si="17"/>
        <v>254002.80000000002</v>
      </c>
      <c r="U34" s="97">
        <f t="shared" si="28"/>
        <v>0</v>
      </c>
    </row>
    <row r="35" spans="1:21" s="24" customFormat="1">
      <c r="A35" s="149"/>
      <c r="B35" s="112">
        <v>260</v>
      </c>
      <c r="C35" s="29">
        <v>48</v>
      </c>
      <c r="D35" s="19" t="s">
        <v>123</v>
      </c>
      <c r="E35" s="20">
        <v>173</v>
      </c>
      <c r="F35" s="16">
        <f>References!$D$9</f>
        <v>1</v>
      </c>
      <c r="G35" s="67">
        <f t="shared" si="7"/>
        <v>2076</v>
      </c>
      <c r="H35" s="15">
        <v>0</v>
      </c>
      <c r="I35" s="15">
        <f t="shared" si="23"/>
        <v>0</v>
      </c>
      <c r="J35" s="21">
        <f t="shared" si="24"/>
        <v>0</v>
      </c>
      <c r="K35" s="56">
        <f>References!$C$17*J35</f>
        <v>0</v>
      </c>
      <c r="L35" s="64">
        <f>K35/References!$F$18</f>
        <v>0</v>
      </c>
      <c r="M35" s="64">
        <f t="shared" si="25"/>
        <v>0</v>
      </c>
      <c r="N35" s="56">
        <v>198.77</v>
      </c>
      <c r="O35" s="64">
        <f>MROUND(N35+M35,References!$E$28)</f>
        <v>198.77</v>
      </c>
      <c r="P35" s="56">
        <f t="shared" si="14"/>
        <v>198.77</v>
      </c>
      <c r="Q35" s="58">
        <f t="shared" si="26"/>
        <v>412646.52</v>
      </c>
      <c r="R35" s="58">
        <f t="shared" si="29"/>
        <v>412646.52</v>
      </c>
      <c r="S35" s="58">
        <f t="shared" si="27"/>
        <v>0</v>
      </c>
      <c r="T35" s="58">
        <f t="shared" si="17"/>
        <v>412646.52</v>
      </c>
      <c r="U35" s="97">
        <f t="shared" si="28"/>
        <v>0</v>
      </c>
    </row>
    <row r="36" spans="1:21" s="24" customFormat="1">
      <c r="A36" s="149"/>
      <c r="B36" s="112">
        <v>260</v>
      </c>
      <c r="C36" s="29">
        <v>48</v>
      </c>
      <c r="D36" s="19" t="s">
        <v>124</v>
      </c>
      <c r="E36" s="20">
        <v>151</v>
      </c>
      <c r="F36" s="16">
        <f>References!$D$9</f>
        <v>1</v>
      </c>
      <c r="G36" s="67">
        <f t="shared" si="7"/>
        <v>1812</v>
      </c>
      <c r="H36" s="15">
        <v>0</v>
      </c>
      <c r="I36" s="15">
        <f t="shared" si="23"/>
        <v>0</v>
      </c>
      <c r="J36" s="21">
        <f t="shared" si="24"/>
        <v>0</v>
      </c>
      <c r="K36" s="56">
        <f>References!$C$17*J36</f>
        <v>0</v>
      </c>
      <c r="L36" s="64">
        <f>K36/References!$F$18</f>
        <v>0</v>
      </c>
      <c r="M36" s="64">
        <f t="shared" si="25"/>
        <v>0</v>
      </c>
      <c r="N36" s="56">
        <v>213.48</v>
      </c>
      <c r="O36" s="64">
        <f>MROUND(N36+M36,References!$E$28)</f>
        <v>213.48000000000002</v>
      </c>
      <c r="P36" s="56">
        <f t="shared" si="14"/>
        <v>213.48000000000002</v>
      </c>
      <c r="Q36" s="58">
        <f t="shared" si="26"/>
        <v>386825.76</v>
      </c>
      <c r="R36" s="58">
        <f t="shared" si="29"/>
        <v>386825.76</v>
      </c>
      <c r="S36" s="58">
        <f t="shared" si="27"/>
        <v>0</v>
      </c>
      <c r="T36" s="58">
        <f t="shared" si="17"/>
        <v>386825.76</v>
      </c>
      <c r="U36" s="97">
        <f t="shared" si="28"/>
        <v>0</v>
      </c>
    </row>
    <row r="37" spans="1:21" s="24" customFormat="1">
      <c r="A37" s="149"/>
      <c r="B37" s="113">
        <v>275</v>
      </c>
      <c r="C37" s="29">
        <v>49</v>
      </c>
      <c r="D37" s="37" t="s">
        <v>125</v>
      </c>
      <c r="E37" s="25">
        <v>117</v>
      </c>
      <c r="F37" s="26">
        <f>References!$D$9</f>
        <v>1</v>
      </c>
      <c r="G37" s="68">
        <f t="shared" si="7"/>
        <v>1404</v>
      </c>
      <c r="H37" s="27">
        <v>0</v>
      </c>
      <c r="I37" s="27">
        <f t="shared" si="23"/>
        <v>0</v>
      </c>
      <c r="J37" s="28">
        <f t="shared" si="24"/>
        <v>0</v>
      </c>
      <c r="K37" s="57">
        <f>References!$C$17*J37</f>
        <v>0</v>
      </c>
      <c r="L37" s="65">
        <f>K37/References!$F$18</f>
        <v>0</v>
      </c>
      <c r="M37" s="65">
        <f t="shared" si="25"/>
        <v>0</v>
      </c>
      <c r="N37" s="57">
        <v>238.95</v>
      </c>
      <c r="O37" s="65">
        <f>MROUND(N37+M37,References!$E$28)</f>
        <v>238.95000000000002</v>
      </c>
      <c r="P37" s="57">
        <f t="shared" si="14"/>
        <v>238.95000000000002</v>
      </c>
      <c r="Q37" s="59">
        <f t="shared" si="26"/>
        <v>335485.8</v>
      </c>
      <c r="R37" s="59">
        <f t="shared" si="29"/>
        <v>335485.80000000005</v>
      </c>
      <c r="S37" s="59">
        <f t="shared" si="27"/>
        <v>0</v>
      </c>
      <c r="T37" s="59">
        <f t="shared" si="17"/>
        <v>335485.80000000005</v>
      </c>
      <c r="U37" s="104">
        <f t="shared" si="28"/>
        <v>0</v>
      </c>
    </row>
    <row r="38" spans="1:21" s="24" customFormat="1">
      <c r="A38" s="150"/>
      <c r="B38" s="111"/>
      <c r="C38" s="72"/>
      <c r="D38" s="73" t="s">
        <v>28</v>
      </c>
      <c r="E38" s="61">
        <f>SUM(E19:E37)</f>
        <v>2868</v>
      </c>
      <c r="F38" s="26"/>
      <c r="G38" s="70">
        <f>SUM(G19:G37)</f>
        <v>56956</v>
      </c>
      <c r="H38" s="27"/>
      <c r="I38" s="61">
        <f>SUM(I19:I37)</f>
        <v>21650642</v>
      </c>
      <c r="J38" s="61">
        <f>SUM(J19:J37)</f>
        <v>14809563.240559008</v>
      </c>
      <c r="K38" s="26"/>
      <c r="L38" s="26"/>
      <c r="M38" s="26"/>
      <c r="N38" s="26"/>
      <c r="O38" s="26"/>
      <c r="P38" s="26"/>
      <c r="Q38" s="82">
        <f>SUM(Q19:Q32)</f>
        <v>1497443.9</v>
      </c>
      <c r="R38" s="82">
        <f>SUM(R19:R32)</f>
        <v>1527628.6</v>
      </c>
      <c r="S38" s="82">
        <f>SUM(S19:S32)</f>
        <v>30184.700000000004</v>
      </c>
      <c r="T38" s="82">
        <f>SUM(T19:T32)</f>
        <v>1527628.6</v>
      </c>
      <c r="U38" s="82">
        <f>SUM(U19:U32)</f>
        <v>30184.700000000004</v>
      </c>
    </row>
    <row r="39" spans="1:21" ht="24" customHeight="1">
      <c r="A39" s="74"/>
      <c r="B39" s="74"/>
      <c r="C39" s="75"/>
      <c r="D39" s="76" t="s">
        <v>43</v>
      </c>
      <c r="E39" s="24"/>
      <c r="F39" s="24"/>
      <c r="G39" s="24"/>
      <c r="H39" s="122"/>
      <c r="I39" s="123"/>
      <c r="J39" s="124"/>
      <c r="K39" s="24"/>
      <c r="L39" s="24"/>
      <c r="M39" s="24"/>
      <c r="N39" s="24"/>
      <c r="O39" s="24"/>
      <c r="P39" s="24"/>
      <c r="Q39" s="125"/>
      <c r="R39" s="125"/>
      <c r="S39" s="62"/>
      <c r="T39" s="62"/>
      <c r="U39" s="24"/>
    </row>
    <row r="40" spans="1:21" s="24" customFormat="1" ht="14.45" customHeight="1">
      <c r="A40" s="151" t="s">
        <v>13</v>
      </c>
      <c r="B40" s="112">
        <v>100</v>
      </c>
      <c r="C40" s="29">
        <v>30</v>
      </c>
      <c r="D40" s="19" t="s">
        <v>43</v>
      </c>
      <c r="E40" s="20">
        <v>0</v>
      </c>
      <c r="F40" s="16"/>
      <c r="G40" s="67">
        <v>856</v>
      </c>
      <c r="H40" s="15">
        <v>34</v>
      </c>
      <c r="I40" s="15">
        <f t="shared" ref="I40:I51" si="30">G40*H40</f>
        <v>29104</v>
      </c>
      <c r="J40" s="21">
        <f>$E$76*I40</f>
        <v>19907.840541321104</v>
      </c>
      <c r="K40" s="56">
        <f>References!$C$17*J40</f>
        <v>39.815681082642243</v>
      </c>
      <c r="L40" s="56">
        <f>K40/References!$F$18</f>
        <v>40.598211611453003</v>
      </c>
      <c r="M40" s="64">
        <f t="shared" ref="M40:M51" si="31">L40/G40</f>
        <v>4.74278173030993E-2</v>
      </c>
      <c r="N40" s="56">
        <v>4.58</v>
      </c>
      <c r="O40" s="64">
        <f>MROUND(N40+M40,References!$E$28)</f>
        <v>4.63</v>
      </c>
      <c r="P40" s="56">
        <f>O40</f>
        <v>4.63</v>
      </c>
      <c r="Q40" s="58">
        <f>N40*G40</f>
        <v>3920.48</v>
      </c>
      <c r="R40" s="58">
        <f>P40*G40</f>
        <v>3963.2799999999997</v>
      </c>
      <c r="S40" s="58">
        <f>R40-Q40</f>
        <v>42.799999999999727</v>
      </c>
      <c r="T40" s="83">
        <f>O40*G40</f>
        <v>3963.2799999999997</v>
      </c>
      <c r="U40" s="97">
        <f t="shared" ref="U40:U43" si="32">T40-Q40</f>
        <v>42.799999999999727</v>
      </c>
    </row>
    <row r="41" spans="1:21">
      <c r="A41" s="149"/>
      <c r="B41" s="112">
        <v>100</v>
      </c>
      <c r="C41" s="29">
        <v>30</v>
      </c>
      <c r="D41" s="19" t="s">
        <v>138</v>
      </c>
      <c r="E41" s="126">
        <v>19</v>
      </c>
      <c r="F41" s="127">
        <v>1</v>
      </c>
      <c r="G41" s="67">
        <f>+E41*F41*12</f>
        <v>228</v>
      </c>
      <c r="H41" s="15">
        <v>34</v>
      </c>
      <c r="I41" s="15">
        <f t="shared" si="30"/>
        <v>7752</v>
      </c>
      <c r="J41" s="21">
        <f>$E$76*I41</f>
        <v>5302.5556582023501</v>
      </c>
      <c r="K41" s="56">
        <f>References!$C$17*J41</f>
        <v>10.605111316404709</v>
      </c>
      <c r="L41" s="56">
        <f>K41/References!$F$18</f>
        <v>10.81354234510664</v>
      </c>
      <c r="M41" s="64">
        <f t="shared" si="31"/>
        <v>4.74278173030993E-2</v>
      </c>
      <c r="N41" s="87">
        <v>7.04</v>
      </c>
      <c r="O41" s="64">
        <f>MROUND(N41+M41,References!$E$28)</f>
        <v>7.09</v>
      </c>
      <c r="P41" s="56">
        <f t="shared" ref="P41:P43" si="33">O41</f>
        <v>7.09</v>
      </c>
      <c r="Q41" s="58">
        <f t="shared" ref="Q41:Q43" si="34">N41*G41</f>
        <v>1605.1200000000001</v>
      </c>
      <c r="R41" s="58">
        <f t="shared" ref="R41:R43" si="35">P41*G41</f>
        <v>1616.52</v>
      </c>
      <c r="S41" s="58">
        <f t="shared" ref="S41:S43" si="36">R41-Q41</f>
        <v>11.399999999999864</v>
      </c>
      <c r="T41" s="83">
        <f>O41*G41</f>
        <v>1616.52</v>
      </c>
      <c r="U41" s="97">
        <f t="shared" si="32"/>
        <v>11.399999999999864</v>
      </c>
    </row>
    <row r="42" spans="1:21">
      <c r="A42" s="149"/>
      <c r="B42" s="112">
        <v>80</v>
      </c>
      <c r="C42" s="29">
        <v>23</v>
      </c>
      <c r="D42" s="19" t="s">
        <v>126</v>
      </c>
      <c r="E42" s="126">
        <v>0</v>
      </c>
      <c r="F42" s="127"/>
      <c r="G42" s="67">
        <v>66</v>
      </c>
      <c r="H42" s="21">
        <v>0</v>
      </c>
      <c r="I42" s="15">
        <f t="shared" si="30"/>
        <v>0</v>
      </c>
      <c r="J42" s="21">
        <f>$E$76*I42</f>
        <v>0</v>
      </c>
      <c r="K42" s="56">
        <f>References!$C$17*J42</f>
        <v>0</v>
      </c>
      <c r="L42" s="56">
        <f>K42/References!$F$18</f>
        <v>0</v>
      </c>
      <c r="M42" s="64">
        <f t="shared" si="31"/>
        <v>0</v>
      </c>
      <c r="N42" s="87">
        <v>3.29</v>
      </c>
      <c r="O42" s="64">
        <f>MROUND(N42+M42,References!$E$28)</f>
        <v>3.29</v>
      </c>
      <c r="P42" s="56">
        <f t="shared" si="33"/>
        <v>3.29</v>
      </c>
      <c r="Q42" s="58">
        <f t="shared" si="34"/>
        <v>217.14000000000001</v>
      </c>
      <c r="R42" s="58">
        <f t="shared" si="35"/>
        <v>217.14000000000001</v>
      </c>
      <c r="S42" s="58">
        <f t="shared" si="36"/>
        <v>0</v>
      </c>
      <c r="T42" s="83">
        <f>O42*G42</f>
        <v>217.14000000000001</v>
      </c>
      <c r="U42" s="97">
        <f t="shared" si="32"/>
        <v>0</v>
      </c>
    </row>
    <row r="43" spans="1:21">
      <c r="A43" s="149"/>
      <c r="B43" s="113">
        <v>80</v>
      </c>
      <c r="C43" s="36">
        <v>23</v>
      </c>
      <c r="D43" s="37" t="s">
        <v>127</v>
      </c>
      <c r="E43" s="121">
        <v>0</v>
      </c>
      <c r="F43" s="128"/>
      <c r="G43" s="68">
        <v>44</v>
      </c>
      <c r="H43" s="28">
        <v>0</v>
      </c>
      <c r="I43" s="27">
        <f t="shared" si="30"/>
        <v>0</v>
      </c>
      <c r="J43" s="28">
        <f>$E$76*I43</f>
        <v>0</v>
      </c>
      <c r="K43" s="56">
        <f>References!$C$17*J43</f>
        <v>0</v>
      </c>
      <c r="L43" s="57">
        <f>K43/References!$F$18</f>
        <v>0</v>
      </c>
      <c r="M43" s="65">
        <f t="shared" si="31"/>
        <v>0</v>
      </c>
      <c r="N43" s="88">
        <v>3.29</v>
      </c>
      <c r="O43" s="64">
        <f>MROUND(N43+M43,References!$E$28)</f>
        <v>3.29</v>
      </c>
      <c r="P43" s="57">
        <f t="shared" si="33"/>
        <v>3.29</v>
      </c>
      <c r="Q43" s="59">
        <f t="shared" si="34"/>
        <v>144.76</v>
      </c>
      <c r="R43" s="59">
        <f t="shared" si="35"/>
        <v>144.76</v>
      </c>
      <c r="S43" s="59">
        <f t="shared" si="36"/>
        <v>0</v>
      </c>
      <c r="T43" s="59">
        <f>O43*G43</f>
        <v>144.76</v>
      </c>
      <c r="U43" s="97">
        <f t="shared" si="32"/>
        <v>0</v>
      </c>
    </row>
    <row r="44" spans="1:21">
      <c r="A44" s="150"/>
      <c r="B44" s="114"/>
      <c r="C44" s="29"/>
      <c r="D44" s="53" t="s">
        <v>28</v>
      </c>
      <c r="E44" s="129"/>
      <c r="F44" s="129"/>
      <c r="G44" s="130">
        <f>SUM(G40:G43)</f>
        <v>1194</v>
      </c>
      <c r="H44" s="131"/>
      <c r="I44" s="132">
        <f>SUM(I40:I43)</f>
        <v>36856</v>
      </c>
      <c r="J44" s="131">
        <f>SUM(J40:J43)</f>
        <v>25210.396199523453</v>
      </c>
      <c r="K44" s="71"/>
      <c r="L44" s="89"/>
      <c r="M44" s="89"/>
      <c r="N44" s="90"/>
      <c r="O44" s="89"/>
      <c r="P44" s="90"/>
      <c r="Q44" s="84">
        <f>SUM(Q40:Q43)</f>
        <v>5887.5000000000009</v>
      </c>
      <c r="R44" s="105">
        <f>SUM(R40:R43)</f>
        <v>5941.7</v>
      </c>
      <c r="S44" s="85">
        <f>SUM(S40:S43)</f>
        <v>54.199999999999591</v>
      </c>
      <c r="T44" s="85">
        <f>SUM(T40:T43)</f>
        <v>5941.7</v>
      </c>
      <c r="U44" s="105">
        <f>SUM(U40:U43)</f>
        <v>54.199999999999591</v>
      </c>
    </row>
    <row r="45" spans="1:21" ht="14.45" customHeight="1">
      <c r="A45" s="151" t="s">
        <v>14</v>
      </c>
      <c r="B45" s="112">
        <v>150</v>
      </c>
      <c r="C45" s="30">
        <v>35</v>
      </c>
      <c r="D45" s="31" t="s">
        <v>128</v>
      </c>
      <c r="E45" s="32">
        <v>0</v>
      </c>
      <c r="F45" s="35"/>
      <c r="G45" s="66">
        <v>1</v>
      </c>
      <c r="H45" s="33">
        <v>34</v>
      </c>
      <c r="I45" s="15">
        <f t="shared" si="30"/>
        <v>34</v>
      </c>
      <c r="J45" s="34">
        <f>$E$76*I45</f>
        <v>23.256823062291009</v>
      </c>
      <c r="K45" s="56">
        <f>References!$C$17*J45</f>
        <v>4.6513646124582059E-2</v>
      </c>
      <c r="L45" s="55">
        <f>K45/References!$F$18</f>
        <v>4.74278173030993E-2</v>
      </c>
      <c r="M45" s="64">
        <f t="shared" si="31"/>
        <v>4.74278173030993E-2</v>
      </c>
      <c r="N45" s="55">
        <v>19.510000000000002</v>
      </c>
      <c r="O45" s="64">
        <f>MROUND(N45+M45,References!$E$28)</f>
        <v>19.559999999999999</v>
      </c>
      <c r="P45" s="55">
        <f>O45</f>
        <v>19.559999999999999</v>
      </c>
      <c r="Q45" s="58">
        <f t="shared" ref="Q45:Q51" si="37">N45*G45</f>
        <v>19.510000000000002</v>
      </c>
      <c r="R45" s="58">
        <f t="shared" ref="R45:R51" si="38">P45*G45</f>
        <v>19.559999999999999</v>
      </c>
      <c r="S45" s="58">
        <f t="shared" ref="S45:S51" si="39">R45-Q45</f>
        <v>4.9999999999997158E-2</v>
      </c>
      <c r="T45" s="83">
        <f>O45*G45</f>
        <v>19.559999999999999</v>
      </c>
      <c r="U45" s="97">
        <f t="shared" ref="U45:U51" si="40">T45-Q45</f>
        <v>4.9999999999997158E-2</v>
      </c>
    </row>
    <row r="46" spans="1:21">
      <c r="A46" s="149"/>
      <c r="B46" s="112">
        <v>245</v>
      </c>
      <c r="C46" s="29">
        <v>46</v>
      </c>
      <c r="D46" s="19" t="s">
        <v>129</v>
      </c>
      <c r="E46" s="20">
        <f>(710/4.33)</f>
        <v>163.97228637413394</v>
      </c>
      <c r="F46" s="16">
        <v>4.33</v>
      </c>
      <c r="G46" s="67">
        <f>+E46*F46</f>
        <v>710</v>
      </c>
      <c r="H46" s="15">
        <v>34</v>
      </c>
      <c r="I46" s="15">
        <f t="shared" si="30"/>
        <v>24140</v>
      </c>
      <c r="J46" s="21">
        <f>$E$76*I46</f>
        <v>16512.344374226614</v>
      </c>
      <c r="K46" s="56">
        <f>References!$C$17*J46</f>
        <v>33.024688748453258</v>
      </c>
      <c r="L46" s="56">
        <f>K46/References!$F$18</f>
        <v>33.673750285200498</v>
      </c>
      <c r="M46" s="64">
        <f t="shared" si="31"/>
        <v>4.7427817303099293E-2</v>
      </c>
      <c r="N46" s="56">
        <v>3.45</v>
      </c>
      <c r="O46" s="64">
        <f>MROUND(N46+M46,References!$E$28)</f>
        <v>3.5</v>
      </c>
      <c r="P46" s="56">
        <f>O46</f>
        <v>3.5</v>
      </c>
      <c r="Q46" s="58">
        <f t="shared" si="37"/>
        <v>2449.5</v>
      </c>
      <c r="R46" s="58">
        <f t="shared" si="38"/>
        <v>2485</v>
      </c>
      <c r="S46" s="58">
        <f t="shared" si="39"/>
        <v>35.5</v>
      </c>
      <c r="T46" s="83">
        <f>O46*G46</f>
        <v>2485</v>
      </c>
      <c r="U46" s="97">
        <f t="shared" si="40"/>
        <v>35.5</v>
      </c>
    </row>
    <row r="47" spans="1:21">
      <c r="A47" s="149"/>
      <c r="B47" s="112">
        <v>205</v>
      </c>
      <c r="C47" s="29">
        <v>38</v>
      </c>
      <c r="D47" s="19" t="s">
        <v>130</v>
      </c>
      <c r="E47" s="20">
        <v>0</v>
      </c>
      <c r="F47" s="16"/>
      <c r="G47" s="67">
        <v>118</v>
      </c>
      <c r="H47" s="15">
        <v>0</v>
      </c>
      <c r="I47" s="15">
        <f t="shared" si="30"/>
        <v>0</v>
      </c>
      <c r="J47" s="21">
        <f>$E$76*I47</f>
        <v>0</v>
      </c>
      <c r="K47" s="56">
        <f>References!$C$17*J47</f>
        <v>0</v>
      </c>
      <c r="L47" s="56">
        <f>K47/References!$F$18</f>
        <v>0</v>
      </c>
      <c r="M47" s="64">
        <f t="shared" si="31"/>
        <v>0</v>
      </c>
      <c r="N47" s="56">
        <v>2.69</v>
      </c>
      <c r="O47" s="64">
        <f>MROUND(N47+M47,References!$E$28)</f>
        <v>2.69</v>
      </c>
      <c r="P47" s="56">
        <f t="shared" ref="P47:P51" si="41">O47</f>
        <v>2.69</v>
      </c>
      <c r="Q47" s="58">
        <f t="shared" si="37"/>
        <v>317.42</v>
      </c>
      <c r="R47" s="58">
        <f t="shared" si="38"/>
        <v>317.42</v>
      </c>
      <c r="S47" s="58">
        <f t="shared" si="39"/>
        <v>0</v>
      </c>
      <c r="T47" s="83">
        <f>O47*G47</f>
        <v>317.42</v>
      </c>
      <c r="U47" s="97">
        <f t="shared" si="40"/>
        <v>0</v>
      </c>
    </row>
    <row r="48" spans="1:21">
      <c r="A48" s="149"/>
      <c r="B48" s="112">
        <v>240</v>
      </c>
      <c r="C48" s="29">
        <v>42</v>
      </c>
      <c r="D48" s="19" t="s">
        <v>131</v>
      </c>
      <c r="E48" s="20">
        <v>0</v>
      </c>
      <c r="F48" s="16"/>
      <c r="G48" s="67">
        <v>319</v>
      </c>
      <c r="H48" s="15">
        <v>0</v>
      </c>
      <c r="I48" s="15">
        <f t="shared" ref="I48:I50" si="42">G48*H48</f>
        <v>0</v>
      </c>
      <c r="J48" s="21">
        <f t="shared" ref="J48:J50" si="43">$E$76*I48</f>
        <v>0</v>
      </c>
      <c r="K48" s="56">
        <f>References!$C$17*J48</f>
        <v>0</v>
      </c>
      <c r="L48" s="56">
        <f>K48/References!$F$18</f>
        <v>0</v>
      </c>
      <c r="M48" s="64">
        <f t="shared" ref="M48:M50" si="44">L48/G48</f>
        <v>0</v>
      </c>
      <c r="N48" s="56">
        <v>2.69</v>
      </c>
      <c r="O48" s="64">
        <f>MROUND(N48+M48,References!$E$28)</f>
        <v>2.69</v>
      </c>
      <c r="P48" s="56">
        <f t="shared" si="41"/>
        <v>2.69</v>
      </c>
      <c r="Q48" s="58">
        <f t="shared" ref="Q48:Q50" si="45">N48*G48</f>
        <v>858.11</v>
      </c>
      <c r="R48" s="58">
        <f t="shared" ref="R48:R50" si="46">P48*G48</f>
        <v>858.11</v>
      </c>
      <c r="S48" s="58">
        <f t="shared" ref="S48:S50" si="47">R48-Q48</f>
        <v>0</v>
      </c>
      <c r="T48" s="83">
        <f t="shared" ref="T48:T50" si="48">O48*G48</f>
        <v>858.11</v>
      </c>
      <c r="U48" s="97">
        <f t="shared" ref="U48:U50" si="49">T48-Q48</f>
        <v>0</v>
      </c>
    </row>
    <row r="49" spans="1:21">
      <c r="A49" s="149"/>
      <c r="B49" s="112">
        <v>245</v>
      </c>
      <c r="C49" s="29">
        <v>46</v>
      </c>
      <c r="D49" s="19" t="s">
        <v>43</v>
      </c>
      <c r="E49" s="20">
        <v>0</v>
      </c>
      <c r="F49" s="16"/>
      <c r="G49" s="67">
        <v>1294</v>
      </c>
      <c r="H49" s="15">
        <f>+H46</f>
        <v>34</v>
      </c>
      <c r="I49" s="15">
        <f t="shared" si="42"/>
        <v>43996</v>
      </c>
      <c r="J49" s="21">
        <f t="shared" si="43"/>
        <v>30094.329042604564</v>
      </c>
      <c r="K49" s="56">
        <f>References!$C$17*J49</f>
        <v>60.188658085209184</v>
      </c>
      <c r="L49" s="56">
        <f>K49/References!$F$18</f>
        <v>61.371595590210497</v>
      </c>
      <c r="M49" s="64">
        <f t="shared" si="44"/>
        <v>4.74278173030993E-2</v>
      </c>
      <c r="N49" s="56">
        <v>3.45</v>
      </c>
      <c r="O49" s="64">
        <f>MROUND(N49+M49,References!$E$28)</f>
        <v>3.5</v>
      </c>
      <c r="P49" s="56">
        <f t="shared" si="41"/>
        <v>3.5</v>
      </c>
      <c r="Q49" s="58">
        <f t="shared" si="45"/>
        <v>4464.3</v>
      </c>
      <c r="R49" s="58">
        <f t="shared" si="46"/>
        <v>4529</v>
      </c>
      <c r="S49" s="58">
        <f t="shared" si="47"/>
        <v>64.699999999999818</v>
      </c>
      <c r="T49" s="83">
        <f t="shared" si="48"/>
        <v>4529</v>
      </c>
      <c r="U49" s="97">
        <f t="shared" si="49"/>
        <v>64.699999999999818</v>
      </c>
    </row>
    <row r="50" spans="1:21">
      <c r="A50" s="149"/>
      <c r="B50" s="112">
        <v>275</v>
      </c>
      <c r="C50" s="29">
        <v>49</v>
      </c>
      <c r="D50" s="19" t="s">
        <v>132</v>
      </c>
      <c r="E50" s="20">
        <v>0</v>
      </c>
      <c r="F50" s="16"/>
      <c r="G50" s="67">
        <v>221</v>
      </c>
      <c r="H50" s="15">
        <v>0</v>
      </c>
      <c r="I50" s="15">
        <f t="shared" si="42"/>
        <v>0</v>
      </c>
      <c r="J50" s="21">
        <f t="shared" si="43"/>
        <v>0</v>
      </c>
      <c r="K50" s="56">
        <f>References!$C$17*J50</f>
        <v>0</v>
      </c>
      <c r="L50" s="56">
        <f>K50/References!$F$18</f>
        <v>0</v>
      </c>
      <c r="M50" s="64">
        <f t="shared" si="44"/>
        <v>0</v>
      </c>
      <c r="N50" s="56">
        <v>11.96</v>
      </c>
      <c r="O50" s="64">
        <f>MROUND(N50+M50,References!$E$28)</f>
        <v>11.96</v>
      </c>
      <c r="P50" s="56">
        <f t="shared" si="41"/>
        <v>11.96</v>
      </c>
      <c r="Q50" s="58">
        <f t="shared" si="45"/>
        <v>2643.1600000000003</v>
      </c>
      <c r="R50" s="58">
        <f t="shared" si="46"/>
        <v>2643.1600000000003</v>
      </c>
      <c r="S50" s="58">
        <f t="shared" si="47"/>
        <v>0</v>
      </c>
      <c r="T50" s="83">
        <f t="shared" si="48"/>
        <v>2643.1600000000003</v>
      </c>
      <c r="U50" s="97">
        <f t="shared" si="49"/>
        <v>0</v>
      </c>
    </row>
    <row r="51" spans="1:21">
      <c r="A51" s="149"/>
      <c r="B51" s="113">
        <v>260</v>
      </c>
      <c r="C51" s="36">
        <v>48</v>
      </c>
      <c r="D51" s="37" t="s">
        <v>133</v>
      </c>
      <c r="E51" s="25">
        <v>0</v>
      </c>
      <c r="F51" s="26"/>
      <c r="G51" s="68">
        <v>2</v>
      </c>
      <c r="H51" s="27">
        <v>0</v>
      </c>
      <c r="I51" s="15">
        <f t="shared" si="30"/>
        <v>0</v>
      </c>
      <c r="J51" s="28">
        <f>$E$76*I51</f>
        <v>0</v>
      </c>
      <c r="K51" s="56">
        <f>References!$C$17*J51</f>
        <v>0</v>
      </c>
      <c r="L51" s="57">
        <f>K51/References!$F$18</f>
        <v>0</v>
      </c>
      <c r="M51" s="64">
        <f t="shared" si="31"/>
        <v>0</v>
      </c>
      <c r="N51" s="57">
        <v>3.61</v>
      </c>
      <c r="O51" s="64">
        <f>MROUND(N51+M51,References!$E$28)</f>
        <v>3.61</v>
      </c>
      <c r="P51" s="56">
        <f t="shared" si="41"/>
        <v>3.61</v>
      </c>
      <c r="Q51" s="58">
        <f t="shared" si="37"/>
        <v>7.22</v>
      </c>
      <c r="R51" s="58">
        <f t="shared" si="38"/>
        <v>7.22</v>
      </c>
      <c r="S51" s="58">
        <f t="shared" si="39"/>
        <v>0</v>
      </c>
      <c r="T51" s="83">
        <f>O51*G51</f>
        <v>7.22</v>
      </c>
      <c r="U51" s="97">
        <f t="shared" si="40"/>
        <v>0</v>
      </c>
    </row>
    <row r="52" spans="1:21">
      <c r="A52" s="150"/>
      <c r="B52" s="111"/>
      <c r="C52" s="75"/>
      <c r="D52" s="73" t="s">
        <v>28</v>
      </c>
      <c r="E52" s="77"/>
      <c r="F52" s="77"/>
      <c r="G52" s="133">
        <f>SUM(G45:G51)</f>
        <v>2665</v>
      </c>
      <c r="H52" s="78"/>
      <c r="I52" s="133">
        <f>SUM(I45:I51)</f>
        <v>68170</v>
      </c>
      <c r="J52" s="133">
        <f>SUM(J45:J51)</f>
        <v>46629.930239893467</v>
      </c>
      <c r="K52" s="77"/>
      <c r="L52" s="78"/>
      <c r="M52" s="78"/>
      <c r="N52" s="78"/>
      <c r="O52" s="78"/>
      <c r="P52" s="78"/>
      <c r="Q52" s="103">
        <f>SUM(Q45:Q51)</f>
        <v>10759.22</v>
      </c>
      <c r="R52" s="103">
        <f>SUM(R45:R51)</f>
        <v>10859.47</v>
      </c>
      <c r="S52" s="86">
        <f>SUM(S45:S51)</f>
        <v>100.24999999999982</v>
      </c>
      <c r="T52" s="86">
        <f>SUM(T45:T51)</f>
        <v>10859.47</v>
      </c>
      <c r="U52" s="103">
        <f>SUM(U45:U51)</f>
        <v>100.24999999999982</v>
      </c>
    </row>
    <row r="53" spans="1:21" ht="15.75" thickBot="1">
      <c r="A53" s="91"/>
      <c r="B53" s="91"/>
      <c r="C53" s="91"/>
      <c r="D53" s="92" t="s">
        <v>3</v>
      </c>
      <c r="E53" s="134">
        <f>E52+E44+E38+E18</f>
        <v>8500</v>
      </c>
      <c r="F53" s="135"/>
      <c r="G53" s="134">
        <f>G52+G44+G38+G18</f>
        <v>317669</v>
      </c>
      <c r="H53" s="135"/>
      <c r="I53" s="134">
        <f>I52+I44+I38+I18</f>
        <v>30663944</v>
      </c>
      <c r="J53" s="134">
        <f>J52+J44+J38+J18</f>
        <v>20974879.999999996</v>
      </c>
      <c r="K53" s="136"/>
      <c r="L53" s="136"/>
      <c r="M53" s="136"/>
      <c r="N53" s="135"/>
      <c r="O53" s="135"/>
      <c r="P53" s="135"/>
      <c r="Q53" s="106">
        <f>Q52+Q44+Q38+Q18</f>
        <v>2770188.32</v>
      </c>
      <c r="R53" s="106">
        <f>R52+R44+R38+R18</f>
        <v>2812996.6700000004</v>
      </c>
      <c r="S53" s="93">
        <f>S52+S44+S38+S18</f>
        <v>42808.350000000064</v>
      </c>
      <c r="T53" s="93">
        <f>T52+T44+T38+T18</f>
        <v>2812996.6700000004</v>
      </c>
      <c r="U53" s="106">
        <f>U52+U44+U38+U18</f>
        <v>42808.350000000064</v>
      </c>
    </row>
    <row r="54" spans="1:21" ht="15.75" thickTop="1">
      <c r="E54" s="24"/>
      <c r="F54" s="24"/>
      <c r="G54" s="24"/>
      <c r="H54" s="24"/>
      <c r="I54" s="24"/>
      <c r="J54" s="124"/>
      <c r="K54" s="24"/>
      <c r="L54" s="24"/>
      <c r="M54" s="24"/>
      <c r="N54" s="24"/>
      <c r="O54" s="24"/>
      <c r="P54" s="24"/>
      <c r="Q54" s="24"/>
      <c r="R54" s="24"/>
      <c r="T54" s="62"/>
    </row>
    <row r="55" spans="1:21" ht="26.45" customHeight="1">
      <c r="D55" s="80" t="s">
        <v>49</v>
      </c>
      <c r="E55" s="24"/>
      <c r="F55" s="24"/>
      <c r="G55" s="24"/>
      <c r="H55" s="122"/>
      <c r="I55" s="123"/>
      <c r="J55" s="124"/>
      <c r="K55" s="24"/>
      <c r="L55" s="24"/>
      <c r="M55" s="24"/>
      <c r="N55" s="24"/>
      <c r="O55" s="24"/>
      <c r="P55" s="24"/>
      <c r="Q55" s="24"/>
      <c r="R55" s="24"/>
    </row>
    <row r="56" spans="1:21" s="24" customFormat="1" ht="14.45" customHeight="1">
      <c r="A56" s="149"/>
      <c r="B56" s="110"/>
      <c r="C56" s="29"/>
      <c r="D56" s="19" t="s">
        <v>15</v>
      </c>
      <c r="E56" s="20">
        <v>0</v>
      </c>
      <c r="F56" s="16">
        <f>52/12/2</f>
        <v>2.1666666666666665</v>
      </c>
      <c r="G56" s="15">
        <f t="shared" ref="G56:G70" si="50">F56*12</f>
        <v>26</v>
      </c>
      <c r="H56" s="15">
        <v>20</v>
      </c>
      <c r="I56" s="15">
        <f t="shared" ref="I56:I70" si="51">G56*H56/12</f>
        <v>43.333333333333336</v>
      </c>
      <c r="J56" s="21">
        <f t="shared" ref="J56:J70" si="52">$E$76*I56</f>
        <v>29.641049000959129</v>
      </c>
      <c r="K56" s="56">
        <f>References!$C$17*J56</f>
        <v>5.9282098001918311E-2</v>
      </c>
      <c r="L56" s="56">
        <f>K56/References!$F$18</f>
        <v>6.0447218131401068E-2</v>
      </c>
      <c r="M56" s="56"/>
      <c r="N56" s="56">
        <v>9.93</v>
      </c>
      <c r="O56" s="56">
        <f t="shared" ref="O56:O70" si="53">ROUND(L56+N56,2)</f>
        <v>9.99</v>
      </c>
      <c r="P56" s="56">
        <v>10.24</v>
      </c>
      <c r="Q56" s="22">
        <f t="shared" ref="Q56:Q70" si="54">E56*N56*12</f>
        <v>0</v>
      </c>
      <c r="R56" s="22">
        <f t="shared" ref="R56:R70" si="55">E56*P56*12</f>
        <v>0</v>
      </c>
      <c r="S56" s="22">
        <f t="shared" ref="S56:S70" si="56">R56-Q56</f>
        <v>0</v>
      </c>
      <c r="T56" s="23">
        <f t="shared" ref="T56:T70" si="57">E56*O56*12</f>
        <v>0</v>
      </c>
    </row>
    <row r="57" spans="1:21" s="24" customFormat="1">
      <c r="A57" s="149"/>
      <c r="B57" s="110"/>
      <c r="C57" s="29"/>
      <c r="D57" s="19" t="s">
        <v>16</v>
      </c>
      <c r="E57" s="20">
        <v>0</v>
      </c>
      <c r="F57" s="16">
        <v>1</v>
      </c>
      <c r="G57" s="15">
        <f t="shared" si="50"/>
        <v>12</v>
      </c>
      <c r="H57" s="15">
        <v>20</v>
      </c>
      <c r="I57" s="15">
        <f t="shared" si="51"/>
        <v>20</v>
      </c>
      <c r="J57" s="21">
        <f t="shared" si="52"/>
        <v>13.680484154288827</v>
      </c>
      <c r="K57" s="56">
        <f>References!$C$17*J57</f>
        <v>2.7360968308577677E-2</v>
      </c>
      <c r="L57" s="56">
        <f>K57/References!$F$18</f>
        <v>2.7898716060646641E-2</v>
      </c>
      <c r="M57" s="56"/>
      <c r="N57" s="56">
        <v>7.62</v>
      </c>
      <c r="O57" s="56">
        <f t="shared" si="53"/>
        <v>7.65</v>
      </c>
      <c r="P57" s="56">
        <v>7.86</v>
      </c>
      <c r="Q57" s="22">
        <f t="shared" si="54"/>
        <v>0</v>
      </c>
      <c r="R57" s="22">
        <f t="shared" si="55"/>
        <v>0</v>
      </c>
      <c r="S57" s="22">
        <f t="shared" si="56"/>
        <v>0</v>
      </c>
      <c r="T57" s="23">
        <f t="shared" si="57"/>
        <v>0</v>
      </c>
    </row>
    <row r="58" spans="1:21" s="24" customFormat="1">
      <c r="A58" s="149"/>
      <c r="B58" s="110"/>
      <c r="C58" s="29"/>
      <c r="D58" s="19" t="s">
        <v>17</v>
      </c>
      <c r="E58" s="20">
        <v>0</v>
      </c>
      <c r="F58" s="16">
        <v>1</v>
      </c>
      <c r="G58" s="15">
        <f t="shared" si="50"/>
        <v>12</v>
      </c>
      <c r="H58" s="15">
        <v>51</v>
      </c>
      <c r="I58" s="15">
        <f t="shared" si="51"/>
        <v>51</v>
      </c>
      <c r="J58" s="21">
        <f t="shared" si="52"/>
        <v>34.885234593436508</v>
      </c>
      <c r="K58" s="56">
        <f>References!$C$17*J58</f>
        <v>6.9770469186873074E-2</v>
      </c>
      <c r="L58" s="56">
        <f>K58/References!$F$18</f>
        <v>7.1141725954648932E-2</v>
      </c>
      <c r="M58" s="56"/>
      <c r="N58" s="56">
        <v>15.2</v>
      </c>
      <c r="O58" s="56">
        <f t="shared" si="53"/>
        <v>15.27</v>
      </c>
      <c r="P58" s="56">
        <v>15.68</v>
      </c>
      <c r="Q58" s="22">
        <f t="shared" si="54"/>
        <v>0</v>
      </c>
      <c r="R58" s="22">
        <f t="shared" si="55"/>
        <v>0</v>
      </c>
      <c r="S58" s="22">
        <f t="shared" si="56"/>
        <v>0</v>
      </c>
      <c r="T58" s="23">
        <f t="shared" si="57"/>
        <v>0</v>
      </c>
    </row>
    <row r="59" spans="1:21" s="24" customFormat="1">
      <c r="A59" s="149"/>
      <c r="B59" s="110"/>
      <c r="C59" s="29"/>
      <c r="D59" s="19" t="s">
        <v>18</v>
      </c>
      <c r="E59" s="20">
        <v>0</v>
      </c>
      <c r="F59" s="16">
        <v>1</v>
      </c>
      <c r="G59" s="15">
        <f t="shared" si="50"/>
        <v>12</v>
      </c>
      <c r="H59" s="15">
        <v>77</v>
      </c>
      <c r="I59" s="15">
        <f t="shared" si="51"/>
        <v>77</v>
      </c>
      <c r="J59" s="21">
        <f t="shared" si="52"/>
        <v>52.66986399401199</v>
      </c>
      <c r="K59" s="56">
        <f>References!$C$17*J59</f>
        <v>0.10533972798802407</v>
      </c>
      <c r="L59" s="56">
        <f>K59/References!$F$18</f>
        <v>0.10741005683348959</v>
      </c>
      <c r="M59" s="56"/>
      <c r="N59" s="56">
        <v>18.04</v>
      </c>
      <c r="O59" s="56">
        <f t="shared" si="53"/>
        <v>18.149999999999999</v>
      </c>
      <c r="P59" s="56">
        <v>18.61</v>
      </c>
      <c r="Q59" s="22">
        <f t="shared" si="54"/>
        <v>0</v>
      </c>
      <c r="R59" s="22">
        <f t="shared" si="55"/>
        <v>0</v>
      </c>
      <c r="S59" s="22">
        <f t="shared" si="56"/>
        <v>0</v>
      </c>
      <c r="T59" s="23">
        <f t="shared" si="57"/>
        <v>0</v>
      </c>
    </row>
    <row r="60" spans="1:21" s="24" customFormat="1">
      <c r="A60" s="149"/>
      <c r="B60" s="110"/>
      <c r="C60" s="29"/>
      <c r="D60" s="19" t="s">
        <v>19</v>
      </c>
      <c r="E60" s="20">
        <v>0</v>
      </c>
      <c r="F60" s="16">
        <f>52/12/2</f>
        <v>2.1666666666666665</v>
      </c>
      <c r="G60" s="15">
        <f t="shared" si="50"/>
        <v>26</v>
      </c>
      <c r="H60" s="15">
        <v>97</v>
      </c>
      <c r="I60" s="15">
        <f t="shared" si="51"/>
        <v>210.16666666666666</v>
      </c>
      <c r="J60" s="21">
        <f t="shared" si="52"/>
        <v>143.75908765465175</v>
      </c>
      <c r="K60" s="56">
        <f>References!$C$17*J60</f>
        <v>0.28751817530930374</v>
      </c>
      <c r="L60" s="56">
        <f>K60/References!$F$18</f>
        <v>0.29316900793729511</v>
      </c>
      <c r="M60" s="56"/>
      <c r="N60" s="56">
        <v>31.24</v>
      </c>
      <c r="O60" s="56">
        <f t="shared" si="53"/>
        <v>31.53</v>
      </c>
      <c r="P60" s="56">
        <v>32.229999999999997</v>
      </c>
      <c r="Q60" s="22">
        <f t="shared" si="54"/>
        <v>0</v>
      </c>
      <c r="R60" s="22">
        <f t="shared" si="55"/>
        <v>0</v>
      </c>
      <c r="S60" s="22">
        <f t="shared" si="56"/>
        <v>0</v>
      </c>
      <c r="T60" s="23">
        <f t="shared" si="57"/>
        <v>0</v>
      </c>
    </row>
    <row r="61" spans="1:21" s="24" customFormat="1">
      <c r="A61" s="149"/>
      <c r="B61" s="110"/>
      <c r="C61" s="29"/>
      <c r="D61" s="19" t="s">
        <v>20</v>
      </c>
      <c r="E61" s="20">
        <v>0</v>
      </c>
      <c r="F61" s="16">
        <v>1</v>
      </c>
      <c r="G61" s="15">
        <f t="shared" si="50"/>
        <v>12</v>
      </c>
      <c r="H61" s="15">
        <v>97</v>
      </c>
      <c r="I61" s="15">
        <f t="shared" si="51"/>
        <v>97</v>
      </c>
      <c r="J61" s="21">
        <f t="shared" si="52"/>
        <v>66.35034814830081</v>
      </c>
      <c r="K61" s="56">
        <f>References!$C$17*J61</f>
        <v>0.13270069629660175</v>
      </c>
      <c r="L61" s="56">
        <f>K61/References!$F$18</f>
        <v>0.13530877289413623</v>
      </c>
      <c r="M61" s="56"/>
      <c r="N61" s="56">
        <v>20.82</v>
      </c>
      <c r="O61" s="56">
        <f t="shared" si="53"/>
        <v>20.96</v>
      </c>
      <c r="P61" s="56">
        <v>21.48</v>
      </c>
      <c r="Q61" s="22">
        <f t="shared" si="54"/>
        <v>0</v>
      </c>
      <c r="R61" s="22">
        <f t="shared" si="55"/>
        <v>0</v>
      </c>
      <c r="S61" s="22">
        <f t="shared" si="56"/>
        <v>0</v>
      </c>
      <c r="T61" s="23">
        <f t="shared" si="57"/>
        <v>0</v>
      </c>
    </row>
    <row r="62" spans="1:21" s="24" customFormat="1">
      <c r="A62" s="149"/>
      <c r="B62" s="110"/>
      <c r="C62" s="29"/>
      <c r="D62" s="19" t="s">
        <v>21</v>
      </c>
      <c r="E62" s="20">
        <v>0</v>
      </c>
      <c r="F62" s="16">
        <f>52/12/2</f>
        <v>2.1666666666666665</v>
      </c>
      <c r="G62" s="15">
        <f t="shared" si="50"/>
        <v>26</v>
      </c>
      <c r="H62" s="15">
        <v>47</v>
      </c>
      <c r="I62" s="15">
        <f t="shared" si="51"/>
        <v>101.83333333333333</v>
      </c>
      <c r="J62" s="21">
        <f t="shared" si="52"/>
        <v>69.656465152253944</v>
      </c>
      <c r="K62" s="56">
        <f>References!$C$17*J62</f>
        <v>0.139312930304508</v>
      </c>
      <c r="L62" s="56">
        <f>K62/References!$F$18</f>
        <v>0.14205096260879249</v>
      </c>
      <c r="M62" s="56"/>
      <c r="N62" s="56">
        <v>25.08</v>
      </c>
      <c r="O62" s="56">
        <f t="shared" si="53"/>
        <v>25.22</v>
      </c>
      <c r="P62" s="56">
        <v>25.87</v>
      </c>
      <c r="Q62" s="22">
        <f t="shared" si="54"/>
        <v>0</v>
      </c>
      <c r="R62" s="22">
        <f t="shared" si="55"/>
        <v>0</v>
      </c>
      <c r="S62" s="22">
        <f t="shared" si="56"/>
        <v>0</v>
      </c>
      <c r="T62" s="23">
        <f t="shared" si="57"/>
        <v>0</v>
      </c>
    </row>
    <row r="63" spans="1:21" s="24" customFormat="1">
      <c r="A63" s="149"/>
      <c r="B63" s="110"/>
      <c r="C63" s="29"/>
      <c r="D63" s="19" t="s">
        <v>22</v>
      </c>
      <c r="E63" s="20">
        <v>0</v>
      </c>
      <c r="F63" s="16">
        <v>1</v>
      </c>
      <c r="G63" s="15">
        <f t="shared" si="50"/>
        <v>12</v>
      </c>
      <c r="H63" s="15">
        <v>47</v>
      </c>
      <c r="I63" s="15">
        <f t="shared" si="51"/>
        <v>47</v>
      </c>
      <c r="J63" s="21">
        <f t="shared" si="52"/>
        <v>32.149137762578746</v>
      </c>
      <c r="K63" s="56">
        <f>References!$C$17*J63</f>
        <v>6.4298275525157544E-2</v>
      </c>
      <c r="L63" s="56">
        <f>K63/References!$F$18</f>
        <v>6.5561982742519606E-2</v>
      </c>
      <c r="M63" s="56"/>
      <c r="N63" s="56">
        <v>16.600000000000001</v>
      </c>
      <c r="O63" s="56">
        <f t="shared" si="53"/>
        <v>16.670000000000002</v>
      </c>
      <c r="P63" s="56">
        <v>17.13</v>
      </c>
      <c r="Q63" s="22">
        <f t="shared" si="54"/>
        <v>0</v>
      </c>
      <c r="R63" s="22">
        <f t="shared" si="55"/>
        <v>0</v>
      </c>
      <c r="S63" s="22">
        <f t="shared" si="56"/>
        <v>0</v>
      </c>
      <c r="T63" s="23">
        <f t="shared" si="57"/>
        <v>0</v>
      </c>
    </row>
    <row r="64" spans="1:21" s="24" customFormat="1">
      <c r="A64" s="149"/>
      <c r="B64" s="110"/>
      <c r="C64" s="29"/>
      <c r="D64" s="19" t="s">
        <v>23</v>
      </c>
      <c r="E64" s="20">
        <v>0</v>
      </c>
      <c r="F64" s="16">
        <f>52/12/2</f>
        <v>2.1666666666666665</v>
      </c>
      <c r="G64" s="15">
        <f t="shared" si="50"/>
        <v>26</v>
      </c>
      <c r="H64" s="15">
        <v>68</v>
      </c>
      <c r="I64" s="15">
        <f t="shared" si="51"/>
        <v>147.33333333333334</v>
      </c>
      <c r="J64" s="21">
        <f t="shared" si="52"/>
        <v>100.77956660326103</v>
      </c>
      <c r="K64" s="56">
        <f>References!$C$17*J64</f>
        <v>0.20155913320652225</v>
      </c>
      <c r="L64" s="56">
        <f>K64/References!$F$18</f>
        <v>0.20552054164676362</v>
      </c>
      <c r="M64" s="56"/>
      <c r="N64" s="56">
        <v>28.36</v>
      </c>
      <c r="O64" s="56">
        <f t="shared" si="53"/>
        <v>28.57</v>
      </c>
      <c r="P64" s="56">
        <v>29.26</v>
      </c>
      <c r="Q64" s="22">
        <f t="shared" si="54"/>
        <v>0</v>
      </c>
      <c r="R64" s="22">
        <f t="shared" si="55"/>
        <v>0</v>
      </c>
      <c r="S64" s="22">
        <f t="shared" si="56"/>
        <v>0</v>
      </c>
      <c r="T64" s="23">
        <f t="shared" si="57"/>
        <v>0</v>
      </c>
    </row>
    <row r="65" spans="1:20" s="24" customFormat="1">
      <c r="A65" s="149"/>
      <c r="B65" s="110"/>
      <c r="C65" s="29"/>
      <c r="D65" s="19" t="s">
        <v>24</v>
      </c>
      <c r="E65" s="20">
        <v>0</v>
      </c>
      <c r="F65" s="16">
        <v>1</v>
      </c>
      <c r="G65" s="15">
        <f t="shared" si="50"/>
        <v>12</v>
      </c>
      <c r="H65" s="15">
        <v>68</v>
      </c>
      <c r="I65" s="15">
        <f t="shared" si="51"/>
        <v>68</v>
      </c>
      <c r="J65" s="21">
        <f t="shared" si="52"/>
        <v>46.513646124582017</v>
      </c>
      <c r="K65" s="56">
        <f>References!$C$17*J65</f>
        <v>9.3027292249164117E-2</v>
      </c>
      <c r="L65" s="56">
        <f>K65/References!$F$18</f>
        <v>9.4855634606198599E-2</v>
      </c>
      <c r="M65" s="56"/>
      <c r="N65" s="56">
        <v>0</v>
      </c>
      <c r="O65" s="56">
        <f t="shared" si="53"/>
        <v>0.09</v>
      </c>
      <c r="P65" s="56">
        <v>18.71</v>
      </c>
      <c r="Q65" s="22">
        <f t="shared" si="54"/>
        <v>0</v>
      </c>
      <c r="R65" s="22">
        <f t="shared" si="55"/>
        <v>0</v>
      </c>
      <c r="S65" s="22">
        <f t="shared" si="56"/>
        <v>0</v>
      </c>
      <c r="T65" s="23">
        <f t="shared" si="57"/>
        <v>0</v>
      </c>
    </row>
    <row r="66" spans="1:20" s="24" customFormat="1">
      <c r="A66" s="149"/>
      <c r="B66" s="110"/>
      <c r="C66" s="29"/>
      <c r="D66" s="19" t="s">
        <v>44</v>
      </c>
      <c r="E66" s="20">
        <v>0</v>
      </c>
      <c r="F66" s="16">
        <v>1</v>
      </c>
      <c r="G66" s="15">
        <f t="shared" si="50"/>
        <v>12</v>
      </c>
      <c r="H66" s="15">
        <v>10</v>
      </c>
      <c r="I66" s="15">
        <f t="shared" si="51"/>
        <v>10</v>
      </c>
      <c r="J66" s="21">
        <f t="shared" si="52"/>
        <v>6.8402420771444135</v>
      </c>
      <c r="K66" s="56">
        <f>References!$C$17*J66</f>
        <v>1.3680484154288838E-2</v>
      </c>
      <c r="L66" s="56">
        <f>K66/References!$F$18</f>
        <v>1.394935803032332E-2</v>
      </c>
      <c r="M66" s="56"/>
      <c r="N66" s="56">
        <v>9.6</v>
      </c>
      <c r="O66" s="56">
        <f t="shared" si="53"/>
        <v>9.61</v>
      </c>
      <c r="P66" s="56">
        <v>9.6999999999999993</v>
      </c>
      <c r="Q66" s="22">
        <f t="shared" si="54"/>
        <v>0</v>
      </c>
      <c r="R66" s="22">
        <f t="shared" si="55"/>
        <v>0</v>
      </c>
      <c r="S66" s="22">
        <f t="shared" si="56"/>
        <v>0</v>
      </c>
      <c r="T66" s="23">
        <f t="shared" si="57"/>
        <v>0</v>
      </c>
    </row>
    <row r="67" spans="1:20" s="24" customFormat="1">
      <c r="A67" s="149"/>
      <c r="B67" s="110"/>
      <c r="C67" s="29"/>
      <c r="D67" s="19" t="s">
        <v>25</v>
      </c>
      <c r="E67" s="20">
        <v>0</v>
      </c>
      <c r="F67" s="16">
        <v>1</v>
      </c>
      <c r="G67" s="15">
        <f t="shared" si="50"/>
        <v>12</v>
      </c>
      <c r="H67" s="15">
        <v>20</v>
      </c>
      <c r="I67" s="15">
        <f t="shared" si="51"/>
        <v>20</v>
      </c>
      <c r="J67" s="21">
        <f t="shared" si="52"/>
        <v>13.680484154288827</v>
      </c>
      <c r="K67" s="56">
        <f>References!$C$17*J67</f>
        <v>2.7360968308577677E-2</v>
      </c>
      <c r="L67" s="56">
        <f>K67/References!$F$18</f>
        <v>2.7898716060646641E-2</v>
      </c>
      <c r="M67" s="56"/>
      <c r="N67" s="56">
        <v>3.62</v>
      </c>
      <c r="O67" s="56">
        <f t="shared" si="53"/>
        <v>3.65</v>
      </c>
      <c r="P67" s="56">
        <v>3.73</v>
      </c>
      <c r="Q67" s="22">
        <f t="shared" si="54"/>
        <v>0</v>
      </c>
      <c r="R67" s="22">
        <f t="shared" si="55"/>
        <v>0</v>
      </c>
      <c r="S67" s="22">
        <f t="shared" si="56"/>
        <v>0</v>
      </c>
      <c r="T67" s="23">
        <f t="shared" si="57"/>
        <v>0</v>
      </c>
    </row>
    <row r="68" spans="1:20" s="24" customFormat="1">
      <c r="A68" s="149"/>
      <c r="B68" s="110"/>
      <c r="C68" s="29"/>
      <c r="D68" s="19" t="s">
        <v>26</v>
      </c>
      <c r="E68" s="20">
        <v>0</v>
      </c>
      <c r="F68" s="16">
        <v>1</v>
      </c>
      <c r="G68" s="15">
        <f t="shared" si="50"/>
        <v>12</v>
      </c>
      <c r="H68" s="15">
        <v>10</v>
      </c>
      <c r="I68" s="15">
        <f t="shared" si="51"/>
        <v>10</v>
      </c>
      <c r="J68" s="21">
        <f t="shared" si="52"/>
        <v>6.8402420771444135</v>
      </c>
      <c r="K68" s="56">
        <f>References!$C$17*J68</f>
        <v>1.3680484154288838E-2</v>
      </c>
      <c r="L68" s="56">
        <f>K68/References!$F$18</f>
        <v>1.394935803032332E-2</v>
      </c>
      <c r="M68" s="56"/>
      <c r="N68" s="56">
        <v>6.94</v>
      </c>
      <c r="O68" s="56">
        <f t="shared" si="53"/>
        <v>6.95</v>
      </c>
      <c r="P68" s="56">
        <v>7.16</v>
      </c>
      <c r="Q68" s="22">
        <f t="shared" si="54"/>
        <v>0</v>
      </c>
      <c r="R68" s="22">
        <f t="shared" si="55"/>
        <v>0</v>
      </c>
      <c r="S68" s="22">
        <f t="shared" si="56"/>
        <v>0</v>
      </c>
      <c r="T68" s="23">
        <f t="shared" si="57"/>
        <v>0</v>
      </c>
    </row>
    <row r="69" spans="1:20">
      <c r="A69" s="149"/>
      <c r="B69" s="110"/>
      <c r="C69" s="29"/>
      <c r="D69" s="19" t="s">
        <v>134</v>
      </c>
      <c r="E69" s="126">
        <v>0</v>
      </c>
      <c r="F69" s="127">
        <v>1</v>
      </c>
      <c r="G69" s="15">
        <f t="shared" si="50"/>
        <v>12</v>
      </c>
      <c r="H69" s="21">
        <v>47</v>
      </c>
      <c r="I69" s="21">
        <f t="shared" si="51"/>
        <v>47</v>
      </c>
      <c r="J69" s="21">
        <f t="shared" si="52"/>
        <v>32.149137762578746</v>
      </c>
      <c r="K69" s="56">
        <f>References!$C$17*J69</f>
        <v>6.4298275525157544E-2</v>
      </c>
      <c r="L69" s="56">
        <f>K69/References!$F$18</f>
        <v>6.5561982742519606E-2</v>
      </c>
      <c r="M69" s="56"/>
      <c r="N69" s="87">
        <v>8.6999999999999993</v>
      </c>
      <c r="O69" s="56">
        <f t="shared" si="53"/>
        <v>8.77</v>
      </c>
      <c r="P69" s="87">
        <v>8.98</v>
      </c>
      <c r="Q69" s="22">
        <f t="shared" si="54"/>
        <v>0</v>
      </c>
      <c r="R69" s="22">
        <f t="shared" si="55"/>
        <v>0</v>
      </c>
      <c r="S69" s="22">
        <f t="shared" si="56"/>
        <v>0</v>
      </c>
      <c r="T69" s="23">
        <f t="shared" si="57"/>
        <v>0</v>
      </c>
    </row>
    <row r="70" spans="1:20">
      <c r="A70" s="150"/>
      <c r="B70" s="111"/>
      <c r="C70" s="36"/>
      <c r="D70" s="37" t="s">
        <v>135</v>
      </c>
      <c r="E70" s="121">
        <v>0</v>
      </c>
      <c r="F70" s="128">
        <v>1</v>
      </c>
      <c r="G70" s="27">
        <f t="shared" si="50"/>
        <v>12</v>
      </c>
      <c r="H70" s="28">
        <v>68</v>
      </c>
      <c r="I70" s="28">
        <f t="shared" si="51"/>
        <v>68</v>
      </c>
      <c r="J70" s="28">
        <f t="shared" si="52"/>
        <v>46.513646124582017</v>
      </c>
      <c r="K70" s="57">
        <f>References!$C$17*J70</f>
        <v>9.3027292249164117E-2</v>
      </c>
      <c r="L70" s="57">
        <f>K70/References!$F$18</f>
        <v>9.4855634606198599E-2</v>
      </c>
      <c r="M70" s="57"/>
      <c r="N70" s="88">
        <v>11.57</v>
      </c>
      <c r="O70" s="57">
        <f t="shared" si="53"/>
        <v>11.66</v>
      </c>
      <c r="P70" s="88">
        <v>11.93</v>
      </c>
      <c r="Q70" s="38">
        <f t="shared" si="54"/>
        <v>0</v>
      </c>
      <c r="R70" s="38">
        <f t="shared" si="55"/>
        <v>0</v>
      </c>
      <c r="S70" s="38">
        <f t="shared" si="56"/>
        <v>0</v>
      </c>
      <c r="T70" s="38">
        <f t="shared" si="57"/>
        <v>0</v>
      </c>
    </row>
    <row r="71" spans="1:20">
      <c r="E71" s="24"/>
      <c r="F71" s="24"/>
      <c r="G71" s="24"/>
      <c r="H71" s="122"/>
      <c r="I71" s="123"/>
      <c r="J71" s="124"/>
      <c r="K71" s="24"/>
      <c r="L71" s="24"/>
      <c r="M71" s="24"/>
      <c r="N71" s="24"/>
      <c r="O71" s="24"/>
      <c r="P71" s="24"/>
      <c r="Q71" s="24"/>
      <c r="R71" s="24"/>
    </row>
    <row r="72" spans="1:20">
      <c r="E72" s="23"/>
      <c r="F72" s="24"/>
      <c r="G72" s="24"/>
      <c r="H72" s="19"/>
      <c r="I72" s="16"/>
      <c r="J72" s="16"/>
      <c r="K72" s="15"/>
      <c r="L72" s="24"/>
      <c r="M72" s="24"/>
      <c r="N72" s="24"/>
      <c r="O72" s="24"/>
      <c r="P72" s="24"/>
      <c r="Q72" s="137"/>
      <c r="R72" s="15"/>
      <c r="S72" s="18"/>
    </row>
    <row r="73" spans="1:20">
      <c r="D73" s="17" t="s">
        <v>45</v>
      </c>
      <c r="E73" s="23">
        <v>10487.44</v>
      </c>
      <c r="F73" s="24"/>
      <c r="G73" s="24"/>
      <c r="H73" s="19"/>
      <c r="I73" s="16"/>
      <c r="J73" s="16"/>
      <c r="K73" s="15"/>
      <c r="L73" s="24"/>
      <c r="M73" s="24"/>
      <c r="N73" s="24"/>
      <c r="O73" s="24"/>
      <c r="P73" s="24"/>
      <c r="Q73" s="137"/>
      <c r="R73" s="138"/>
      <c r="S73" s="18"/>
    </row>
    <row r="74" spans="1:20">
      <c r="D74" s="17" t="s">
        <v>46</v>
      </c>
      <c r="E74" s="139">
        <f>E73*2000</f>
        <v>20974880</v>
      </c>
      <c r="F74" s="24"/>
      <c r="G74" s="24"/>
      <c r="H74" s="19"/>
      <c r="I74" s="16"/>
      <c r="J74" s="16"/>
      <c r="K74" s="15"/>
      <c r="L74" s="24"/>
      <c r="M74" s="24"/>
      <c r="N74" s="24"/>
      <c r="O74" s="24"/>
      <c r="P74" s="24"/>
      <c r="Q74" s="140"/>
      <c r="R74" s="138"/>
      <c r="S74" s="18"/>
    </row>
    <row r="75" spans="1:20">
      <c r="D75" s="17" t="s">
        <v>5</v>
      </c>
      <c r="E75" s="124">
        <f>G52+G44+G38+G18</f>
        <v>317669</v>
      </c>
      <c r="F75" s="24"/>
      <c r="G75" s="24"/>
      <c r="H75" s="19"/>
      <c r="I75" s="16"/>
      <c r="J75" s="16"/>
      <c r="K75" s="15"/>
      <c r="L75" s="24"/>
      <c r="M75" s="24"/>
      <c r="N75" s="24"/>
      <c r="O75" s="24"/>
      <c r="P75" s="24"/>
      <c r="Q75" s="137"/>
      <c r="R75" s="138"/>
      <c r="S75" s="18"/>
    </row>
    <row r="76" spans="1:20">
      <c r="D76" s="47" t="s">
        <v>11</v>
      </c>
      <c r="E76" s="141">
        <f>E74/I53</f>
        <v>0.68402420771444139</v>
      </c>
      <c r="F76" s="24"/>
      <c r="G76" s="24"/>
      <c r="H76" s="19"/>
      <c r="I76" s="16"/>
      <c r="J76" s="16"/>
      <c r="K76" s="15"/>
      <c r="L76" s="140"/>
      <c r="M76" s="140"/>
      <c r="N76" s="142"/>
      <c r="O76" s="142"/>
      <c r="P76" s="142"/>
      <c r="Q76" s="143"/>
      <c r="R76" s="143"/>
      <c r="S76" s="18"/>
    </row>
    <row r="77" spans="1:20">
      <c r="D77" s="18"/>
      <c r="E77" s="140"/>
      <c r="F77" s="140"/>
      <c r="G77" s="24"/>
      <c r="H77" s="19"/>
      <c r="I77" s="16"/>
      <c r="J77" s="16"/>
      <c r="K77" s="15"/>
      <c r="L77" s="140"/>
      <c r="M77" s="140"/>
      <c r="N77" s="144"/>
      <c r="O77" s="96"/>
      <c r="P77" s="96"/>
      <c r="Q77" s="97"/>
      <c r="R77" s="141"/>
    </row>
    <row r="78" spans="1:20">
      <c r="D78" s="18"/>
      <c r="E78" s="138"/>
      <c r="F78" s="145"/>
      <c r="G78" s="140"/>
      <c r="H78" s="19"/>
      <c r="I78" s="16"/>
      <c r="J78" s="16"/>
      <c r="K78" s="15"/>
      <c r="L78" s="140"/>
      <c r="M78" s="140"/>
      <c r="N78" s="144"/>
      <c r="O78" s="96"/>
      <c r="P78" s="96"/>
      <c r="Q78" s="97"/>
      <c r="R78" s="141"/>
    </row>
    <row r="79" spans="1:20">
      <c r="D79" s="18"/>
      <c r="E79" s="48"/>
      <c r="F79" s="49"/>
      <c r="H79" s="19"/>
      <c r="I79" s="40"/>
      <c r="J79" s="40"/>
      <c r="K79" s="41"/>
      <c r="L79" s="18"/>
      <c r="M79" s="18"/>
      <c r="N79" s="10"/>
      <c r="O79" s="11"/>
      <c r="P79" s="11"/>
      <c r="Q79" s="12"/>
      <c r="R79" s="13"/>
    </row>
    <row r="80" spans="1:20">
      <c r="D80" s="18"/>
      <c r="E80" s="48"/>
      <c r="F80" s="49"/>
      <c r="H80" s="39"/>
      <c r="I80" s="18"/>
      <c r="J80" s="9"/>
      <c r="K80" s="41"/>
      <c r="L80" s="18"/>
      <c r="M80" s="18"/>
      <c r="N80" s="10"/>
      <c r="O80" s="11"/>
      <c r="P80" s="11"/>
      <c r="Q80" s="13"/>
      <c r="R80" s="13"/>
    </row>
    <row r="81" spans="4:18">
      <c r="D81" s="18"/>
      <c r="E81" s="50"/>
      <c r="F81" s="18"/>
      <c r="H81" s="18"/>
      <c r="I81" s="18"/>
      <c r="J81" s="9"/>
      <c r="K81" s="18"/>
      <c r="L81" s="18"/>
      <c r="M81" s="18"/>
      <c r="N81" s="18"/>
      <c r="O81" s="12"/>
      <c r="P81" s="12"/>
      <c r="Q81" s="12"/>
      <c r="R81" s="13"/>
    </row>
    <row r="82" spans="4:18">
      <c r="D82" s="18"/>
      <c r="E82" s="18"/>
      <c r="F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4:18">
      <c r="D83" s="18"/>
      <c r="E83" s="18"/>
      <c r="F83" s="18"/>
    </row>
    <row r="84" spans="4:18">
      <c r="D84" s="18"/>
      <c r="E84" s="18"/>
      <c r="F84" s="18"/>
    </row>
    <row r="85" spans="4:18">
      <c r="D85" s="18"/>
      <c r="E85" s="18"/>
      <c r="F85" s="18"/>
    </row>
    <row r="86" spans="4:18">
      <c r="D86" s="18"/>
      <c r="E86" s="18"/>
      <c r="F86" s="18"/>
    </row>
    <row r="87" spans="4:18">
      <c r="D87" s="18"/>
      <c r="E87" s="18"/>
      <c r="F87" s="18"/>
    </row>
  </sheetData>
  <mergeCells count="7">
    <mergeCell ref="O3:O4"/>
    <mergeCell ref="A56:A70"/>
    <mergeCell ref="A6:A18"/>
    <mergeCell ref="A40:A44"/>
    <mergeCell ref="A45:A52"/>
    <mergeCell ref="A19:A32"/>
    <mergeCell ref="A33:A38"/>
  </mergeCells>
  <pageMargins left="0.2" right="0.22" top="0.38" bottom="0.34" header="0.19" footer="0.17"/>
  <pageSetup scale="52" orientation="landscape" r:id="rId1"/>
  <headerFooter>
    <oddFooter>&amp;L&amp;F&amp;A&amp;R&amp;D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7C4C9584C0B14FB967974582014A37" ma:contentTypeVersion="68" ma:contentTypeDescription="" ma:contentTypeScope="" ma:versionID="d26b16f94b98fabbe6734167880e147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2018-11-15T08:00:00+00:00</OpenedDate>
    <SignificantOrder xmlns="dc463f71-b30c-4ab2-9473-d307f9d35888">false</SignificantOrder>
    <Date1 xmlns="dc463f71-b30c-4ab2-9473-d307f9d35888">2018-11-15T08:00:00+00:00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Pullman Disposal Service, Inc</CaseCompanyNames>
    <Nickname xmlns="http://schemas.microsoft.com/sharepoint/v3" xsi:nil="true"/>
    <DocketNumber xmlns="dc463f71-b30c-4ab2-9473-d307f9d35888">180946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5DA9785-DF09-4B72-8AB6-2D9A734AC060}"/>
</file>

<file path=customXml/itemProps2.xml><?xml version="1.0" encoding="utf-8"?>
<ds:datastoreItem xmlns:ds="http://schemas.openxmlformats.org/officeDocument/2006/customXml" ds:itemID="{FC896CAE-4B38-40B5-978C-936A62C02E49}"/>
</file>

<file path=customXml/itemProps3.xml><?xml version="1.0" encoding="utf-8"?>
<ds:datastoreItem xmlns:ds="http://schemas.openxmlformats.org/officeDocument/2006/customXml" ds:itemID="{853E20F2-FEA5-45ED-97AA-4CAD97963FA4}"/>
</file>

<file path=customXml/itemProps4.xml><?xml version="1.0" encoding="utf-8"?>
<ds:datastoreItem xmlns:ds="http://schemas.openxmlformats.org/officeDocument/2006/customXml" ds:itemID="{F059204B-3016-4ED5-8BEF-FF73935E42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References</vt:lpstr>
      <vt:lpstr>Staff Calcs 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Randy Poole</cp:lastModifiedBy>
  <cp:lastPrinted>2013-11-13T18:16:52Z</cp:lastPrinted>
  <dcterms:created xsi:type="dcterms:W3CDTF">2013-10-29T22:33:54Z</dcterms:created>
  <dcterms:modified xsi:type="dcterms:W3CDTF">2018-11-15T20:26:34Z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0x0101006E56B4D1795A2E4DB2F0B01679ED314A00E97C4C9584C0B14FB967974582014A37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