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55" yWindow="450" windowWidth="12570" windowHeight="6465" tabRatio="616" activeTab="1"/>
  </bookViews>
  <sheets>
    <sheet name="Commodity Credit 3-1-2018" sheetId="1" r:id="rId1"/>
    <sheet name="Commodity Credit 10-1-2018" sheetId="2" r:id="rId2"/>
  </sheets>
  <externalReferences>
    <externalReference r:id="rId5"/>
    <externalReference r:id="rId6"/>
    <externalReference r:id="rId7"/>
    <externalReference r:id="rId8"/>
    <externalReference r:id="rId9"/>
    <externalReference r:id="rId10"/>
  </externalReferences>
  <definedNames>
    <definedName name="_xlfn.IFERROR" hidden="1">#NAME?</definedName>
    <definedName name="BREMAIR_COST_of_SERVICE_STUDY">#REF!</definedName>
    <definedName name="_xlnm.Print_Area" localSheetId="1">'Commodity Credit 10-1-2018'!$A$1:$M$130</definedName>
    <definedName name="_xlnm.Print_Area" localSheetId="0">'Commodity Credit 3-1-2018'!$A$1:$N$68,'Commodity Credit 3-1-2018'!$A$70:$N$119</definedName>
    <definedName name="_xlnm.Print_Titles" localSheetId="1">'Commodity Credit 10-1-2018'!$1:$5</definedName>
    <definedName name="Print1">#REF!</definedName>
    <definedName name="Print2">#REF!</definedName>
  </definedNames>
  <calcPr fullCalcOnLoad="1"/>
</workbook>
</file>

<file path=xl/comments1.xml><?xml version="1.0" encoding="utf-8"?>
<comments xmlns="http://schemas.openxmlformats.org/spreadsheetml/2006/main">
  <authors>
    <author>Author</author>
  </authors>
  <commentList>
    <comment ref="A70" authorId="0">
      <text>
        <r>
          <rPr>
            <b/>
            <sz val="9"/>
            <rFont val="Tahoma"/>
            <family val="2"/>
          </rPr>
          <t>Author:</t>
        </r>
        <r>
          <rPr>
            <sz val="9"/>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comments2.xml><?xml version="1.0" encoding="utf-8"?>
<comments xmlns="http://schemas.openxmlformats.org/spreadsheetml/2006/main">
  <authors>
    <author>Author</author>
  </authors>
  <commentList>
    <comment ref="A89" authorId="0">
      <text>
        <r>
          <rPr>
            <b/>
            <sz val="9"/>
            <rFont val="Tahoma"/>
            <family val="2"/>
          </rPr>
          <t>Author:</t>
        </r>
        <r>
          <rPr>
            <sz val="9"/>
            <rFont val="Tahoma"/>
            <family val="2"/>
          </rPr>
          <t xml:space="preserve">
As of 3/1/2018 the $45/ton processing fee was removed from the recycle hauling rate and commodity credit.  The $45 was still included through February 2018, which is represented above.  This section is necessary for the forward-looking projection piece, because the $45 is not removed.</t>
        </r>
      </text>
    </comment>
    <comment ref="H77" authorId="0">
      <text>
        <r>
          <rPr>
            <b/>
            <sz val="9"/>
            <rFont val="Tahoma"/>
            <family val="2"/>
          </rPr>
          <t>Author:</t>
        </r>
        <r>
          <rPr>
            <sz val="9"/>
            <rFont val="Tahoma"/>
            <family val="2"/>
          </rPr>
          <t xml:space="preserve">
The true-up in the 3/1/18 filing was based on a 12 months of revenue and customer count, so we need to continue paying this back for the next 6 months.</t>
        </r>
      </text>
    </comment>
    <comment ref="I75" authorId="0">
      <text>
        <r>
          <rPr>
            <b/>
            <sz val="9"/>
            <rFont val="Tahoma"/>
            <family val="2"/>
          </rPr>
          <t>Author:</t>
        </r>
        <r>
          <rPr>
            <sz val="9"/>
            <rFont val="Tahoma"/>
            <family val="2"/>
          </rPr>
          <t xml:space="preserve">
The Commission required a 30-day notice to customers for this CPA.  The effective date of the commodity credit was delayed until 10/1, however the UTC is allowing us to recover the credit in a 5-month vs. 6-month period to keep with the same filing schedule.</t>
        </r>
      </text>
    </comment>
  </commentList>
</comments>
</file>

<file path=xl/sharedStrings.xml><?xml version="1.0" encoding="utf-8"?>
<sst xmlns="http://schemas.openxmlformats.org/spreadsheetml/2006/main" count="229" uniqueCount="59">
  <si>
    <t>Old Credit:</t>
  </si>
  <si>
    <t>Difference:</t>
  </si>
  <si>
    <t>Revenue Impact:</t>
  </si>
  <si>
    <t>Revenue</t>
  </si>
  <si>
    <t>Total</t>
  </si>
  <si>
    <t>Tonnages</t>
  </si>
  <si>
    <t>Newspaper</t>
  </si>
  <si>
    <t xml:space="preserve">Mixed Paper </t>
  </si>
  <si>
    <t>Cardboard</t>
  </si>
  <si>
    <t>Aluminum</t>
  </si>
  <si>
    <t>Tin</t>
  </si>
  <si>
    <t>Earned Revenue</t>
  </si>
  <si>
    <t>Projected Rate</t>
  </si>
  <si>
    <t>Projected Revenue</t>
  </si>
  <si>
    <t>Catchup at current customer count:</t>
  </si>
  <si>
    <t>New Credit:</t>
  </si>
  <si>
    <t>Current Credit on Customer's Invoice:</t>
  </si>
  <si>
    <t>Contamination</t>
  </si>
  <si>
    <t>Increase/(Decrease):</t>
  </si>
  <si>
    <t>Total Revenue</t>
  </si>
  <si>
    <t xml:space="preserve">Commodity Credit Calculation </t>
  </si>
  <si>
    <t>Pierce County Refuse G-98</t>
  </si>
  <si>
    <t>Over/(Under) Paid</t>
  </si>
  <si>
    <t>PET</t>
  </si>
  <si>
    <t>HDPE</t>
  </si>
  <si>
    <t>Nat'l</t>
  </si>
  <si>
    <t>#3-7</t>
  </si>
  <si>
    <t>Price per Ton (Per Pioneer Invoice)</t>
  </si>
  <si>
    <t>As of March 1, 2018 a Credit on Customer's Invoice:</t>
  </si>
  <si>
    <t>Monthly Customers</t>
  </si>
  <si>
    <t>Actual Test Year (Next Year Projection):</t>
  </si>
  <si>
    <t>#5 Plastic</t>
  </si>
  <si>
    <t>MRP</t>
  </si>
  <si>
    <t>ADC</t>
  </si>
  <si>
    <t>Scrap Metal</t>
  </si>
  <si>
    <t>Bale Waste</t>
  </si>
  <si>
    <t>Box Waste</t>
  </si>
  <si>
    <t>Rate Effective March 1, 2018</t>
  </si>
  <si>
    <t>Annual</t>
  </si>
  <si>
    <t>Garbage</t>
  </si>
  <si>
    <t>6-Month Projection at Net Price per Ton</t>
  </si>
  <si>
    <t>Dec 2017 Customers</t>
  </si>
  <si>
    <t>Prices ( From Pioneer Invoice)</t>
  </si>
  <si>
    <t>Remaining True-Up from 3/1/18 Filing</t>
  </si>
  <si>
    <t>Price per Ton - Net of $45 (Per Pioneer Invoice)</t>
  </si>
  <si>
    <t>Gross</t>
  </si>
  <si>
    <t xml:space="preserve">Net </t>
  </si>
  <si>
    <t>Net</t>
  </si>
  <si>
    <t>check</t>
  </si>
  <si>
    <t>Debit</t>
  </si>
  <si>
    <t>Credit</t>
  </si>
  <si>
    <t>New Debit:</t>
  </si>
  <si>
    <t>5-Month Pay Back</t>
  </si>
  <si>
    <t xml:space="preserve">Customer Letter Cost = </t>
  </si>
  <si>
    <t>PCR Customers</t>
  </si>
  <si>
    <t>EQR Customers</t>
  </si>
  <si>
    <t>Customer Notification Expense</t>
  </si>
  <si>
    <t>Rate Effective October 1, 2018</t>
  </si>
  <si>
    <t>As of October 1, 2018 a Debit on Customer's Invoice:</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</si>
</sst>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409]dddd\,\ mmmm\ dd\,\ yyyy"/>
    <numFmt numFmtId="166" formatCode="[$-409]mmm\-yy;@"/>
    <numFmt numFmtId="167" formatCode="dddd\,\ mmmm\ dd\,\ yyyy"/>
    <numFmt numFmtId="168" formatCode="_(* #,##0.0_);_(* \(#,##0.0\);_(* &quot;-&quot;??_);_(@_)"/>
    <numFmt numFmtId="169" formatCode="_(* #,##0_);_(* \(#,##0\);_(* &quot;-&quot;??_);_(@_)"/>
    <numFmt numFmtId="170" formatCode="_(* #,##0.000_);_(* \(#,##0.000\);_(* &quot;-&quot;??_);_(@_)"/>
    <numFmt numFmtId="171" formatCode="_(* #,##0.0000_);_(* \(#,##0.0000\);_(* &quot;-&quot;??_);_(@_)"/>
    <numFmt numFmtId="172" formatCode="General_)"/>
    <numFmt numFmtId="173" formatCode="dd\-mmm\-yy_)"/>
    <numFmt numFmtId="174" formatCode="0_)"/>
    <numFmt numFmtId="175" formatCode="mm/dd/yy_)"/>
    <numFmt numFmtId="176" formatCode="#,##0_);\-#,##0"/>
    <numFmt numFmtId="177" formatCode="mm/dd/yy;@"/>
    <numFmt numFmtId="178" formatCode="0.0%"/>
    <numFmt numFmtId="179" formatCode="#,##0.00;\(#,##0.00\)"/>
    <numFmt numFmtId="180" formatCode="#,###,##0;\(#,###,##0\)"/>
    <numFmt numFmtId="181" formatCode="&quot;$&quot;#,##0.00;\(&quot;$&quot;#,##0.00\)"/>
    <numFmt numFmtId="182" formatCode="_(* #,##0.00000_);_(* \(#,##0.00000\);_(* &quot;-&quot;??_);_(@_)"/>
    <numFmt numFmtId="183" formatCode="#,##0.0000_);\(#,##0.0000\)"/>
    <numFmt numFmtId="184" formatCode="#,##0.000_);\(#,##0.000\)"/>
    <numFmt numFmtId="185" formatCode="0.0000%"/>
    <numFmt numFmtId="186" formatCode="#,##0.000000_);\(#,##0.000000\)"/>
    <numFmt numFmtId="187" formatCode="m/d"/>
    <numFmt numFmtId="188" formatCode="#,###,##0.00;\(#,###,##0.00\)"/>
    <numFmt numFmtId="189" formatCode="0.000000000000"/>
    <numFmt numFmtId="190" formatCode="0.00000"/>
    <numFmt numFmtId="191" formatCode="_(* #,##0.0_);_(* \(#,##0.0\);_(* &quot;-&quot;?_);_(@_)"/>
    <numFmt numFmtId="192" formatCode="0.0"/>
    <numFmt numFmtId="193" formatCode="#,##0.0"/>
    <numFmt numFmtId="194" formatCode="#,##0.00000000000"/>
    <numFmt numFmtId="195" formatCode="#,##0.00;[Red]\(#,##0.00\)"/>
    <numFmt numFmtId="196" formatCode="&quot;$&quot;#,##0.00;[Red]\(&quot;$&quot;#,##0.00\)"/>
    <numFmt numFmtId="197" formatCode="0.0%;[Red]\(0.0%\)"/>
    <numFmt numFmtId="198" formatCode="0.00_);\(0.00\)"/>
    <numFmt numFmtId="199" formatCode="&quot;Yes&quot;;&quot;Yes&quot;;&quot;No&quot;"/>
    <numFmt numFmtId="200" formatCode="&quot;True&quot;;&quot;True&quot;;&quot;False&quot;"/>
    <numFmt numFmtId="201" formatCode="&quot;On&quot;;&quot;On&quot;;&quot;Off&quot;"/>
    <numFmt numFmtId="202" formatCode="[$€-2]\ #,##0.00_);[Red]\([$€-2]\ #,##0.00\)"/>
    <numFmt numFmtId="203" formatCode="0.000"/>
    <numFmt numFmtId="204" formatCode="_(* #,##0.0000000_);_(* \(#,##0.0000000\);_(* &quot;-&quot;??_);_(@_)"/>
    <numFmt numFmtId="205" formatCode="_(* #,##0.000_);_(* \(#,##0.000\);_(* &quot;-&quot;???_);_(@_)"/>
    <numFmt numFmtId="206" formatCode="#,##0.0;\(#,##0.0\)"/>
    <numFmt numFmtId="207" formatCode="#,##0;\(#,##0\)"/>
    <numFmt numFmtId="208" formatCode="_(* #,##0.000000_);_(* \(#,##0.000000\);_(* &quot;-&quot;??_);_(@_)"/>
    <numFmt numFmtId="209" formatCode="_(* #,##0.0000000000_);_(* \(#,##0.0000000000\);_(* &quot;-&quot;??_);_(@_)"/>
    <numFmt numFmtId="210" formatCode="0.000%"/>
    <numFmt numFmtId="211" formatCode="_(* #,##0.00000_);_(* \(#,##0.00000\);_(* &quot;-&quot;?????_);_(@_)"/>
    <numFmt numFmtId="212" formatCode="_(* #,##0.000000000000000_);_(* \(#,##0.000000000000000\);_(* &quot;-&quot;???????????????_);_(@_)"/>
    <numFmt numFmtId="213" formatCode="#,##0.0000000000_);\(#,##0.0000000000\)"/>
    <numFmt numFmtId="214" formatCode="#,##0.000000000_);\(#,##0.000000000\)"/>
    <numFmt numFmtId="215" formatCode="#,##0.0_);\(#,##0.0\)"/>
    <numFmt numFmtId="216" formatCode="#,##0[$%-409]"/>
    <numFmt numFmtId="217" formatCode="&quot;$&quot;#,##0.0_);[Red]\(&quot;$&quot;#,##0.0\)"/>
    <numFmt numFmtId="218" formatCode="_(* #,##0.0000_);_(* \(#,##0.0000\);_(* &quot;-&quot;????_);_(@_)"/>
    <numFmt numFmtId="219" formatCode="0.0000"/>
    <numFmt numFmtId="220" formatCode="0.0000000"/>
    <numFmt numFmtId="221" formatCode="0.00000000"/>
    <numFmt numFmtId="222" formatCode="0.000000"/>
    <numFmt numFmtId="223" formatCode="&quot;$&quot;#,##0"/>
    <numFmt numFmtId="224" formatCode="_(&quot;$&quot;* #,##0.0_);_(&quot;$&quot;* \(#,##0.0\);_(&quot;$&quot;* &quot;-&quot;??_);_(@_)"/>
    <numFmt numFmtId="225" formatCode="_(&quot;$&quot;* #,##0_);_(&quot;$&quot;* \(#,##0\);_(&quot;$&quot;* &quot;-&quot;??_);_(@_)"/>
    <numFmt numFmtId="226" formatCode="&quot;$&quot;#,##0.00"/>
    <numFmt numFmtId="227" formatCode="_(&quot;$&quot;* #,##0.0_);_(&quot;$&quot;* \(#,##0.0\);_(&quot;$&quot;* &quot;-&quot;?_);_(@_)"/>
  </numFmts>
  <fonts count="79">
    <font>
      <sz val="10"/>
      <name val="Arial"/>
      <family val="0"/>
    </font>
    <font>
      <sz val="10"/>
      <color indexed="8"/>
      <name val="Arial"/>
      <family val="2"/>
    </font>
    <font>
      <u val="single"/>
      <sz val="10"/>
      <color indexed="36"/>
      <name val="Arial"/>
      <family val="2"/>
    </font>
    <font>
      <u val="single"/>
      <sz val="10"/>
      <color indexed="12"/>
      <name val="Arial"/>
      <family val="2"/>
    </font>
    <font>
      <sz val="9"/>
      <name val="Arial"/>
      <family val="2"/>
    </font>
    <font>
      <b/>
      <sz val="9"/>
      <name val="Arial"/>
      <family val="2"/>
    </font>
    <font>
      <b/>
      <i/>
      <sz val="9"/>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1"/>
      <color indexed="8"/>
      <name val="Arial"/>
      <family val="2"/>
    </font>
    <font>
      <sz val="12"/>
      <name val="Courier"/>
      <family val="3"/>
    </font>
    <font>
      <sz val="9"/>
      <color indexed="8"/>
      <name val="Arial"/>
      <family val="2"/>
    </font>
    <font>
      <b/>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61"/>
      <name val="Calibri"/>
      <family val="2"/>
    </font>
    <font>
      <u val="single"/>
      <sz val="11"/>
      <color indexed="12"/>
      <name val="Calibri"/>
      <family val="2"/>
    </font>
    <font>
      <sz val="11"/>
      <color indexed="61"/>
      <name val="Calibri"/>
      <family val="2"/>
    </font>
    <font>
      <sz val="10"/>
      <color indexed="12"/>
      <name val="Arial"/>
      <family val="2"/>
    </font>
    <font>
      <sz val="12"/>
      <name val="Helv"/>
      <family val="0"/>
    </font>
    <font>
      <i/>
      <sz val="10"/>
      <color indexed="10"/>
      <name val="Arial"/>
      <family val="2"/>
    </font>
    <font>
      <sz val="10"/>
      <name val="MS Sans Serif"/>
      <family val="2"/>
    </font>
    <font>
      <b/>
      <sz val="10"/>
      <name val="MS Sans Serif"/>
      <family val="2"/>
    </font>
    <font>
      <b/>
      <sz val="18"/>
      <color indexed="61"/>
      <name val="Cambria"/>
      <family val="2"/>
    </font>
    <font>
      <b/>
      <sz val="14"/>
      <name val="Helv"/>
      <family val="0"/>
    </font>
    <font>
      <sz val="18"/>
      <color indexed="13"/>
      <name val="Helv"/>
      <family val="0"/>
    </font>
    <font>
      <sz val="12"/>
      <color indexed="13"/>
      <name val="Helv"/>
      <family val="0"/>
    </font>
    <font>
      <b/>
      <u val="single"/>
      <sz val="9"/>
      <name val="Arial"/>
      <family val="2"/>
    </font>
    <font>
      <b/>
      <sz val="9"/>
      <name val="Tahoma"/>
      <family val="2"/>
    </font>
    <font>
      <sz val="9"/>
      <name val="Tahoma"/>
      <family val="2"/>
    </font>
    <font>
      <i/>
      <sz val="9"/>
      <name val="Arial"/>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2"/>
      <name val="Calibri"/>
      <family val="2"/>
    </font>
    <font>
      <b/>
      <sz val="11"/>
      <color indexed="63"/>
      <name val="Calibri"/>
      <family val="2"/>
    </font>
    <font>
      <b/>
      <sz val="18"/>
      <color indexed="56"/>
      <name val="Cambria"/>
      <family val="2"/>
    </font>
    <font>
      <b/>
      <i/>
      <sz val="9"/>
      <color indexed="55"/>
      <name val="Arial"/>
      <family val="2"/>
    </font>
    <font>
      <b/>
      <sz val="9"/>
      <color indexed="12"/>
      <name val="Arial"/>
      <family val="2"/>
    </font>
    <font>
      <sz val="9"/>
      <color indexed="12"/>
      <name val="Arial"/>
      <family val="2"/>
    </font>
    <font>
      <sz val="9"/>
      <color indexed="10"/>
      <name val="Arial"/>
      <family val="2"/>
    </font>
    <font>
      <b/>
      <i/>
      <u val="single"/>
      <sz val="9"/>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0" tint="-0.3499799966812134"/>
      <name val="Arial"/>
      <family val="2"/>
    </font>
    <font>
      <b/>
      <sz val="9"/>
      <color rgb="FF0000FF"/>
      <name val="Arial"/>
      <family val="2"/>
    </font>
    <font>
      <sz val="9"/>
      <color rgb="FF0000FF"/>
      <name val="Arial"/>
      <family val="2"/>
    </font>
    <font>
      <sz val="9"/>
      <color rgb="FFFF0000"/>
      <name val="Arial"/>
      <family val="2"/>
    </font>
    <font>
      <b/>
      <i/>
      <u val="single"/>
      <sz val="9"/>
      <color rgb="FF0000FF"/>
      <name val="Arial"/>
      <family val="2"/>
    </font>
    <font>
      <b/>
      <sz val="8"/>
      <name val="Arial"/>
      <family val="2"/>
    </font>
  </fonts>
  <fills count="49">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indexed="4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63"/>
        <bgColor indexed="64"/>
      </patternFill>
    </fill>
    <fill>
      <patternFill patternType="solid">
        <fgColor indexed="65"/>
        <bgColor indexed="64"/>
      </patternFill>
    </fill>
    <fill>
      <patternFill patternType="gray125">
        <fgColor indexed="10"/>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color indexed="63"/>
      </left>
      <right>
        <color indexed="63"/>
      </right>
      <top>
        <color indexed="63"/>
      </top>
      <bottom style="medium"/>
    </border>
    <border>
      <left>
        <color indexed="63"/>
      </left>
      <right>
        <color indexed="63"/>
      </right>
      <top style="thin">
        <color theme="4"/>
      </top>
      <bottom style="double">
        <color theme="4"/>
      </bottom>
    </border>
    <border>
      <left/>
      <right/>
      <top style="thin">
        <color indexed="49"/>
      </top>
      <bottom style="double">
        <color indexed="49"/>
      </bottom>
    </border>
    <border>
      <left style="thin">
        <color indexed="8"/>
      </left>
      <right style="thin">
        <color indexed="8"/>
      </right>
      <top style="double">
        <color indexed="8"/>
      </top>
      <bottom style="thin">
        <color indexed="8"/>
      </bottom>
    </border>
    <border>
      <left>
        <color indexed="63"/>
      </left>
      <right>
        <color indexed="63"/>
      </right>
      <top style="thin"/>
      <bottom style="thin"/>
    </border>
    <border>
      <left>
        <color indexed="63"/>
      </left>
      <right>
        <color indexed="63"/>
      </right>
      <top style="thin"/>
      <bottom style="medium"/>
    </border>
  </borders>
  <cellStyleXfs count="5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4" fillId="4" borderId="0" applyNumberFormat="0" applyBorder="0" applyAlignment="0" applyProtection="0"/>
    <xf numFmtId="0" fontId="8" fillId="5" borderId="0" applyNumberFormat="0" applyBorder="0" applyAlignment="0" applyProtection="0"/>
    <xf numFmtId="0" fontId="54" fillId="6" borderId="0" applyNumberFormat="0" applyBorder="0" applyAlignment="0" applyProtection="0"/>
    <xf numFmtId="0" fontId="8" fillId="7" borderId="0" applyNumberFormat="0" applyBorder="0" applyAlignment="0" applyProtection="0"/>
    <xf numFmtId="0" fontId="54" fillId="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4" fillId="9" borderId="0" applyNumberFormat="0" applyBorder="0" applyAlignment="0" applyProtection="0"/>
    <xf numFmtId="0" fontId="8" fillId="10" borderId="0" applyNumberFormat="0" applyBorder="0" applyAlignment="0" applyProtection="0"/>
    <xf numFmtId="0" fontId="54" fillId="11" borderId="0" applyNumberFormat="0" applyBorder="0" applyAlignment="0" applyProtection="0"/>
    <xf numFmtId="0" fontId="8" fillId="7" borderId="0" applyNumberFormat="0" applyBorder="0" applyAlignment="0" applyProtection="0"/>
    <xf numFmtId="0" fontId="54" fillId="1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4" fillId="13" borderId="0" applyNumberFormat="0" applyBorder="0" applyAlignment="0" applyProtection="0"/>
    <xf numFmtId="0" fontId="8" fillId="5" borderId="0" applyNumberFormat="0" applyBorder="0" applyAlignment="0" applyProtection="0"/>
    <xf numFmtId="0" fontId="54" fillId="14" borderId="0" applyNumberFormat="0" applyBorder="0" applyAlignment="0" applyProtection="0"/>
    <xf numFmtId="0" fontId="8" fillId="15" borderId="0" applyNumberFormat="0" applyBorder="0" applyAlignment="0" applyProtection="0"/>
    <xf numFmtId="0" fontId="54"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54"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54" fillId="19"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55" fillId="20" borderId="0" applyNumberFormat="0" applyBorder="0" applyAlignment="0" applyProtection="0"/>
    <xf numFmtId="0" fontId="9" fillId="21" borderId="0" applyNumberFormat="0" applyBorder="0" applyAlignment="0" applyProtection="0"/>
    <xf numFmtId="0" fontId="55" fillId="22" borderId="0" applyNumberFormat="0" applyBorder="0" applyAlignment="0" applyProtection="0"/>
    <xf numFmtId="0" fontId="9" fillId="5" borderId="0" applyNumberFormat="0" applyBorder="0" applyAlignment="0" applyProtection="0"/>
    <xf numFmtId="0" fontId="55" fillId="14" borderId="0" applyNumberFormat="0" applyBorder="0" applyAlignment="0" applyProtection="0"/>
    <xf numFmtId="0" fontId="9" fillId="15" borderId="0" applyNumberFormat="0" applyBorder="0" applyAlignment="0" applyProtection="0"/>
    <xf numFmtId="0" fontId="55" fillId="23" borderId="0" applyNumberFormat="0" applyBorder="0" applyAlignment="0" applyProtection="0"/>
    <xf numFmtId="0" fontId="9" fillId="3" borderId="0" applyNumberFormat="0" applyBorder="0" applyAlignment="0" applyProtection="0"/>
    <xf numFmtId="0" fontId="55" fillId="24" borderId="0" applyNumberFormat="0" applyBorder="0" applyAlignment="0" applyProtection="0"/>
    <xf numFmtId="0" fontId="9" fillId="21" borderId="0" applyNumberFormat="0" applyBorder="0" applyAlignment="0" applyProtection="0"/>
    <xf numFmtId="0" fontId="55" fillId="25" borderId="0" applyNumberFormat="0" applyBorder="0" applyAlignment="0" applyProtection="0"/>
    <xf numFmtId="0" fontId="9" fillId="5" borderId="0" applyNumberFormat="0" applyBorder="0" applyAlignment="0" applyProtection="0"/>
    <xf numFmtId="0" fontId="55" fillId="26" borderId="0" applyNumberFormat="0" applyBorder="0" applyAlignment="0" applyProtection="0"/>
    <xf numFmtId="0" fontId="9" fillId="21" borderId="0" applyNumberFormat="0" applyBorder="0" applyAlignment="0" applyProtection="0"/>
    <xf numFmtId="0" fontId="55" fillId="27" borderId="0" applyNumberFormat="0" applyBorder="0" applyAlignment="0" applyProtection="0"/>
    <xf numFmtId="0" fontId="9" fillId="28" borderId="0" applyNumberFormat="0" applyBorder="0" applyAlignment="0" applyProtection="0"/>
    <xf numFmtId="0" fontId="55" fillId="29" borderId="0" applyNumberFormat="0" applyBorder="0" applyAlignment="0" applyProtection="0"/>
    <xf numFmtId="0" fontId="9" fillId="30" borderId="0" applyNumberFormat="0" applyBorder="0" applyAlignment="0" applyProtection="0"/>
    <xf numFmtId="0" fontId="55" fillId="31" borderId="0" applyNumberFormat="0" applyBorder="0" applyAlignment="0" applyProtection="0"/>
    <xf numFmtId="0" fontId="9" fillId="32" borderId="0" applyNumberFormat="0" applyBorder="0" applyAlignment="0" applyProtection="0"/>
    <xf numFmtId="0" fontId="55" fillId="33" borderId="0" applyNumberFormat="0" applyBorder="0" applyAlignment="0" applyProtection="0"/>
    <xf numFmtId="0" fontId="9" fillId="34" borderId="0" applyNumberFormat="0" applyBorder="0" applyAlignment="0" applyProtection="0"/>
    <xf numFmtId="0" fontId="55" fillId="35" borderId="0" applyNumberFormat="0" applyBorder="0" applyAlignment="0" applyProtection="0"/>
    <xf numFmtId="0" fontId="9" fillId="32" borderId="0" applyNumberFormat="0" applyBorder="0" applyAlignment="0" applyProtection="0"/>
    <xf numFmtId="41" fontId="0" fillId="0" borderId="0">
      <alignment/>
      <protection/>
    </xf>
    <xf numFmtId="41" fontId="0" fillId="0" borderId="0">
      <alignment/>
      <protection/>
    </xf>
    <xf numFmtId="41" fontId="0" fillId="0" borderId="0">
      <alignment/>
      <protection/>
    </xf>
    <xf numFmtId="41" fontId="0" fillId="0" borderId="0">
      <alignment/>
      <protection/>
    </xf>
    <xf numFmtId="0" fontId="56" fillId="36" borderId="0" applyNumberFormat="0" applyBorder="0" applyAlignment="0" applyProtection="0"/>
    <xf numFmtId="0" fontId="10" fillId="4"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57" fillId="37" borderId="1" applyNumberFormat="0" applyAlignment="0" applyProtection="0"/>
    <xf numFmtId="0" fontId="11" fillId="38" borderId="2" applyNumberFormat="0" applyAlignment="0" applyProtection="0"/>
    <xf numFmtId="0" fontId="58" fillId="39" borderId="3" applyNumberFormat="0" applyAlignment="0" applyProtection="0"/>
    <xf numFmtId="0" fontId="12" fillId="40" borderId="4" applyNumberFormat="0" applyAlignment="0" applyProtection="0"/>
    <xf numFmtId="0" fontId="0" fillId="4"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 fillId="0" borderId="0">
      <alignment/>
      <protection/>
    </xf>
    <xf numFmtId="0" fontId="20" fillId="0" borderId="0">
      <alignment/>
      <protection/>
    </xf>
    <xf numFmtId="0" fontId="20" fillId="0" borderId="0">
      <alignment/>
      <protection/>
    </xf>
    <xf numFmtId="0" fontId="21" fillId="41" borderId="5" applyAlignment="0">
      <protection locked="0"/>
    </xf>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19"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54" fillId="0" borderId="0" applyFont="0" applyFill="0" applyBorder="0" applyAlignment="0" applyProtection="0"/>
    <xf numFmtId="44" fontId="0" fillId="0" borderId="0" applyFont="0" applyFill="0" applyBorder="0" applyAlignment="0" applyProtection="0"/>
    <xf numFmtId="44" fontId="54" fillId="0" borderId="0" applyFont="0" applyFill="0" applyBorder="0" applyAlignment="0" applyProtection="0"/>
    <xf numFmtId="44" fontId="19" fillId="0" borderId="0" applyFont="0" applyFill="0" applyBorder="0" applyAlignment="0" applyProtection="0"/>
    <xf numFmtId="44" fontId="5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lignment/>
      <protection/>
    </xf>
    <xf numFmtId="0" fontId="30" fillId="0" borderId="0">
      <alignment/>
      <protection/>
    </xf>
    <xf numFmtId="0" fontId="30" fillId="0" borderId="6">
      <alignment/>
      <protection/>
    </xf>
    <xf numFmtId="0" fontId="22" fillId="42" borderId="0">
      <alignment horizontal="right"/>
      <protection locked="0"/>
    </xf>
    <xf numFmtId="0" fontId="59"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2" fontId="22" fillId="42" borderId="0">
      <alignment horizontal="right"/>
      <protection locked="0"/>
    </xf>
    <xf numFmtId="0" fontId="2" fillId="0" borderId="0" applyNumberFormat="0" applyFill="0" applyBorder="0" applyAlignment="0" applyProtection="0"/>
    <xf numFmtId="0" fontId="60" fillId="43" borderId="0" applyNumberFormat="0" applyBorder="0" applyAlignment="0" applyProtection="0"/>
    <xf numFmtId="0" fontId="14" fillId="6" borderId="0" applyNumberFormat="0" applyBorder="0" applyAlignment="0" applyProtection="0"/>
    <xf numFmtId="0" fontId="61" fillId="0" borderId="7" applyNumberFormat="0" applyFill="0" applyAlignment="0" applyProtection="0"/>
    <xf numFmtId="0" fontId="23" fillId="0" borderId="8" applyNumberFormat="0" applyFill="0" applyAlignment="0" applyProtection="0"/>
    <xf numFmtId="0" fontId="62" fillId="0" borderId="9" applyNumberFormat="0" applyFill="0" applyAlignment="0" applyProtection="0"/>
    <xf numFmtId="0" fontId="24" fillId="0" borderId="10" applyNumberFormat="0" applyFill="0" applyAlignment="0" applyProtection="0"/>
    <xf numFmtId="0" fontId="63" fillId="0" borderId="11" applyNumberFormat="0" applyFill="0" applyAlignment="0" applyProtection="0"/>
    <xf numFmtId="0" fontId="25" fillId="0" borderId="12" applyNumberFormat="0" applyFill="0" applyAlignment="0" applyProtection="0"/>
    <xf numFmtId="0" fontId="6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65" fillId="0" borderId="0" applyNumberFormat="0" applyFill="0" applyBorder="0" applyAlignment="0" applyProtection="0"/>
    <xf numFmtId="0" fontId="66" fillId="44" borderId="1" applyNumberFormat="0" applyAlignment="0" applyProtection="0"/>
    <xf numFmtId="0" fontId="28" fillId="15" borderId="2" applyNumberFormat="0" applyAlignment="0" applyProtection="0"/>
    <xf numFmtId="3" fontId="29" fillId="3" borderId="0">
      <alignment/>
      <protection locked="0"/>
    </xf>
    <xf numFmtId="4" fontId="29" fillId="3" borderId="0">
      <alignment/>
      <protection locked="0"/>
    </xf>
    <xf numFmtId="0" fontId="35" fillId="45" borderId="6">
      <alignment/>
      <protection/>
    </xf>
    <xf numFmtId="0" fontId="67" fillId="0" borderId="13" applyNumberFormat="0" applyFill="0" applyAlignment="0" applyProtection="0"/>
    <xf numFmtId="0" fontId="15" fillId="0" borderId="14" applyNumberFormat="0" applyFill="0" applyAlignment="0" applyProtection="0"/>
    <xf numFmtId="0" fontId="68" fillId="46" borderId="0" applyNumberFormat="0" applyBorder="0" applyAlignment="0" applyProtection="0"/>
    <xf numFmtId="0" fontId="16" fillId="15" borderId="0" applyNumberFormat="0" applyBorder="0" applyAlignment="0" applyProtection="0"/>
    <xf numFmtId="43"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4"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 fillId="0" borderId="0">
      <alignment/>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ill="0">
      <alignment/>
      <protection/>
    </xf>
    <xf numFmtId="0" fontId="0" fillId="0" borderId="0" applyFill="0">
      <alignment/>
      <protection/>
    </xf>
    <xf numFmtId="0" fontId="0" fillId="47" borderId="15" applyNumberFormat="0" applyFont="0" applyAlignment="0" applyProtection="0"/>
    <xf numFmtId="0" fontId="8" fillId="7" borderId="16" applyNumberFormat="0" applyFont="0" applyAlignment="0" applyProtection="0"/>
    <xf numFmtId="0" fontId="8" fillId="7" borderId="16" applyNumberFormat="0" applyFont="0" applyAlignment="0" applyProtection="0"/>
    <xf numFmtId="0" fontId="0" fillId="7" borderId="16" applyNumberFormat="0" applyFont="0" applyAlignment="0" applyProtection="0"/>
    <xf numFmtId="178" fontId="31" fillId="0" borderId="0" applyNumberFormat="0">
      <alignment/>
      <protection/>
    </xf>
    <xf numFmtId="0" fontId="69" fillId="37" borderId="17" applyNumberFormat="0" applyAlignment="0" applyProtection="0"/>
    <xf numFmtId="0" fontId="25" fillId="38"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ont="0" applyFill="0" applyBorder="0" applyAlignment="0" applyProtection="0"/>
    <xf numFmtId="0" fontId="33" fillId="0" borderId="19">
      <alignment horizontal="center"/>
      <protection/>
    </xf>
    <xf numFmtId="0" fontId="30" fillId="0" borderId="0">
      <alignment/>
      <protection/>
    </xf>
    <xf numFmtId="0" fontId="30" fillId="0" borderId="0">
      <alignment/>
      <protection/>
    </xf>
    <xf numFmtId="0" fontId="1" fillId="0" borderId="0">
      <alignment vertical="top"/>
      <protection/>
    </xf>
    <xf numFmtId="0" fontId="1" fillId="0" borderId="0">
      <alignment vertical="top"/>
      <protection/>
    </xf>
    <xf numFmtId="0" fontId="30" fillId="0" borderId="0">
      <alignment/>
      <protection/>
    </xf>
    <xf numFmtId="0" fontId="1" fillId="0" borderId="0" applyNumberFormat="0" applyBorder="0" applyAlignment="0">
      <protection/>
    </xf>
    <xf numFmtId="0" fontId="30" fillId="0" borderId="6">
      <alignment/>
      <protection/>
    </xf>
    <xf numFmtId="0" fontId="30" fillId="0" borderId="6">
      <alignment/>
      <protection/>
    </xf>
    <xf numFmtId="0" fontId="70" fillId="0" borderId="0" applyNumberFormat="0" applyFill="0" applyBorder="0" applyAlignment="0" applyProtection="0"/>
    <xf numFmtId="0" fontId="36" fillId="48" borderId="0">
      <alignment/>
      <protection/>
    </xf>
    <xf numFmtId="0" fontId="37" fillId="48" borderId="0">
      <alignment/>
      <protection/>
    </xf>
    <xf numFmtId="0" fontId="34" fillId="0" borderId="0" applyNumberFormat="0" applyFill="0" applyBorder="0" applyAlignment="0" applyProtection="0"/>
    <xf numFmtId="0" fontId="71" fillId="0" borderId="20" applyNumberFormat="0" applyFill="0" applyAlignment="0" applyProtection="0"/>
    <xf numFmtId="0" fontId="17" fillId="0" borderId="21" applyNumberFormat="0" applyFill="0" applyAlignment="0" applyProtection="0"/>
    <xf numFmtId="0" fontId="35" fillId="0" borderId="22">
      <alignment/>
      <protection/>
    </xf>
    <xf numFmtId="0" fontId="35" fillId="0" borderId="22">
      <alignment/>
      <protection/>
    </xf>
    <xf numFmtId="0" fontId="35" fillId="0" borderId="6">
      <alignment/>
      <protection/>
    </xf>
    <xf numFmtId="0" fontId="35" fillId="0" borderId="6">
      <alignment/>
      <protection/>
    </xf>
    <xf numFmtId="0" fontId="72" fillId="0" borderId="0" applyNumberFormat="0" applyFill="0" applyBorder="0" applyAlignment="0" applyProtection="0"/>
    <xf numFmtId="0" fontId="18" fillId="0" borderId="0" applyNumberFormat="0" applyFill="0" applyBorder="0" applyAlignment="0" applyProtection="0"/>
  </cellStyleXfs>
  <cellXfs count="197">
    <xf numFmtId="0" fontId="0" fillId="0" borderId="0" xfId="0" applyAlignment="1">
      <alignment/>
    </xf>
    <xf numFmtId="0" fontId="4" fillId="0" borderId="0" xfId="477" applyNumberFormat="1" applyFont="1">
      <alignment/>
      <protection/>
    </xf>
    <xf numFmtId="0" fontId="4" fillId="0" borderId="0" xfId="477" applyFont="1">
      <alignment/>
      <protection/>
    </xf>
    <xf numFmtId="0" fontId="4" fillId="0" borderId="0" xfId="477" applyFont="1" applyAlignment="1">
      <alignment horizontal="center"/>
      <protection/>
    </xf>
    <xf numFmtId="43" fontId="4" fillId="0" borderId="0" xfId="84" applyFont="1" applyAlignment="1">
      <alignment horizontal="center"/>
    </xf>
    <xf numFmtId="0" fontId="4" fillId="0" borderId="5" xfId="477" applyFont="1" applyBorder="1" applyAlignment="1">
      <alignment horizontal="center"/>
      <protection/>
    </xf>
    <xf numFmtId="43" fontId="4" fillId="0" borderId="5" xfId="84" applyFont="1" applyBorder="1" applyAlignment="1">
      <alignment horizontal="center"/>
    </xf>
    <xf numFmtId="43" fontId="4" fillId="0" borderId="0" xfId="84" applyFont="1" applyBorder="1" applyAlignment="1">
      <alignment horizontal="center"/>
    </xf>
    <xf numFmtId="0" fontId="4" fillId="0" borderId="0" xfId="477" applyFont="1" applyBorder="1" applyAlignment="1">
      <alignment horizontal="center"/>
      <protection/>
    </xf>
    <xf numFmtId="43" fontId="4" fillId="0" borderId="0" xfId="84" applyFont="1" applyAlignment="1">
      <alignment/>
    </xf>
    <xf numFmtId="43" fontId="4" fillId="0" borderId="0" xfId="84" applyFont="1" applyBorder="1" applyAlignment="1">
      <alignment/>
    </xf>
    <xf numFmtId="43" fontId="4" fillId="0" borderId="0" xfId="84" applyFont="1" applyAlignment="1">
      <alignment horizontal="left"/>
    </xf>
    <xf numFmtId="0" fontId="5" fillId="0" borderId="0" xfId="477" applyNumberFormat="1" applyFont="1">
      <alignment/>
      <protection/>
    </xf>
    <xf numFmtId="169" fontId="4" fillId="0" borderId="0" xfId="84" applyNumberFormat="1" applyFont="1" applyAlignment="1">
      <alignment horizontal="right"/>
    </xf>
    <xf numFmtId="169" fontId="4" fillId="0" borderId="0" xfId="84" applyNumberFormat="1" applyFont="1" applyAlignment="1">
      <alignment/>
    </xf>
    <xf numFmtId="0" fontId="4" fillId="0" borderId="0" xfId="477" applyFont="1" applyBorder="1">
      <alignment/>
      <protection/>
    </xf>
    <xf numFmtId="0" fontId="4" fillId="0" borderId="0" xfId="479" applyFont="1">
      <alignment/>
      <protection/>
    </xf>
    <xf numFmtId="169" fontId="5" fillId="0" borderId="0" xfId="84" applyNumberFormat="1" applyFont="1" applyAlignment="1">
      <alignment/>
    </xf>
    <xf numFmtId="0" fontId="5" fillId="0" borderId="0" xfId="477" applyFont="1">
      <alignment/>
      <protection/>
    </xf>
    <xf numFmtId="0" fontId="4" fillId="0" borderId="0" xfId="84" applyNumberFormat="1" applyFont="1" applyAlignment="1">
      <alignment/>
    </xf>
    <xf numFmtId="43" fontId="4" fillId="0" borderId="0" xfId="84" applyNumberFormat="1" applyFont="1" applyAlignment="1">
      <alignment/>
    </xf>
    <xf numFmtId="4" fontId="4" fillId="0" borderId="0" xfId="84" applyNumberFormat="1" applyFont="1" applyAlignment="1">
      <alignment/>
    </xf>
    <xf numFmtId="43" fontId="4" fillId="0" borderId="0" xfId="84" applyFont="1" applyAlignment="1">
      <alignment horizontal="right"/>
    </xf>
    <xf numFmtId="223" fontId="4" fillId="0" borderId="0" xfId="84" applyNumberFormat="1" applyFont="1" applyAlignment="1">
      <alignment/>
    </xf>
    <xf numFmtId="43" fontId="4" fillId="0" borderId="0" xfId="0" applyNumberFormat="1" applyFont="1" applyFill="1" applyAlignment="1">
      <alignment/>
    </xf>
    <xf numFmtId="0" fontId="4" fillId="0" borderId="0" xfId="0" applyFont="1" applyAlignment="1">
      <alignment horizontal="right"/>
    </xf>
    <xf numFmtId="10" fontId="4" fillId="0" borderId="0" xfId="84" applyNumberFormat="1" applyFont="1" applyAlignment="1">
      <alignment/>
    </xf>
    <xf numFmtId="0" fontId="4" fillId="0" borderId="0" xfId="477" applyFont="1" applyFill="1">
      <alignment/>
      <protection/>
    </xf>
    <xf numFmtId="169" fontId="4" fillId="0" borderId="0" xfId="84" applyNumberFormat="1" applyFont="1" applyFill="1" applyAlignment="1">
      <alignment/>
    </xf>
    <xf numFmtId="43" fontId="4" fillId="0" borderId="0" xfId="84" applyFont="1" applyFill="1" applyAlignment="1">
      <alignment/>
    </xf>
    <xf numFmtId="169" fontId="5" fillId="0" borderId="0" xfId="84" applyNumberFormat="1" applyFont="1" applyFill="1" applyAlignment="1">
      <alignment/>
    </xf>
    <xf numFmtId="0" fontId="5" fillId="0" borderId="0" xfId="477" applyFont="1" applyFill="1">
      <alignment/>
      <protection/>
    </xf>
    <xf numFmtId="0" fontId="4" fillId="0" borderId="0" xfId="0" applyFont="1" applyFill="1" applyAlignment="1">
      <alignment/>
    </xf>
    <xf numFmtId="0" fontId="5" fillId="0" borderId="0" xfId="477" applyFont="1">
      <alignment/>
      <protection/>
    </xf>
    <xf numFmtId="169" fontId="5" fillId="0" borderId="0" xfId="477" applyNumberFormat="1" applyFont="1">
      <alignment/>
      <protection/>
    </xf>
    <xf numFmtId="0" fontId="5" fillId="0" borderId="0" xfId="477" applyFont="1" applyAlignment="1">
      <alignment horizontal="center"/>
      <protection/>
    </xf>
    <xf numFmtId="17" fontId="5" fillId="0" borderId="5" xfId="477" applyNumberFormat="1" applyFont="1" applyBorder="1" applyAlignment="1">
      <alignment horizontal="center"/>
      <protection/>
    </xf>
    <xf numFmtId="0" fontId="6" fillId="0" borderId="0" xfId="477" applyNumberFormat="1" applyFont="1">
      <alignment/>
      <protection/>
    </xf>
    <xf numFmtId="0" fontId="5" fillId="0" borderId="0" xfId="479" applyNumberFormat="1" applyFont="1" applyFill="1" applyBorder="1" applyAlignment="1">
      <alignment/>
      <protection/>
    </xf>
    <xf numFmtId="0" fontId="6" fillId="0" borderId="0" xfId="477" applyNumberFormat="1" applyFont="1" applyBorder="1" applyAlignment="1">
      <alignment horizontal="left"/>
      <protection/>
    </xf>
    <xf numFmtId="43" fontId="5" fillId="0" borderId="0" xfId="84" applyFont="1" applyAlignment="1">
      <alignment/>
    </xf>
    <xf numFmtId="44" fontId="4" fillId="0" borderId="0" xfId="131" applyFont="1" applyAlignment="1">
      <alignment/>
    </xf>
    <xf numFmtId="225" fontId="4" fillId="0" borderId="0" xfId="131" applyNumberFormat="1" applyFont="1" applyAlignment="1">
      <alignment/>
    </xf>
    <xf numFmtId="225" fontId="5" fillId="0" borderId="0" xfId="131" applyNumberFormat="1" applyFont="1" applyAlignment="1">
      <alignment/>
    </xf>
    <xf numFmtId="0" fontId="7" fillId="0" borderId="0" xfId="476" applyFont="1">
      <alignment/>
      <protection/>
    </xf>
    <xf numFmtId="0" fontId="4" fillId="0" borderId="5" xfId="477" applyNumberFormat="1" applyFont="1" applyBorder="1" applyAlignment="1">
      <alignment horizontal="left"/>
      <protection/>
    </xf>
    <xf numFmtId="0" fontId="5" fillId="0" borderId="0" xfId="477" applyNumberFormat="1" applyFont="1" applyAlignment="1">
      <alignment horizontal="left"/>
      <protection/>
    </xf>
    <xf numFmtId="44" fontId="4" fillId="0" borderId="0" xfId="131" applyFont="1" applyFill="1" applyAlignment="1">
      <alignment/>
    </xf>
    <xf numFmtId="169" fontId="5" fillId="0" borderId="0" xfId="84" applyNumberFormat="1" applyFont="1" applyAlignment="1">
      <alignment horizontal="right"/>
    </xf>
    <xf numFmtId="43" fontId="5" fillId="0" borderId="0" xfId="0" applyNumberFormat="1" applyFont="1" applyFill="1" applyAlignment="1">
      <alignment/>
    </xf>
    <xf numFmtId="10" fontId="4" fillId="0" borderId="0" xfId="488" applyNumberFormat="1" applyFont="1" applyAlignment="1">
      <alignment/>
    </xf>
    <xf numFmtId="43" fontId="4" fillId="0" borderId="0" xfId="86" applyFont="1" applyFill="1" applyAlignment="1">
      <alignment/>
    </xf>
    <xf numFmtId="44" fontId="4" fillId="0" borderId="0" xfId="141" applyFont="1" applyFill="1" applyBorder="1" applyAlignment="1">
      <alignment horizontal="center"/>
    </xf>
    <xf numFmtId="44" fontId="4" fillId="0" borderId="0" xfId="163" applyFont="1" applyFill="1" applyAlignment="1">
      <alignment/>
    </xf>
    <xf numFmtId="0" fontId="5" fillId="0" borderId="23" xfId="477" applyNumberFormat="1" applyFont="1" applyBorder="1">
      <alignment/>
      <protection/>
    </xf>
    <xf numFmtId="43" fontId="5" fillId="0" borderId="23" xfId="84" applyFont="1" applyBorder="1" applyAlignment="1">
      <alignment/>
    </xf>
    <xf numFmtId="225" fontId="5" fillId="0" borderId="23" xfId="131" applyNumberFormat="1" applyFont="1" applyBorder="1" applyAlignment="1">
      <alignment/>
    </xf>
    <xf numFmtId="0" fontId="5" fillId="0" borderId="24" xfId="84" applyNumberFormat="1" applyFont="1" applyFill="1" applyBorder="1" applyAlignment="1">
      <alignment/>
    </xf>
    <xf numFmtId="44" fontId="5" fillId="0" borderId="24" xfId="131" applyFont="1" applyFill="1" applyBorder="1" applyAlignment="1">
      <alignment/>
    </xf>
    <xf numFmtId="169" fontId="5" fillId="0" borderId="23" xfId="84" applyNumberFormat="1" applyFont="1" applyBorder="1" applyAlignment="1">
      <alignment/>
    </xf>
    <xf numFmtId="178" fontId="4" fillId="0" borderId="0" xfId="488" applyNumberFormat="1" applyFont="1" applyAlignment="1">
      <alignment/>
    </xf>
    <xf numFmtId="43" fontId="5" fillId="0" borderId="0" xfId="84" applyFont="1" applyBorder="1" applyAlignment="1">
      <alignment/>
    </xf>
    <xf numFmtId="169" fontId="5" fillId="0" borderId="23" xfId="84" applyNumberFormat="1" applyFont="1" applyFill="1" applyBorder="1" applyAlignment="1">
      <alignment/>
    </xf>
    <xf numFmtId="0" fontId="4" fillId="0" borderId="0" xfId="480" applyNumberFormat="1" applyFont="1" applyFill="1" applyBorder="1" applyAlignment="1">
      <alignment/>
      <protection/>
    </xf>
    <xf numFmtId="0" fontId="5" fillId="0" borderId="0" xfId="478" applyNumberFormat="1" applyFont="1">
      <alignment/>
      <protection/>
    </xf>
    <xf numFmtId="0" fontId="4" fillId="0" borderId="0" xfId="478" applyFont="1">
      <alignment/>
      <protection/>
    </xf>
    <xf numFmtId="0" fontId="4" fillId="0" borderId="0" xfId="478" applyFont="1" applyFill="1">
      <alignment/>
      <protection/>
    </xf>
    <xf numFmtId="0" fontId="5" fillId="0" borderId="0" xfId="478" applyNumberFormat="1" applyFont="1" applyAlignment="1">
      <alignment horizontal="left"/>
      <protection/>
    </xf>
    <xf numFmtId="0" fontId="5" fillId="0" borderId="0" xfId="478" applyFont="1" applyAlignment="1">
      <alignment horizontal="center"/>
      <protection/>
    </xf>
    <xf numFmtId="0" fontId="4" fillId="0" borderId="0" xfId="478" applyFont="1" applyAlignment="1">
      <alignment horizontal="center"/>
      <protection/>
    </xf>
    <xf numFmtId="43" fontId="4" fillId="0" borderId="0" xfId="86" applyFont="1" applyAlignment="1">
      <alignment horizontal="center"/>
    </xf>
    <xf numFmtId="0" fontId="4" fillId="0" borderId="5" xfId="478" applyNumberFormat="1" applyFont="1" applyBorder="1" applyAlignment="1">
      <alignment horizontal="left"/>
      <protection/>
    </xf>
    <xf numFmtId="17" fontId="5" fillId="0" borderId="5" xfId="478" applyNumberFormat="1" applyFont="1" applyBorder="1" applyAlignment="1">
      <alignment horizontal="center"/>
      <protection/>
    </xf>
    <xf numFmtId="43" fontId="4" fillId="0" borderId="5" xfId="86" applyFont="1" applyBorder="1" applyAlignment="1">
      <alignment horizontal="center"/>
    </xf>
    <xf numFmtId="0" fontId="4" fillId="0" borderId="5" xfId="478" applyFont="1" applyBorder="1" applyAlignment="1">
      <alignment horizontal="center"/>
      <protection/>
    </xf>
    <xf numFmtId="0" fontId="6" fillId="0" borderId="0" xfId="478" applyNumberFormat="1" applyFont="1" applyBorder="1" applyAlignment="1">
      <alignment horizontal="left"/>
      <protection/>
    </xf>
    <xf numFmtId="43" fontId="4" fillId="0" borderId="0" xfId="86" applyFont="1" applyBorder="1" applyAlignment="1">
      <alignment horizontal="center"/>
    </xf>
    <xf numFmtId="0" fontId="4" fillId="0" borderId="0" xfId="478" applyFont="1" applyBorder="1" applyAlignment="1">
      <alignment horizontal="center"/>
      <protection/>
    </xf>
    <xf numFmtId="43" fontId="4" fillId="0" borderId="0" xfId="100" applyFont="1" applyFill="1" applyAlignment="1">
      <alignment/>
    </xf>
    <xf numFmtId="43" fontId="4" fillId="0" borderId="0" xfId="86" applyFont="1" applyAlignment="1">
      <alignment/>
    </xf>
    <xf numFmtId="178" fontId="4" fillId="0" borderId="0" xfId="491" applyNumberFormat="1" applyFont="1" applyAlignment="1">
      <alignment/>
    </xf>
    <xf numFmtId="10" fontId="4" fillId="0" borderId="0" xfId="491" applyNumberFormat="1" applyFont="1" applyAlignment="1">
      <alignment/>
    </xf>
    <xf numFmtId="43" fontId="4" fillId="0" borderId="0" xfId="86" applyFont="1" applyAlignment="1">
      <alignment horizontal="left"/>
    </xf>
    <xf numFmtId="0" fontId="5" fillId="0" borderId="23" xfId="478" applyNumberFormat="1" applyFont="1" applyBorder="1">
      <alignment/>
      <protection/>
    </xf>
    <xf numFmtId="43" fontId="5" fillId="0" borderId="23" xfId="86" applyFont="1" applyBorder="1" applyAlignment="1">
      <alignment/>
    </xf>
    <xf numFmtId="43" fontId="5" fillId="0" borderId="0" xfId="86" applyFont="1" applyBorder="1" applyAlignment="1">
      <alignment/>
    </xf>
    <xf numFmtId="43" fontId="5" fillId="0" borderId="0" xfId="86" applyFont="1" applyAlignment="1">
      <alignment/>
    </xf>
    <xf numFmtId="0" fontId="5" fillId="0" borderId="0" xfId="478" applyFont="1">
      <alignment/>
      <protection/>
    </xf>
    <xf numFmtId="169" fontId="4" fillId="0" borderId="0" xfId="86" applyNumberFormat="1" applyFont="1" applyAlignment="1">
      <alignment horizontal="right"/>
    </xf>
    <xf numFmtId="169" fontId="4" fillId="0" borderId="0" xfId="86" applyNumberFormat="1" applyFont="1" applyAlignment="1">
      <alignment/>
    </xf>
    <xf numFmtId="0" fontId="4" fillId="0" borderId="0" xfId="478" applyNumberFormat="1" applyFont="1">
      <alignment/>
      <protection/>
    </xf>
    <xf numFmtId="0" fontId="6" fillId="0" borderId="0" xfId="478" applyNumberFormat="1" applyFont="1">
      <alignment/>
      <protection/>
    </xf>
    <xf numFmtId="0" fontId="4" fillId="0" borderId="0" xfId="478" applyFont="1" applyBorder="1">
      <alignment/>
      <protection/>
    </xf>
    <xf numFmtId="44" fontId="4" fillId="0" borderId="0" xfId="164" applyFont="1" applyFill="1" applyAlignment="1">
      <alignment/>
    </xf>
    <xf numFmtId="44" fontId="4" fillId="0" borderId="0" xfId="164" applyFont="1" applyFill="1" applyBorder="1" applyAlignment="1">
      <alignment horizontal="center"/>
    </xf>
    <xf numFmtId="43" fontId="4" fillId="0" borderId="0" xfId="86" applyFont="1" applyBorder="1" applyAlignment="1">
      <alignment/>
    </xf>
    <xf numFmtId="225" fontId="4" fillId="0" borderId="0" xfId="141" applyNumberFormat="1" applyFont="1" applyAlignment="1">
      <alignment/>
    </xf>
    <xf numFmtId="0" fontId="5" fillId="0" borderId="0" xfId="480" applyNumberFormat="1" applyFont="1" applyFill="1" applyBorder="1" applyAlignment="1">
      <alignment/>
      <protection/>
    </xf>
    <xf numFmtId="225" fontId="5" fillId="0" borderId="0" xfId="141" applyNumberFormat="1" applyFont="1" applyAlignment="1">
      <alignment/>
    </xf>
    <xf numFmtId="169" fontId="5" fillId="0" borderId="0" xfId="478" applyNumberFormat="1" applyFont="1">
      <alignment/>
      <protection/>
    </xf>
    <xf numFmtId="0" fontId="4" fillId="0" borderId="0" xfId="480" applyFont="1">
      <alignment/>
      <protection/>
    </xf>
    <xf numFmtId="225" fontId="5" fillId="0" borderId="23" xfId="141" applyNumberFormat="1" applyFont="1" applyBorder="1" applyAlignment="1">
      <alignment/>
    </xf>
    <xf numFmtId="225" fontId="5" fillId="0" borderId="0" xfId="141" applyNumberFormat="1" applyFont="1" applyBorder="1" applyAlignment="1">
      <alignment/>
    </xf>
    <xf numFmtId="169" fontId="5" fillId="0" borderId="0" xfId="86" applyNumberFormat="1" applyFont="1" applyFill="1" applyAlignment="1">
      <alignment/>
    </xf>
    <xf numFmtId="43" fontId="5" fillId="0" borderId="0" xfId="86" applyFont="1" applyFill="1" applyAlignment="1">
      <alignment/>
    </xf>
    <xf numFmtId="0" fontId="5" fillId="0" borderId="0" xfId="478" applyFont="1" applyFill="1">
      <alignment/>
      <protection/>
    </xf>
    <xf numFmtId="169" fontId="4" fillId="0" borderId="0" xfId="86" applyNumberFormat="1" applyFont="1" applyFill="1" applyAlignment="1">
      <alignment/>
    </xf>
    <xf numFmtId="169" fontId="5" fillId="0" borderId="23" xfId="86" applyNumberFormat="1" applyFont="1" applyBorder="1" applyAlignment="1">
      <alignment/>
    </xf>
    <xf numFmtId="169" fontId="5" fillId="0" borderId="23" xfId="86" applyNumberFormat="1" applyFont="1" applyFill="1" applyBorder="1" applyAlignment="1">
      <alignment/>
    </xf>
    <xf numFmtId="0" fontId="4" fillId="0" borderId="0" xfId="86" applyNumberFormat="1" applyFont="1" applyAlignment="1">
      <alignment/>
    </xf>
    <xf numFmtId="9" fontId="4" fillId="0" borderId="0" xfId="491" applyFont="1" applyAlignment="1">
      <alignment/>
    </xf>
    <xf numFmtId="10" fontId="4" fillId="0" borderId="0" xfId="491" applyNumberFormat="1" applyFont="1" applyFill="1" applyAlignment="1">
      <alignment/>
    </xf>
    <xf numFmtId="44" fontId="4" fillId="0" borderId="0" xfId="141" applyFont="1" applyAlignment="1">
      <alignment/>
    </xf>
    <xf numFmtId="44" fontId="4" fillId="0" borderId="0" xfId="141" applyFont="1" applyFill="1" applyAlignment="1">
      <alignment/>
    </xf>
    <xf numFmtId="0" fontId="5" fillId="0" borderId="24" xfId="86" applyNumberFormat="1" applyFont="1" applyFill="1" applyBorder="1" applyAlignment="1">
      <alignment/>
    </xf>
    <xf numFmtId="44" fontId="5" fillId="0" borderId="24" xfId="141" applyFont="1" applyFill="1" applyBorder="1" applyAlignment="1">
      <alignment/>
    </xf>
    <xf numFmtId="169" fontId="5" fillId="0" borderId="0" xfId="86" applyNumberFormat="1" applyFont="1" applyAlignment="1">
      <alignment/>
    </xf>
    <xf numFmtId="43" fontId="4" fillId="0" borderId="0" xfId="86" applyNumberFormat="1" applyFont="1" applyAlignment="1">
      <alignment/>
    </xf>
    <xf numFmtId="4" fontId="4" fillId="0" borderId="0" xfId="86" applyNumberFormat="1" applyFont="1" applyAlignment="1">
      <alignment/>
    </xf>
    <xf numFmtId="169" fontId="4" fillId="0" borderId="0" xfId="86" applyNumberFormat="1" applyFont="1" applyFill="1" applyAlignment="1">
      <alignment horizontal="center"/>
    </xf>
    <xf numFmtId="4" fontId="4" fillId="0" borderId="0" xfId="86" applyNumberFormat="1" applyFont="1" applyFill="1" applyAlignment="1">
      <alignment/>
    </xf>
    <xf numFmtId="2" fontId="4" fillId="0" borderId="0" xfId="86" applyNumberFormat="1" applyFont="1" applyFill="1" applyAlignment="1">
      <alignment/>
    </xf>
    <xf numFmtId="43" fontId="4" fillId="0" borderId="0" xfId="86" applyFont="1" applyAlignment="1">
      <alignment horizontal="right"/>
    </xf>
    <xf numFmtId="43" fontId="4" fillId="0" borderId="0" xfId="86" applyNumberFormat="1" applyFont="1" applyFill="1" applyAlignment="1">
      <alignment/>
    </xf>
    <xf numFmtId="223" fontId="4" fillId="0" borderId="0" xfId="86" applyNumberFormat="1" applyFont="1" applyAlignment="1">
      <alignment/>
    </xf>
    <xf numFmtId="43" fontId="4" fillId="0" borderId="0" xfId="207" applyNumberFormat="1" applyFont="1" applyFill="1">
      <alignment/>
      <protection/>
    </xf>
    <xf numFmtId="0" fontId="4" fillId="0" borderId="0" xfId="207" applyFont="1" applyFill="1">
      <alignment/>
      <protection/>
    </xf>
    <xf numFmtId="169" fontId="5" fillId="0" borderId="0" xfId="86" applyNumberFormat="1" applyFont="1" applyAlignment="1">
      <alignment horizontal="right"/>
    </xf>
    <xf numFmtId="43" fontId="5" fillId="0" borderId="0" xfId="207" applyNumberFormat="1" applyFont="1" applyFill="1">
      <alignment/>
      <protection/>
    </xf>
    <xf numFmtId="0" fontId="4" fillId="0" borderId="0" xfId="207" applyFont="1" applyAlignment="1">
      <alignment horizontal="right"/>
      <protection/>
    </xf>
    <xf numFmtId="10" fontId="4" fillId="0" borderId="0" xfId="207" applyNumberFormat="1" applyFont="1" applyFill="1" applyAlignment="1">
      <alignment horizontal="left"/>
      <protection/>
    </xf>
    <xf numFmtId="10" fontId="4" fillId="0" borderId="0" xfId="86" applyNumberFormat="1" applyFont="1" applyAlignment="1">
      <alignment/>
    </xf>
    <xf numFmtId="0" fontId="38" fillId="0" borderId="0" xfId="86" applyNumberFormat="1" applyFont="1" applyAlignment="1">
      <alignment/>
    </xf>
    <xf numFmtId="0" fontId="5" fillId="0" borderId="0" xfId="86" applyNumberFormat="1" applyFont="1" applyAlignment="1">
      <alignment/>
    </xf>
    <xf numFmtId="0" fontId="4" fillId="0" borderId="0" xfId="86" applyNumberFormat="1" applyFont="1" applyFill="1" applyAlignment="1">
      <alignment/>
    </xf>
    <xf numFmtId="43" fontId="4" fillId="0" borderId="0" xfId="477" applyNumberFormat="1" applyFont="1">
      <alignment/>
      <protection/>
    </xf>
    <xf numFmtId="0" fontId="73" fillId="0" borderId="0" xfId="477" applyFont="1" applyFill="1" applyAlignment="1">
      <alignment horizontal="center"/>
      <protection/>
    </xf>
    <xf numFmtId="0" fontId="41" fillId="0" borderId="0" xfId="477" applyNumberFormat="1" applyFont="1" applyAlignment="1">
      <alignment horizontal="right"/>
      <protection/>
    </xf>
    <xf numFmtId="43" fontId="1" fillId="0" borderId="0" xfId="84" applyFont="1" applyFill="1" applyAlignment="1">
      <alignment/>
    </xf>
    <xf numFmtId="225" fontId="4" fillId="0" borderId="0" xfId="477" applyNumberFormat="1" applyFont="1">
      <alignment/>
      <protection/>
    </xf>
    <xf numFmtId="44" fontId="5" fillId="0" borderId="0" xfId="131" applyFont="1" applyFill="1" applyBorder="1" applyAlignment="1">
      <alignment horizontal="right"/>
    </xf>
    <xf numFmtId="43" fontId="4" fillId="0" borderId="0" xfId="84" applyFont="1" applyFill="1" applyBorder="1" applyAlignment="1">
      <alignment/>
    </xf>
    <xf numFmtId="0" fontId="5" fillId="0" borderId="0" xfId="477" applyNumberFormat="1" applyFont="1" applyFill="1">
      <alignment/>
      <protection/>
    </xf>
    <xf numFmtId="0" fontId="5" fillId="0" borderId="0" xfId="477" applyNumberFormat="1" applyFont="1" applyFill="1" applyAlignment="1">
      <alignment horizontal="left"/>
      <protection/>
    </xf>
    <xf numFmtId="0" fontId="5" fillId="0" borderId="0" xfId="477" applyFont="1" applyFill="1" applyAlignment="1">
      <alignment horizontal="center"/>
      <protection/>
    </xf>
    <xf numFmtId="17" fontId="5" fillId="0" borderId="5" xfId="477" applyNumberFormat="1" applyFont="1" applyFill="1" applyBorder="1" applyAlignment="1">
      <alignment horizontal="center"/>
      <protection/>
    </xf>
    <xf numFmtId="0" fontId="6" fillId="0" borderId="0" xfId="477" applyNumberFormat="1" applyFont="1" applyFill="1" applyBorder="1" applyAlignment="1">
      <alignment horizontal="left"/>
      <protection/>
    </xf>
    <xf numFmtId="43" fontId="4" fillId="0" borderId="0" xfId="84" applyFont="1" applyFill="1" applyBorder="1" applyAlignment="1">
      <alignment horizontal="center"/>
    </xf>
    <xf numFmtId="43" fontId="4" fillId="0" borderId="0" xfId="84" applyFont="1" applyFill="1" applyAlignment="1">
      <alignment horizontal="left"/>
    </xf>
    <xf numFmtId="43" fontId="5" fillId="0" borderId="23" xfId="84" applyFont="1" applyFill="1" applyBorder="1" applyAlignment="1">
      <alignment/>
    </xf>
    <xf numFmtId="169" fontId="4" fillId="0" borderId="0" xfId="84" applyNumberFormat="1" applyFont="1" applyFill="1" applyAlignment="1">
      <alignment horizontal="right"/>
    </xf>
    <xf numFmtId="0" fontId="4" fillId="0" borderId="0" xfId="477" applyNumberFormat="1" applyFont="1" applyFill="1">
      <alignment/>
      <protection/>
    </xf>
    <xf numFmtId="0" fontId="73" fillId="0" borderId="0" xfId="477" applyNumberFormat="1" applyFont="1" applyFill="1" applyAlignment="1">
      <alignment horizontal="center"/>
      <protection/>
    </xf>
    <xf numFmtId="44" fontId="4" fillId="0" borderId="0" xfId="480" applyNumberFormat="1" applyFont="1" applyFill="1" applyBorder="1" applyAlignment="1">
      <alignment/>
      <protection/>
    </xf>
    <xf numFmtId="44" fontId="4" fillId="0" borderId="0" xfId="131" applyFont="1" applyFill="1" applyBorder="1" applyAlignment="1">
      <alignment/>
    </xf>
    <xf numFmtId="44" fontId="4" fillId="0" borderId="0" xfId="477" applyNumberFormat="1" applyFont="1" applyFill="1">
      <alignment/>
      <protection/>
    </xf>
    <xf numFmtId="0" fontId="6" fillId="0" borderId="0" xfId="477" applyNumberFormat="1" applyFont="1" applyFill="1">
      <alignment/>
      <protection/>
    </xf>
    <xf numFmtId="225" fontId="4" fillId="0" borderId="0" xfId="131" applyNumberFormat="1" applyFont="1" applyFill="1" applyAlignment="1">
      <alignment/>
    </xf>
    <xf numFmtId="225" fontId="5" fillId="0" borderId="0" xfId="131" applyNumberFormat="1" applyFont="1" applyFill="1" applyAlignment="1">
      <alignment/>
    </xf>
    <xf numFmtId="169" fontId="5" fillId="0" borderId="0" xfId="84" applyNumberFormat="1" applyFont="1" applyFill="1" applyBorder="1" applyAlignment="1">
      <alignment/>
    </xf>
    <xf numFmtId="43" fontId="5" fillId="0" borderId="0" xfId="84" applyFont="1" applyFill="1" applyBorder="1" applyAlignment="1">
      <alignment/>
    </xf>
    <xf numFmtId="0" fontId="5" fillId="0" borderId="0" xfId="477" applyFont="1" applyFill="1" applyBorder="1">
      <alignment/>
      <protection/>
    </xf>
    <xf numFmtId="169" fontId="4" fillId="0" borderId="0" xfId="84" applyNumberFormat="1" applyFont="1" applyFill="1" applyBorder="1" applyAlignment="1">
      <alignment/>
    </xf>
    <xf numFmtId="43" fontId="4" fillId="0" borderId="0" xfId="84" applyFont="1" applyFill="1" applyBorder="1" applyAlignment="1">
      <alignment/>
    </xf>
    <xf numFmtId="0" fontId="4" fillId="0" borderId="0" xfId="477" applyFont="1" applyFill="1" applyBorder="1">
      <alignment/>
      <protection/>
    </xf>
    <xf numFmtId="10" fontId="4" fillId="0" borderId="0" xfId="488" applyNumberFormat="1" applyFont="1" applyFill="1" applyBorder="1" applyAlignment="1">
      <alignment/>
    </xf>
    <xf numFmtId="169" fontId="4" fillId="0" borderId="0" xfId="84" applyNumberFormat="1" applyFont="1" applyFill="1" applyBorder="1" applyAlignment="1">
      <alignment horizontal="center"/>
    </xf>
    <xf numFmtId="4" fontId="5" fillId="0" borderId="0" xfId="84" applyNumberFormat="1" applyFont="1" applyFill="1" applyBorder="1" applyAlignment="1">
      <alignment horizontal="center" wrapText="1"/>
    </xf>
    <xf numFmtId="43" fontId="4" fillId="0" borderId="0" xfId="84" applyNumberFormat="1" applyFont="1" applyFill="1" applyBorder="1" applyAlignment="1">
      <alignment/>
    </xf>
    <xf numFmtId="4" fontId="4" fillId="0" borderId="0" xfId="84" applyNumberFormat="1" applyFont="1" applyFill="1" applyBorder="1" applyAlignment="1">
      <alignment/>
    </xf>
    <xf numFmtId="43" fontId="4" fillId="0" borderId="0" xfId="0" applyNumberFormat="1" applyFont="1" applyFill="1" applyBorder="1" applyAlignment="1">
      <alignment/>
    </xf>
    <xf numFmtId="0" fontId="4" fillId="0" borderId="0" xfId="0" applyFont="1" applyFill="1" applyBorder="1" applyAlignment="1">
      <alignment/>
    </xf>
    <xf numFmtId="225" fontId="5" fillId="0" borderId="0" xfId="131" applyNumberFormat="1" applyFont="1" applyFill="1" applyBorder="1" applyAlignment="1">
      <alignment/>
    </xf>
    <xf numFmtId="169" fontId="5" fillId="0" borderId="0" xfId="477" applyNumberFormat="1" applyFont="1" applyFill="1" applyBorder="1">
      <alignment/>
      <protection/>
    </xf>
    <xf numFmtId="0" fontId="5" fillId="0" borderId="0" xfId="477" applyFont="1" applyFill="1" applyBorder="1">
      <alignment/>
      <protection/>
    </xf>
    <xf numFmtId="225" fontId="4" fillId="0" borderId="0" xfId="131" applyNumberFormat="1" applyFont="1" applyFill="1" applyBorder="1" applyAlignment="1">
      <alignment/>
    </xf>
    <xf numFmtId="169" fontId="74" fillId="0" borderId="0" xfId="477" applyNumberFormat="1" applyFont="1" applyFill="1" applyBorder="1">
      <alignment/>
      <protection/>
    </xf>
    <xf numFmtId="43" fontId="75" fillId="0" borderId="0" xfId="84" applyFont="1" applyFill="1" applyBorder="1" applyAlignment="1">
      <alignment/>
    </xf>
    <xf numFmtId="169" fontId="5" fillId="0" borderId="0" xfId="84" applyNumberFormat="1" applyFont="1" applyFill="1" applyBorder="1" applyAlignment="1">
      <alignment horizontal="center"/>
    </xf>
    <xf numFmtId="43" fontId="5" fillId="0" borderId="0" xfId="84" applyFont="1" applyFill="1" applyBorder="1" applyAlignment="1">
      <alignment horizontal="center"/>
    </xf>
    <xf numFmtId="225" fontId="5" fillId="0" borderId="0" xfId="131" applyNumberFormat="1" applyFont="1" applyFill="1" applyBorder="1" applyAlignment="1">
      <alignment horizontal="right"/>
    </xf>
    <xf numFmtId="43" fontId="5" fillId="0" borderId="0" xfId="477" applyNumberFormat="1" applyFont="1" applyFill="1" applyBorder="1">
      <alignment/>
      <protection/>
    </xf>
    <xf numFmtId="44" fontId="4" fillId="0" borderId="0" xfId="131" applyFont="1" applyFill="1" applyBorder="1" applyAlignment="1">
      <alignment/>
    </xf>
    <xf numFmtId="169" fontId="76" fillId="0" borderId="0" xfId="84" applyNumberFormat="1" applyFont="1" applyFill="1" applyBorder="1" applyAlignment="1">
      <alignment/>
    </xf>
    <xf numFmtId="223" fontId="4" fillId="0" borderId="0" xfId="84" applyNumberFormat="1" applyFont="1" applyFill="1" applyBorder="1" applyAlignment="1">
      <alignment/>
    </xf>
    <xf numFmtId="43" fontId="4" fillId="0" borderId="0" xfId="0" applyNumberFormat="1" applyFont="1" applyFill="1" applyAlignment="1">
      <alignment horizontal="left"/>
    </xf>
    <xf numFmtId="9" fontId="4" fillId="0" borderId="0" xfId="488" applyFont="1" applyFill="1" applyAlignment="1">
      <alignment/>
    </xf>
    <xf numFmtId="0" fontId="77" fillId="0" borderId="0" xfId="478" applyFont="1" applyBorder="1">
      <alignment/>
      <protection/>
    </xf>
    <xf numFmtId="44" fontId="74" fillId="0" borderId="0" xfId="141" applyFont="1" applyFill="1" applyBorder="1" applyAlignment="1">
      <alignment/>
    </xf>
    <xf numFmtId="43" fontId="75" fillId="0" borderId="0" xfId="86" applyNumberFormat="1" applyFont="1" applyFill="1" applyAlignment="1">
      <alignment/>
    </xf>
    <xf numFmtId="43" fontId="74" fillId="0" borderId="0" xfId="84" applyFont="1" applyFill="1" applyAlignment="1">
      <alignment/>
    </xf>
    <xf numFmtId="43" fontId="74" fillId="0" borderId="0" xfId="84" applyNumberFormat="1" applyFont="1" applyFill="1" applyAlignment="1">
      <alignment/>
    </xf>
    <xf numFmtId="4" fontId="75" fillId="0" borderId="0" xfId="84" applyNumberFormat="1" applyFont="1" applyFill="1" applyBorder="1" applyAlignment="1">
      <alignment/>
    </xf>
    <xf numFmtId="225" fontId="75" fillId="0" borderId="0" xfId="131" applyNumberFormat="1" applyFont="1" applyFill="1" applyBorder="1" applyAlignment="1">
      <alignment/>
    </xf>
    <xf numFmtId="169" fontId="75" fillId="0" borderId="0" xfId="84" applyNumberFormat="1" applyFont="1" applyFill="1" applyBorder="1" applyAlignment="1">
      <alignment/>
    </xf>
    <xf numFmtId="4" fontId="75" fillId="0" borderId="0" xfId="84" applyNumberFormat="1" applyFont="1" applyFill="1" applyBorder="1" applyAlignment="1">
      <alignment horizontal="right"/>
    </xf>
    <xf numFmtId="169" fontId="75" fillId="0" borderId="0" xfId="84" applyNumberFormat="1" applyFont="1" applyFill="1" applyBorder="1" applyAlignment="1">
      <alignment horizontal="right"/>
    </xf>
  </cellXfs>
  <cellStyles count="53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1 2 2" xfId="17"/>
    <cellStyle name="20% - Accent2" xfId="18"/>
    <cellStyle name="20% - Accent2 2" xfId="19"/>
    <cellStyle name="20% - Accent3" xfId="20"/>
    <cellStyle name="20% - Accent3 2" xfId="21"/>
    <cellStyle name="20% - Accent4" xfId="22"/>
    <cellStyle name="20% - Accent4 2" xfId="23"/>
    <cellStyle name="20% - Accent4 2 2" xfId="24"/>
    <cellStyle name="20% - Accent5" xfId="25"/>
    <cellStyle name="20% - Accent5 2" xfId="26"/>
    <cellStyle name="20% - Accent6" xfId="27"/>
    <cellStyle name="20% - Accent6 2" xfId="28"/>
    <cellStyle name="40% - Accent1" xfId="29"/>
    <cellStyle name="40% - Accent1 2" xfId="30"/>
    <cellStyle name="40% - Accent1 2 2" xfId="31"/>
    <cellStyle name="40% - Accent2" xfId="32"/>
    <cellStyle name="40% - Accent2 2" xfId="33"/>
    <cellStyle name="40% - Accent3" xfId="34"/>
    <cellStyle name="40% - Accent3 2" xfId="35"/>
    <cellStyle name="40% - Accent4" xfId="36"/>
    <cellStyle name="40% - Accent4 2" xfId="37"/>
    <cellStyle name="40% - Accent4 2 2" xfId="38"/>
    <cellStyle name="40% - Accent5" xfId="39"/>
    <cellStyle name="40% - Accent5 2" xfId="40"/>
    <cellStyle name="40% - Accent5 2 2" xfId="41"/>
    <cellStyle name="40% - Accent6" xfId="42"/>
    <cellStyle name="40% - Accent6 2" xfId="43"/>
    <cellStyle name="40% - Accent6 2 2" xfId="44"/>
    <cellStyle name="60% - Accent1" xfId="45"/>
    <cellStyle name="60% - Accent1 2" xfId="46"/>
    <cellStyle name="60% - Accent2" xfId="47"/>
    <cellStyle name="60% - Accent2 2" xfId="48"/>
    <cellStyle name="60% - Accent3" xfId="49"/>
    <cellStyle name="60% - Accent3 2" xfId="50"/>
    <cellStyle name="60% - Accent4" xfId="51"/>
    <cellStyle name="60% - Accent4 2" xfId="52"/>
    <cellStyle name="60% - Accent5" xfId="53"/>
    <cellStyle name="60% - Accent5 2" xfId="54"/>
    <cellStyle name="60% - Accent6" xfId="55"/>
    <cellStyle name="60% - Accent6 2" xfId="56"/>
    <cellStyle name="Accent1" xfId="57"/>
    <cellStyle name="Accent1 2" xfId="58"/>
    <cellStyle name="Accent2" xfId="59"/>
    <cellStyle name="Accent2 2" xfId="60"/>
    <cellStyle name="Accent3" xfId="61"/>
    <cellStyle name="Accent3 2" xfId="62"/>
    <cellStyle name="Accent4" xfId="63"/>
    <cellStyle name="Accent4 2" xfId="64"/>
    <cellStyle name="Accent5" xfId="65"/>
    <cellStyle name="Accent5 2" xfId="66"/>
    <cellStyle name="Accent6" xfId="67"/>
    <cellStyle name="Accent6 2" xfId="68"/>
    <cellStyle name="Accounting" xfId="69"/>
    <cellStyle name="Accounting 2" xfId="70"/>
    <cellStyle name="Accounting 3" xfId="71"/>
    <cellStyle name="Accounting_2011-11" xfId="72"/>
    <cellStyle name="Bad" xfId="73"/>
    <cellStyle name="Bad 2" xfId="74"/>
    <cellStyle name="Budget" xfId="75"/>
    <cellStyle name="Budget 2" xfId="76"/>
    <cellStyle name="Budget 3" xfId="77"/>
    <cellStyle name="Budget_2011-11" xfId="78"/>
    <cellStyle name="Calculation" xfId="79"/>
    <cellStyle name="Calculation 2" xfId="80"/>
    <cellStyle name="Check Cell" xfId="81"/>
    <cellStyle name="Check Cell 2" xfId="82"/>
    <cellStyle name="combo" xfId="83"/>
    <cellStyle name="Comma" xfId="84"/>
    <cellStyle name="Comma [0]" xfId="85"/>
    <cellStyle name="Comma 10" xfId="86"/>
    <cellStyle name="Comma 11" xfId="87"/>
    <cellStyle name="Comma 12" xfId="88"/>
    <cellStyle name="Comma 12 2" xfId="89"/>
    <cellStyle name="Comma 13" xfId="90"/>
    <cellStyle name="Comma 13 2" xfId="91"/>
    <cellStyle name="Comma 14" xfId="92"/>
    <cellStyle name="Comma 14 2" xfId="93"/>
    <cellStyle name="Comma 15" xfId="94"/>
    <cellStyle name="Comma 15 2" xfId="95"/>
    <cellStyle name="Comma 16" xfId="96"/>
    <cellStyle name="Comma 16 2" xfId="97"/>
    <cellStyle name="Comma 16 3" xfId="98"/>
    <cellStyle name="Comma 17" xfId="99"/>
    <cellStyle name="Comma 17 2" xfId="100"/>
    <cellStyle name="Comma 18" xfId="101"/>
    <cellStyle name="Comma 2" xfId="102"/>
    <cellStyle name="Comma 2 2" xfId="103"/>
    <cellStyle name="Comma 2 2 2" xfId="104"/>
    <cellStyle name="Comma 2 3" xfId="105"/>
    <cellStyle name="Comma 2 3 2" xfId="106"/>
    <cellStyle name="Comma 3" xfId="107"/>
    <cellStyle name="Comma 3 2" xfId="108"/>
    <cellStyle name="Comma 3 2 2" xfId="109"/>
    <cellStyle name="Comma 4" xfId="110"/>
    <cellStyle name="Comma 4 2" xfId="111"/>
    <cellStyle name="Comma 4 3" xfId="112"/>
    <cellStyle name="Comma 4 3 2" xfId="113"/>
    <cellStyle name="Comma 4 3 2 2" xfId="114"/>
    <cellStyle name="Comma 4 3 3" xfId="115"/>
    <cellStyle name="Comma 4 3 4" xfId="116"/>
    <cellStyle name="Comma 4 4" xfId="117"/>
    <cellStyle name="Comma 4 4 2" xfId="118"/>
    <cellStyle name="Comma 4 4 2 2" xfId="119"/>
    <cellStyle name="Comma 4 4 3" xfId="120"/>
    <cellStyle name="Comma 4 5" xfId="121"/>
    <cellStyle name="Comma 5" xfId="122"/>
    <cellStyle name="Comma 6" xfId="123"/>
    <cellStyle name="Comma 7" xfId="124"/>
    <cellStyle name="Comma 8" xfId="125"/>
    <cellStyle name="Comma 9" xfId="126"/>
    <cellStyle name="Comma(2)" xfId="127"/>
    <cellStyle name="Comma0 - Style2" xfId="128"/>
    <cellStyle name="Comma1 - Style1" xfId="129"/>
    <cellStyle name="Comments" xfId="130"/>
    <cellStyle name="Currency" xfId="131"/>
    <cellStyle name="Currency [0]" xfId="132"/>
    <cellStyle name="Currency 2" xfId="133"/>
    <cellStyle name="Currency 2 2" xfId="134"/>
    <cellStyle name="Currency 2 2 2" xfId="135"/>
    <cellStyle name="Currency 2 2 3" xfId="136"/>
    <cellStyle name="Currency 2 3" xfId="137"/>
    <cellStyle name="Currency 2 3 2" xfId="138"/>
    <cellStyle name="Currency 2 4" xfId="139"/>
    <cellStyle name="Currency 2 4 2" xfId="140"/>
    <cellStyle name="Currency 2 5" xfId="141"/>
    <cellStyle name="Currency 3" xfId="142"/>
    <cellStyle name="Currency 3 2" xfId="143"/>
    <cellStyle name="Currency 3 2 2" xfId="144"/>
    <cellStyle name="Currency 3 2 2 2" xfId="145"/>
    <cellStyle name="Currency 3 2 3" xfId="146"/>
    <cellStyle name="Currency 3 2 4" xfId="147"/>
    <cellStyle name="Currency 3 3" xfId="148"/>
    <cellStyle name="Currency 3 4" xfId="149"/>
    <cellStyle name="Currency 3 5" xfId="150"/>
    <cellStyle name="Currency 3 6" xfId="151"/>
    <cellStyle name="Currency 4" xfId="152"/>
    <cellStyle name="Currency 4 2" xfId="153"/>
    <cellStyle name="Currency 4 3" xfId="154"/>
    <cellStyle name="Currency 5" xfId="155"/>
    <cellStyle name="Currency 5 2" xfId="156"/>
    <cellStyle name="Currency 5 2 2" xfId="157"/>
    <cellStyle name="Currency 5 3" xfId="158"/>
    <cellStyle name="Currency 6" xfId="159"/>
    <cellStyle name="Currency 6 2" xfId="160"/>
    <cellStyle name="Currency 7" xfId="161"/>
    <cellStyle name="Currency 7 2" xfId="162"/>
    <cellStyle name="Currency 8" xfId="163"/>
    <cellStyle name="Currency 8 2" xfId="164"/>
    <cellStyle name="Custom - Style1" xfId="165"/>
    <cellStyle name="Custom - Style8" xfId="166"/>
    <cellStyle name="Data   - Style2" xfId="167"/>
    <cellStyle name="Data Enter" xfId="168"/>
    <cellStyle name="Explanatory Text" xfId="169"/>
    <cellStyle name="Explanatory Text 2" xfId="170"/>
    <cellStyle name="F9ReportControlStyle_ctpInquire" xfId="171"/>
    <cellStyle name="FactSheet" xfId="172"/>
    <cellStyle name="Followed Hyperlink" xfId="173"/>
    <cellStyle name="Good" xfId="174"/>
    <cellStyle name="Good 2" xfId="175"/>
    <cellStyle name="Heading 1" xfId="176"/>
    <cellStyle name="Heading 1 2" xfId="177"/>
    <cellStyle name="Heading 2" xfId="178"/>
    <cellStyle name="Heading 2 2" xfId="179"/>
    <cellStyle name="Heading 3" xfId="180"/>
    <cellStyle name="Heading 3 2" xfId="181"/>
    <cellStyle name="Heading 4" xfId="182"/>
    <cellStyle name="Heading 4 2" xfId="183"/>
    <cellStyle name="Hyperlink" xfId="184"/>
    <cellStyle name="Hyperlink 2" xfId="185"/>
    <cellStyle name="Hyperlink 2 2" xfId="186"/>
    <cellStyle name="Hyperlink 3" xfId="187"/>
    <cellStyle name="Hyperlink 4" xfId="188"/>
    <cellStyle name="Input" xfId="189"/>
    <cellStyle name="Input 2" xfId="190"/>
    <cellStyle name="input(0)" xfId="191"/>
    <cellStyle name="Input(2)" xfId="192"/>
    <cellStyle name="Labels - Style3" xfId="193"/>
    <cellStyle name="Linked Cell" xfId="194"/>
    <cellStyle name="Linked Cell 2" xfId="195"/>
    <cellStyle name="Neutral" xfId="196"/>
    <cellStyle name="Neutral 2" xfId="197"/>
    <cellStyle name="New_normal" xfId="198"/>
    <cellStyle name="Normal - Style1" xfId="199"/>
    <cellStyle name="Normal - Style2" xfId="200"/>
    <cellStyle name="Normal - Style3" xfId="201"/>
    <cellStyle name="Normal - Style4" xfId="202"/>
    <cellStyle name="Normal - Style5" xfId="203"/>
    <cellStyle name="Normal - Style6" xfId="204"/>
    <cellStyle name="Normal - Style7" xfId="205"/>
    <cellStyle name="Normal - Style8" xfId="206"/>
    <cellStyle name="Normal 10" xfId="207"/>
    <cellStyle name="Normal 10 2" xfId="208"/>
    <cellStyle name="Normal 10 2 2" xfId="209"/>
    <cellStyle name="Normal 10 3" xfId="210"/>
    <cellStyle name="Normal 10 4" xfId="211"/>
    <cellStyle name="Normal 11" xfId="212"/>
    <cellStyle name="Normal 11 2" xfId="213"/>
    <cellStyle name="Normal 11 2 2" xfId="214"/>
    <cellStyle name="Normal 11 3" xfId="215"/>
    <cellStyle name="Normal 11 3 2" xfId="216"/>
    <cellStyle name="Normal 11 4" xfId="217"/>
    <cellStyle name="Normal 11 4 2" xfId="218"/>
    <cellStyle name="Normal 11 5" xfId="219"/>
    <cellStyle name="Normal 11 5 2" xfId="220"/>
    <cellStyle name="Normal 11 5 2 2" xfId="221"/>
    <cellStyle name="Normal 11 5 3" xfId="222"/>
    <cellStyle name="Normal 11 5 3 2" xfId="223"/>
    <cellStyle name="Normal 11 5 3 2 2" xfId="224"/>
    <cellStyle name="Normal 11 5 3 3" xfId="225"/>
    <cellStyle name="Normal 11 5 3 4" xfId="226"/>
    <cellStyle name="Normal 11 5 4" xfId="227"/>
    <cellStyle name="Normal 11 5 4 2" xfId="228"/>
    <cellStyle name="Normal 11 5 5" xfId="229"/>
    <cellStyle name="Normal 11 5 5 2" xfId="230"/>
    <cellStyle name="Normal 11 5 6" xfId="231"/>
    <cellStyle name="Normal 11 5 6 2" xfId="232"/>
    <cellStyle name="Normal 11 5 7" xfId="233"/>
    <cellStyle name="Normal 11 5 7 2" xfId="234"/>
    <cellStyle name="Normal 11 5 8" xfId="235"/>
    <cellStyle name="Normal 11 5 9" xfId="236"/>
    <cellStyle name="Normal 11 5_10070" xfId="237"/>
    <cellStyle name="Normal 11 6" xfId="238"/>
    <cellStyle name="Normal 11 6 2" xfId="239"/>
    <cellStyle name="Normal 11 7" xfId="240"/>
    <cellStyle name="Normal 11 8" xfId="241"/>
    <cellStyle name="Normal 12" xfId="242"/>
    <cellStyle name="Normal 12 2" xfId="243"/>
    <cellStyle name="Normal 12 3" xfId="244"/>
    <cellStyle name="Normal 13" xfId="245"/>
    <cellStyle name="Normal 13 2" xfId="246"/>
    <cellStyle name="Normal 13 3" xfId="247"/>
    <cellStyle name="Normal 14" xfId="248"/>
    <cellStyle name="Normal 14 2" xfId="249"/>
    <cellStyle name="Normal 14 3" xfId="250"/>
    <cellStyle name="Normal 15" xfId="251"/>
    <cellStyle name="Normal 15 2" xfId="252"/>
    <cellStyle name="Normal 16" xfId="253"/>
    <cellStyle name="Normal 16 2" xfId="254"/>
    <cellStyle name="Normal 17" xfId="255"/>
    <cellStyle name="Normal 17 2" xfId="256"/>
    <cellStyle name="Normal 18" xfId="257"/>
    <cellStyle name="Normal 18 2" xfId="258"/>
    <cellStyle name="Normal 19" xfId="259"/>
    <cellStyle name="Normal 19 2" xfId="260"/>
    <cellStyle name="Normal 2" xfId="261"/>
    <cellStyle name="Normal 2 2" xfId="262"/>
    <cellStyle name="Normal 2 2 2" xfId="263"/>
    <cellStyle name="Normal 2 2 2 2" xfId="264"/>
    <cellStyle name="Normal 2 2 2 2 2" xfId="265"/>
    <cellStyle name="Normal 2 2 2 2 2 2" xfId="266"/>
    <cellStyle name="Normal 2 2 2 2 3" xfId="267"/>
    <cellStyle name="Normal 2 2 2 2 4" xfId="268"/>
    <cellStyle name="Normal 2 2 2 3" xfId="269"/>
    <cellStyle name="Normal 2 2 2 3 2" xfId="270"/>
    <cellStyle name="Normal 2 2 2 4" xfId="271"/>
    <cellStyle name="Normal 2 2 2 5" xfId="272"/>
    <cellStyle name="Normal 2 2 2_Epicor" xfId="273"/>
    <cellStyle name="Normal 2 2 3" xfId="274"/>
    <cellStyle name="Normal 2 2 3 2" xfId="275"/>
    <cellStyle name="Normal 2 2 3 2 2" xfId="276"/>
    <cellStyle name="Normal 2 2 3 3" xfId="277"/>
    <cellStyle name="Normal 2 2 3 4" xfId="278"/>
    <cellStyle name="Normal 2 2 4" xfId="279"/>
    <cellStyle name="Normal 2 2 4 2" xfId="280"/>
    <cellStyle name="Normal 2 2 5" xfId="281"/>
    <cellStyle name="Normal 2 2 6" xfId="282"/>
    <cellStyle name="Normal 2 2_10051" xfId="283"/>
    <cellStyle name="Normal 2 3" xfId="284"/>
    <cellStyle name="Normal 2 3 2" xfId="285"/>
    <cellStyle name="Normal 2 3_CloseManagement" xfId="286"/>
    <cellStyle name="Normal 2 4" xfId="287"/>
    <cellStyle name="Normal 2 4 2" xfId="288"/>
    <cellStyle name="Normal 2 5" xfId="289"/>
    <cellStyle name="Normal 2 6" xfId="290"/>
    <cellStyle name="Normal 2 7" xfId="291"/>
    <cellStyle name="Normal 2_2012-10" xfId="292"/>
    <cellStyle name="Normal 20" xfId="293"/>
    <cellStyle name="Normal 21" xfId="294"/>
    <cellStyle name="Normal 22" xfId="295"/>
    <cellStyle name="Normal 23" xfId="296"/>
    <cellStyle name="Normal 24" xfId="297"/>
    <cellStyle name="Normal 25" xfId="298"/>
    <cellStyle name="Normal 26" xfId="299"/>
    <cellStyle name="Normal 27" xfId="300"/>
    <cellStyle name="Normal 28" xfId="301"/>
    <cellStyle name="Normal 29" xfId="302"/>
    <cellStyle name="Normal 3" xfId="303"/>
    <cellStyle name="Normal 3 2" xfId="304"/>
    <cellStyle name="Normal 3 2 2" xfId="305"/>
    <cellStyle name="Normal 3 2 2 2" xfId="306"/>
    <cellStyle name="Normal 3 2 3" xfId="307"/>
    <cellStyle name="Normal 3 2 4" xfId="308"/>
    <cellStyle name="Normal 3_10051" xfId="309"/>
    <cellStyle name="Normal 30" xfId="310"/>
    <cellStyle name="Normal 31" xfId="311"/>
    <cellStyle name="Normal 32" xfId="312"/>
    <cellStyle name="Normal 33" xfId="313"/>
    <cellStyle name="Normal 34" xfId="314"/>
    <cellStyle name="Normal 35" xfId="315"/>
    <cellStyle name="Normal 36" xfId="316"/>
    <cellStyle name="Normal 37" xfId="317"/>
    <cellStyle name="Normal 38" xfId="318"/>
    <cellStyle name="Normal 39" xfId="319"/>
    <cellStyle name="Normal 4" xfId="320"/>
    <cellStyle name="Normal 4 2" xfId="321"/>
    <cellStyle name="Normal 4 2 2" xfId="322"/>
    <cellStyle name="Normal 40" xfId="323"/>
    <cellStyle name="Normal 41" xfId="324"/>
    <cellStyle name="Normal 42" xfId="325"/>
    <cellStyle name="Normal 43" xfId="326"/>
    <cellStyle name="Normal 44" xfId="327"/>
    <cellStyle name="Normal 45" xfId="328"/>
    <cellStyle name="Normal 46" xfId="329"/>
    <cellStyle name="Normal 47" xfId="330"/>
    <cellStyle name="Normal 48" xfId="331"/>
    <cellStyle name="Normal 49" xfId="332"/>
    <cellStyle name="Normal 5" xfId="333"/>
    <cellStyle name="Normal 5 2" xfId="334"/>
    <cellStyle name="Normal 5 2 2" xfId="335"/>
    <cellStyle name="Normal 5 2 2 2" xfId="336"/>
    <cellStyle name="Normal 5 2 3" xfId="337"/>
    <cellStyle name="Normal 5 2 3 2" xfId="338"/>
    <cellStyle name="Normal 5 2 4" xfId="339"/>
    <cellStyle name="Normal 5 2 4 2" xfId="340"/>
    <cellStyle name="Normal 5 2 5" xfId="341"/>
    <cellStyle name="Normal 5 2 5 2" xfId="342"/>
    <cellStyle name="Normal 5 2 5 2 2" xfId="343"/>
    <cellStyle name="Normal 5 2 5 3" xfId="344"/>
    <cellStyle name="Normal 5 2 5 3 2" xfId="345"/>
    <cellStyle name="Normal 5 2 5 3 2 2" xfId="346"/>
    <cellStyle name="Normal 5 2 5 3 3" xfId="347"/>
    <cellStyle name="Normal 5 2 5 3 4" xfId="348"/>
    <cellStyle name="Normal 5 2 5 4" xfId="349"/>
    <cellStyle name="Normal 5 2 5 4 2" xfId="350"/>
    <cellStyle name="Normal 5 2 5 5" xfId="351"/>
    <cellStyle name="Normal 5 2 5 5 2" xfId="352"/>
    <cellStyle name="Normal 5 2 5 6" xfId="353"/>
    <cellStyle name="Normal 5 2 5 6 2" xfId="354"/>
    <cellStyle name="Normal 5 2 5 7" xfId="355"/>
    <cellStyle name="Normal 5 2 5 7 2" xfId="356"/>
    <cellStyle name="Normal 5 2 5 8" xfId="357"/>
    <cellStyle name="Normal 5 2 5 9" xfId="358"/>
    <cellStyle name="Normal 5 2 5_10070" xfId="359"/>
    <cellStyle name="Normal 5 2 6" xfId="360"/>
    <cellStyle name="Normal 5 2 6 2" xfId="361"/>
    <cellStyle name="Normal 5 2 7" xfId="362"/>
    <cellStyle name="Normal 5 3" xfId="363"/>
    <cellStyle name="Normal 5 3 2" xfId="364"/>
    <cellStyle name="Normal 5 4" xfId="365"/>
    <cellStyle name="Normal 5 5" xfId="366"/>
    <cellStyle name="Normal 5_10051" xfId="367"/>
    <cellStyle name="Normal 50" xfId="368"/>
    <cellStyle name="Normal 51" xfId="369"/>
    <cellStyle name="Normal 52" xfId="370"/>
    <cellStyle name="Normal 53" xfId="371"/>
    <cellStyle name="Normal 54" xfId="372"/>
    <cellStyle name="Normal 55" xfId="373"/>
    <cellStyle name="Normal 56" xfId="374"/>
    <cellStyle name="Normal 57" xfId="375"/>
    <cellStyle name="Normal 58" xfId="376"/>
    <cellStyle name="Normal 59" xfId="377"/>
    <cellStyle name="Normal 6" xfId="378"/>
    <cellStyle name="Normal 6 2" xfId="379"/>
    <cellStyle name="Normal 6 2 2" xfId="380"/>
    <cellStyle name="Normal 6 3" xfId="381"/>
    <cellStyle name="Normal 6 4" xfId="382"/>
    <cellStyle name="Normal 60" xfId="383"/>
    <cellStyle name="Normal 61" xfId="384"/>
    <cellStyle name="Normal 62" xfId="385"/>
    <cellStyle name="Normal 63" xfId="386"/>
    <cellStyle name="Normal 64" xfId="387"/>
    <cellStyle name="Normal 65" xfId="388"/>
    <cellStyle name="Normal 66" xfId="389"/>
    <cellStyle name="Normal 67" xfId="390"/>
    <cellStyle name="Normal 68" xfId="391"/>
    <cellStyle name="Normal 69" xfId="392"/>
    <cellStyle name="Normal 7" xfId="393"/>
    <cellStyle name="Normal 7 2" xfId="394"/>
    <cellStyle name="Normal 7 2 2" xfId="395"/>
    <cellStyle name="Normal 7 3" xfId="396"/>
    <cellStyle name="Normal 7 4" xfId="397"/>
    <cellStyle name="Normal 70" xfId="398"/>
    <cellStyle name="Normal 71" xfId="399"/>
    <cellStyle name="Normal 72" xfId="400"/>
    <cellStyle name="Normal 73" xfId="401"/>
    <cellStyle name="Normal 74" xfId="402"/>
    <cellStyle name="Normal 75" xfId="403"/>
    <cellStyle name="Normal 76" xfId="404"/>
    <cellStyle name="Normal 77" xfId="405"/>
    <cellStyle name="Normal 78" xfId="406"/>
    <cellStyle name="Normal 79" xfId="407"/>
    <cellStyle name="Normal 8" xfId="408"/>
    <cellStyle name="Normal 8 2" xfId="409"/>
    <cellStyle name="Normal 8 2 2" xfId="410"/>
    <cellStyle name="Normal 8 3" xfId="411"/>
    <cellStyle name="Normal 8 4" xfId="412"/>
    <cellStyle name="Normal 80" xfId="413"/>
    <cellStyle name="Normal 81" xfId="414"/>
    <cellStyle name="Normal 82" xfId="415"/>
    <cellStyle name="Normal 83" xfId="416"/>
    <cellStyle name="Normal 84" xfId="417"/>
    <cellStyle name="Normal 84 2" xfId="418"/>
    <cellStyle name="Normal 85" xfId="419"/>
    <cellStyle name="Normal 85 2" xfId="420"/>
    <cellStyle name="Normal 86" xfId="421"/>
    <cellStyle name="Normal 86 2" xfId="422"/>
    <cellStyle name="Normal 87" xfId="423"/>
    <cellStyle name="Normal 87 2" xfId="424"/>
    <cellStyle name="Normal 88" xfId="425"/>
    <cellStyle name="Normal 88 2" xfId="426"/>
    <cellStyle name="Normal 89" xfId="427"/>
    <cellStyle name="Normal 9" xfId="428"/>
    <cellStyle name="Normal 9 2" xfId="429"/>
    <cellStyle name="Normal 9 2 2" xfId="430"/>
    <cellStyle name="Normal 9 2 2 2" xfId="431"/>
    <cellStyle name="Normal 9 2 3" xfId="432"/>
    <cellStyle name="Normal 9 2 3 2" xfId="433"/>
    <cellStyle name="Normal 9 2 4" xfId="434"/>
    <cellStyle name="Normal 9 2 4 2" xfId="435"/>
    <cellStyle name="Normal 9 2 5" xfId="436"/>
    <cellStyle name="Normal 9 2 5 2" xfId="437"/>
    <cellStyle name="Normal 9 2 5 2 2" xfId="438"/>
    <cellStyle name="Normal 9 2 5 3" xfId="439"/>
    <cellStyle name="Normal 9 2 5 3 2" xfId="440"/>
    <cellStyle name="Normal 9 2 5 3 2 2" xfId="441"/>
    <cellStyle name="Normal 9 2 5 3 3" xfId="442"/>
    <cellStyle name="Normal 9 2 5 3 4" xfId="443"/>
    <cellStyle name="Normal 9 2 5 4" xfId="444"/>
    <cellStyle name="Normal 9 2 5 4 2" xfId="445"/>
    <cellStyle name="Normal 9 2 5 5" xfId="446"/>
    <cellStyle name="Normal 9 2 5 6" xfId="447"/>
    <cellStyle name="Normal 9 2 5_10070" xfId="448"/>
    <cellStyle name="Normal 9 2 6" xfId="449"/>
    <cellStyle name="Normal 9 3" xfId="450"/>
    <cellStyle name="Normal 9 3 2" xfId="451"/>
    <cellStyle name="Normal 9 4" xfId="452"/>
    <cellStyle name="Normal 9 4 2" xfId="453"/>
    <cellStyle name="Normal 9 5" xfId="454"/>
    <cellStyle name="Normal 9 5 2" xfId="455"/>
    <cellStyle name="Normal 9 5 2 2" xfId="456"/>
    <cellStyle name="Normal 9 5 3" xfId="457"/>
    <cellStyle name="Normal 9 5 3 2" xfId="458"/>
    <cellStyle name="Normal 9 5 3 2 2" xfId="459"/>
    <cellStyle name="Normal 9 5 3 3" xfId="460"/>
    <cellStyle name="Normal 9 5 3 4" xfId="461"/>
    <cellStyle name="Normal 9 5 4" xfId="462"/>
    <cellStyle name="Normal 9 5 4 2" xfId="463"/>
    <cellStyle name="Normal 9 5 5" xfId="464"/>
    <cellStyle name="Normal 9 5 6" xfId="465"/>
    <cellStyle name="Normal 9 5_10070" xfId="466"/>
    <cellStyle name="Normal 9 6" xfId="467"/>
    <cellStyle name="Normal 9 6 2" xfId="468"/>
    <cellStyle name="Normal 9 7" xfId="469"/>
    <cellStyle name="Normal 9 8" xfId="470"/>
    <cellStyle name="Normal 90" xfId="471"/>
    <cellStyle name="Normal 91" xfId="472"/>
    <cellStyle name="Normal 92" xfId="473"/>
    <cellStyle name="Normal 93" xfId="474"/>
    <cellStyle name="Normal 94" xfId="475"/>
    <cellStyle name="Normal_Joe's 1-1-2004" xfId="476"/>
    <cellStyle name="Normal_PCR 3-1-02" xfId="477"/>
    <cellStyle name="Normal_PCR 3-1-02 2" xfId="478"/>
    <cellStyle name="Normal_Trial reporting Sheet 3" xfId="479"/>
    <cellStyle name="Normal_Trial reporting Sheet 3 2 2" xfId="480"/>
    <cellStyle name="Note" xfId="481"/>
    <cellStyle name="Note 2" xfId="482"/>
    <cellStyle name="Note 2 2" xfId="483"/>
    <cellStyle name="Note 2 3" xfId="484"/>
    <cellStyle name="Notes" xfId="485"/>
    <cellStyle name="Output" xfId="486"/>
    <cellStyle name="Output 2" xfId="487"/>
    <cellStyle name="Percent" xfId="488"/>
    <cellStyle name="Percent 10" xfId="489"/>
    <cellStyle name="Percent 2" xfId="490"/>
    <cellStyle name="Percent 2 2" xfId="491"/>
    <cellStyle name="Percent 2 3" xfId="492"/>
    <cellStyle name="Percent 3" xfId="493"/>
    <cellStyle name="Percent 4" xfId="494"/>
    <cellStyle name="Percent 4 2" xfId="495"/>
    <cellStyle name="Percent 5" xfId="496"/>
    <cellStyle name="Percent 6" xfId="497"/>
    <cellStyle name="Percent 7" xfId="498"/>
    <cellStyle name="Percent 8" xfId="499"/>
    <cellStyle name="Percent 8 2" xfId="500"/>
    <cellStyle name="Percent 8 3" xfId="501"/>
    <cellStyle name="Percent 9" xfId="502"/>
    <cellStyle name="Percent 9 2" xfId="503"/>
    <cellStyle name="Percent(1)" xfId="504"/>
    <cellStyle name="Percent(2)" xfId="505"/>
    <cellStyle name="PRM" xfId="506"/>
    <cellStyle name="PRM 2" xfId="507"/>
    <cellStyle name="PRM 3" xfId="508"/>
    <cellStyle name="PRM_2011-11" xfId="509"/>
    <cellStyle name="PSChar" xfId="510"/>
    <cellStyle name="PSHeading" xfId="511"/>
    <cellStyle name="Reset  - Style4" xfId="512"/>
    <cellStyle name="Reset  - Style7" xfId="513"/>
    <cellStyle name="Style 1" xfId="514"/>
    <cellStyle name="Style 1 2" xfId="515"/>
    <cellStyle name="Style 1 3" xfId="516"/>
    <cellStyle name="STYLE1" xfId="517"/>
    <cellStyle name="Table  - Style5" xfId="518"/>
    <cellStyle name="Table  - Style6" xfId="519"/>
    <cellStyle name="Title" xfId="520"/>
    <cellStyle name="Title  - Style1" xfId="521"/>
    <cellStyle name="Title  - Style6" xfId="522"/>
    <cellStyle name="Title 2" xfId="523"/>
    <cellStyle name="Total" xfId="524"/>
    <cellStyle name="Total 2" xfId="525"/>
    <cellStyle name="TotCol - Style5" xfId="526"/>
    <cellStyle name="TotCol - Style7" xfId="527"/>
    <cellStyle name="TotRow - Style4" xfId="528"/>
    <cellStyle name="TotRow - Style8" xfId="529"/>
    <cellStyle name="Warning Text" xfId="530"/>
    <cellStyle name="Warning Text 2" xfId="5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stfile01\Distshares\Western%20Region\WUTC\County%20Reporting\Pierce%20County\2018\Lemay%20-%20PCR\Pierce%20County%20Recycle%202018%20-%20Data%20from%20Distri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CR%20-%20EQR%20Commodity%20Credit%209-1-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estfile01\Distshares\Western%20Region\WUTC\WIP%20Files\LeMay%20Companies\2018\Commodity%20Credit%203-1-18\Support\Pioneer%20Invoices\Waste%20Connections%2012-2017%20Pricing%20Matrix%20(b).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stfile01\Distshares\Western%20Region\WUTC\WIP%20Files\2111%20Murrey's\Commodity%20Credit\Credit%20eff%209-1-2018\Murrey's%20-American%20Commodity%20Credit,%209.1.1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R%20-%20EQR%20Commodity%20Credit%2010-1-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estfile01\Distshares\Western%20Region\ControllerDir\Northern_Washington\Misc\N%20LeMay\WUTC\PCR_Commodity%20Reporting\2018\2180_Price%20Out%20by%20Bill%20Area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erce County"/>
      <sheetName val="Multifamily"/>
      <sheetName val="EQR"/>
      <sheetName val="Towns"/>
      <sheetName val="Lakewood"/>
      <sheetName val="Raw Data"/>
      <sheetName val="City of Lakewood"/>
    </sheetNames>
    <sheetDataSet>
      <sheetData sheetId="5">
        <row r="73">
          <cell r="B73">
            <v>484.98622000000006</v>
          </cell>
          <cell r="C73">
            <v>369.193536</v>
          </cell>
          <cell r="D73">
            <v>441.583352</v>
          </cell>
          <cell r="E73">
            <v>0</v>
          </cell>
          <cell r="F73">
            <v>0</v>
          </cell>
          <cell r="G73">
            <v>0</v>
          </cell>
        </row>
        <row r="74">
          <cell r="B74">
            <v>305.64125</v>
          </cell>
          <cell r="C74">
            <v>232.66799999999998</v>
          </cell>
          <cell r="D74">
            <v>278.2885</v>
          </cell>
          <cell r="E74">
            <v>169.185513</v>
          </cell>
          <cell r="F74">
            <v>189.269857</v>
          </cell>
          <cell r="G74">
            <v>189.84641200000002</v>
          </cell>
        </row>
        <row r="75">
          <cell r="B75">
            <v>37.846360000000004</v>
          </cell>
          <cell r="C75">
            <v>28.810368</v>
          </cell>
          <cell r="D75">
            <v>34.459376</v>
          </cell>
          <cell r="E75">
            <v>454.11633</v>
          </cell>
          <cell r="F75">
            <v>508.02537</v>
          </cell>
          <cell r="G75">
            <v>509.57292000000007</v>
          </cell>
        </row>
        <row r="76">
          <cell r="B76">
            <v>27.959530000000004</v>
          </cell>
          <cell r="C76">
            <v>21.284064</v>
          </cell>
          <cell r="D76">
            <v>25.457348</v>
          </cell>
          <cell r="E76">
            <v>22.831263</v>
          </cell>
          <cell r="F76">
            <v>25.541607</v>
          </cell>
          <cell r="G76">
            <v>25.619412000000004</v>
          </cell>
        </row>
        <row r="77">
          <cell r="B77">
            <v>11.37517</v>
          </cell>
          <cell r="C77">
            <v>8.659296</v>
          </cell>
          <cell r="D77">
            <v>10.357172</v>
          </cell>
          <cell r="E77">
            <v>8.948516999999999</v>
          </cell>
          <cell r="F77">
            <v>10.010812999999999</v>
          </cell>
          <cell r="G77">
            <v>10.041308</v>
          </cell>
        </row>
        <row r="78">
          <cell r="B78">
            <v>11.37517</v>
          </cell>
          <cell r="C78">
            <v>8.659296</v>
          </cell>
          <cell r="D78">
            <v>10.357172</v>
          </cell>
          <cell r="E78">
            <v>8.948516999999999</v>
          </cell>
          <cell r="F78">
            <v>10.010812999999999</v>
          </cell>
          <cell r="G78">
            <v>10.041308</v>
          </cell>
        </row>
        <row r="79">
          <cell r="B79">
            <v>0</v>
          </cell>
          <cell r="C79">
            <v>0</v>
          </cell>
          <cell r="D79">
            <v>0</v>
          </cell>
          <cell r="E79">
            <v>4.097918999999999</v>
          </cell>
          <cell r="F79">
            <v>4.584390999999999</v>
          </cell>
          <cell r="G79">
            <v>4.598356</v>
          </cell>
        </row>
        <row r="80">
          <cell r="B80">
            <v>2.6577500000000005</v>
          </cell>
          <cell r="C80">
            <v>2.0232</v>
          </cell>
          <cell r="D80">
            <v>2.4199</v>
          </cell>
          <cell r="E80">
            <v>3.34524</v>
          </cell>
          <cell r="F80">
            <v>3.7423599999999997</v>
          </cell>
          <cell r="G80">
            <v>3.75376</v>
          </cell>
        </row>
        <row r="81">
          <cell r="B81">
            <v>87.06789</v>
          </cell>
          <cell r="C81">
            <v>66.28003199999999</v>
          </cell>
          <cell r="D81">
            <v>79.275924</v>
          </cell>
          <cell r="E81">
            <v>68.49378899999999</v>
          </cell>
          <cell r="F81">
            <v>76.624821</v>
          </cell>
          <cell r="G81">
            <v>76.858236</v>
          </cell>
        </row>
        <row r="82">
          <cell r="B82">
            <v>10.843620000000001</v>
          </cell>
          <cell r="C82">
            <v>8.254656</v>
          </cell>
          <cell r="D82">
            <v>9.873192000000001</v>
          </cell>
          <cell r="E82">
            <v>8.530362</v>
          </cell>
          <cell r="F82">
            <v>9.543018</v>
          </cell>
          <cell r="G82">
            <v>9.572088</v>
          </cell>
        </row>
        <row r="83">
          <cell r="B83">
            <v>23.600820000000002</v>
          </cell>
          <cell r="C83">
            <v>17.966016</v>
          </cell>
          <cell r="D83">
            <v>21.488712000000003</v>
          </cell>
          <cell r="E83">
            <v>18.566081999999998</v>
          </cell>
          <cell r="F83">
            <v>20.770098</v>
          </cell>
          <cell r="G83">
            <v>20.833368000000004</v>
          </cell>
        </row>
        <row r="84">
          <cell r="B84">
            <v>3.1893000000000007</v>
          </cell>
          <cell r="C84">
            <v>2.4278399999999998</v>
          </cell>
          <cell r="D84">
            <v>2.90388</v>
          </cell>
          <cell r="E84">
            <v>2.50893</v>
          </cell>
          <cell r="F84">
            <v>2.8067699999999998</v>
          </cell>
          <cell r="G84">
            <v>2.8153200000000003</v>
          </cell>
        </row>
        <row r="85">
          <cell r="B85">
            <v>54.21810000000001</v>
          </cell>
          <cell r="C85">
            <v>41.27327999999999</v>
          </cell>
          <cell r="D85">
            <v>49.36596</v>
          </cell>
          <cell r="E85">
            <v>64.563132</v>
          </cell>
          <cell r="F85">
            <v>72.227548</v>
          </cell>
          <cell r="G85">
            <v>72.447568</v>
          </cell>
        </row>
        <row r="86">
          <cell r="B86">
            <v>2.76406</v>
          </cell>
          <cell r="C86">
            <v>2.1041279999999998</v>
          </cell>
          <cell r="D86">
            <v>2.516696</v>
          </cell>
          <cell r="E86">
            <v>2.174406</v>
          </cell>
          <cell r="F86">
            <v>2.4325339999999995</v>
          </cell>
          <cell r="G86">
            <v>2.439944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odity Credit 3-1-2018"/>
      <sheetName val="Commodity Credit 9-1-18"/>
    </sheetNames>
    <sheetDataSet>
      <sheetData sheetId="0">
        <row r="55">
          <cell r="N55">
            <v>-15109.29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 Glass"/>
      <sheetName val="With Glass"/>
    </sheetNames>
    <sheetDataSet>
      <sheetData sheetId="0">
        <row r="12">
          <cell r="F12">
            <v>12.170000000000009</v>
          </cell>
        </row>
        <row r="13">
          <cell r="F13">
            <v>67.17000000000002</v>
          </cell>
        </row>
        <row r="14">
          <cell r="F14">
            <v>-67.82999999999998</v>
          </cell>
        </row>
        <row r="16">
          <cell r="F16">
            <v>17.17000000000001</v>
          </cell>
        </row>
        <row r="17">
          <cell r="F17">
            <v>202.17000000000002</v>
          </cell>
        </row>
        <row r="18">
          <cell r="F18">
            <v>532.17</v>
          </cell>
        </row>
        <row r="19">
          <cell r="F19">
            <v>-157.82999999999998</v>
          </cell>
        </row>
        <row r="23">
          <cell r="F23">
            <v>1282.17</v>
          </cell>
        </row>
        <row r="24">
          <cell r="F24">
            <v>82.17000000000002</v>
          </cell>
        </row>
        <row r="26">
          <cell r="F26">
            <v>-222.82999999999998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tial credit"/>
      <sheetName val="First year adj"/>
      <sheetName val="1st yr actual"/>
      <sheetName val="Second year adj"/>
      <sheetName val="2nd year actual"/>
      <sheetName val="Third Year adj"/>
      <sheetName val="3rd year actual"/>
      <sheetName val="MF_initial"/>
      <sheetName val="Fourth Year adj"/>
      <sheetName val="4th year actual"/>
      <sheetName val="Fifth Year Adj"/>
      <sheetName val="5th year actual"/>
      <sheetName val="Sixth Year Adj"/>
      <sheetName val="6th year actual"/>
      <sheetName val="Expl 6th yr"/>
      <sheetName val="7th year adj"/>
      <sheetName val="7th year actual"/>
      <sheetName val="8th year adj"/>
      <sheetName val="8th year actual"/>
      <sheetName val="9th year adj"/>
      <sheetName val="9th year actual"/>
      <sheetName val="10th year adj"/>
      <sheetName val="10th year actual"/>
      <sheetName val="11th year adj"/>
      <sheetName val="11th year actual"/>
      <sheetName val="12th year adj"/>
      <sheetName val="12th year actual"/>
      <sheetName val="13th year adj"/>
      <sheetName val="13th year actual"/>
      <sheetName val="14th year adj"/>
      <sheetName val="14th year actual"/>
      <sheetName val="15th year adj"/>
      <sheetName val="15th year actual"/>
      <sheetName val="16th year adj"/>
      <sheetName val="16th year actual"/>
      <sheetName val="17th year adj"/>
      <sheetName val="17th year actual"/>
      <sheetName val="18th year actual"/>
      <sheetName val="18th year adj (1st half) Orig"/>
      <sheetName val="18th year adj (1st half) Rev"/>
      <sheetName val="18th year adj (2nd half)"/>
      <sheetName val="18th year actual (2nd half)"/>
      <sheetName val="Support"/>
    </sheetNames>
    <sheetDataSet>
      <sheetData sheetId="41">
        <row r="25">
          <cell r="B25">
            <v>12.170000000000009</v>
          </cell>
          <cell r="C25">
            <v>-67.82999999999998</v>
          </cell>
          <cell r="D25">
            <v>67.17000000000002</v>
          </cell>
          <cell r="E25">
            <v>1282.17</v>
          </cell>
          <cell r="F25">
            <v>82.17000000000002</v>
          </cell>
          <cell r="G25">
            <v>17.17000000000001</v>
          </cell>
          <cell r="H25">
            <v>202.17000000000002</v>
          </cell>
          <cell r="I25">
            <v>532.17</v>
          </cell>
          <cell r="J25">
            <v>-157.82999999999998</v>
          </cell>
          <cell r="K25">
            <v>0</v>
          </cell>
          <cell r="L25">
            <v>0</v>
          </cell>
          <cell r="M25">
            <v>0</v>
          </cell>
          <cell r="N25">
            <v>0</v>
          </cell>
          <cell r="O25">
            <v>0</v>
          </cell>
          <cell r="P25">
            <v>0</v>
          </cell>
          <cell r="Q25">
            <v>-222.82999999999998</v>
          </cell>
        </row>
        <row r="26">
          <cell r="B26">
            <v>-89.78</v>
          </cell>
          <cell r="C26">
            <v>-89.78</v>
          </cell>
          <cell r="D26">
            <v>65.22</v>
          </cell>
          <cell r="E26">
            <v>1320.22</v>
          </cell>
          <cell r="F26">
            <v>102.22</v>
          </cell>
          <cell r="G26">
            <v>15.220000000000006</v>
          </cell>
          <cell r="H26">
            <v>190.22</v>
          </cell>
          <cell r="I26">
            <v>560.22</v>
          </cell>
          <cell r="J26">
            <v>-159.78</v>
          </cell>
          <cell r="K26">
            <v>-19.78</v>
          </cell>
          <cell r="L26">
            <v>0</v>
          </cell>
          <cell r="M26">
            <v>-120.78</v>
          </cell>
          <cell r="N26">
            <v>0.22000000000000597</v>
          </cell>
          <cell r="O26">
            <v>0</v>
          </cell>
          <cell r="P26">
            <v>0</v>
          </cell>
          <cell r="Q26">
            <v>-237.15999999999997</v>
          </cell>
        </row>
        <row r="27">
          <cell r="B27">
            <v>-89.78</v>
          </cell>
          <cell r="C27">
            <v>-89.78</v>
          </cell>
          <cell r="D27">
            <v>10.220000000000006</v>
          </cell>
          <cell r="E27">
            <v>1320.22</v>
          </cell>
          <cell r="F27">
            <v>97.22</v>
          </cell>
          <cell r="G27">
            <v>25.220000000000006</v>
          </cell>
          <cell r="H27">
            <v>240.22</v>
          </cell>
          <cell r="I27">
            <v>540.22</v>
          </cell>
          <cell r="J27">
            <v>-159.78</v>
          </cell>
          <cell r="K27">
            <v>-19.78</v>
          </cell>
          <cell r="L27">
            <v>0</v>
          </cell>
          <cell r="M27">
            <v>-120.78</v>
          </cell>
          <cell r="N27">
            <v>0.22000000000000597</v>
          </cell>
          <cell r="O27">
            <v>-125.4</v>
          </cell>
          <cell r="P27">
            <v>-237.15999999999997</v>
          </cell>
          <cell r="Q27">
            <v>0</v>
          </cell>
        </row>
        <row r="28">
          <cell r="B28">
            <v>-142.78</v>
          </cell>
          <cell r="C28">
            <v>-142.78</v>
          </cell>
          <cell r="D28">
            <v>-46.779999999999994</v>
          </cell>
          <cell r="E28">
            <v>1305.22</v>
          </cell>
          <cell r="F28">
            <v>62.220000000000006</v>
          </cell>
          <cell r="G28">
            <v>35.220000000000006</v>
          </cell>
          <cell r="H28">
            <v>215.22</v>
          </cell>
          <cell r="I28">
            <v>535.22</v>
          </cell>
          <cell r="J28">
            <v>-204.78</v>
          </cell>
          <cell r="K28">
            <v>-64.78</v>
          </cell>
          <cell r="L28">
            <v>0</v>
          </cell>
          <cell r="M28">
            <v>-165.78</v>
          </cell>
          <cell r="N28">
            <v>-44.779999999999994</v>
          </cell>
          <cell r="O28">
            <v>-170.4</v>
          </cell>
          <cell r="P28">
            <v>-282.15999999999997</v>
          </cell>
          <cell r="Q28">
            <v>0</v>
          </cell>
        </row>
        <row r="29">
          <cell r="B29">
            <v>-147.78</v>
          </cell>
          <cell r="C29">
            <v>-147.78</v>
          </cell>
          <cell r="D29">
            <v>-54.779999999999994</v>
          </cell>
          <cell r="E29">
            <v>1305.22</v>
          </cell>
          <cell r="F29">
            <v>72.22</v>
          </cell>
          <cell r="G29">
            <v>45.220000000000006</v>
          </cell>
          <cell r="H29">
            <v>245.22000000000003</v>
          </cell>
          <cell r="I29">
            <v>555.22</v>
          </cell>
          <cell r="J29">
            <v>-204.78</v>
          </cell>
          <cell r="K29">
            <v>0</v>
          </cell>
          <cell r="L29">
            <v>-44.779999999999994</v>
          </cell>
          <cell r="M29">
            <v>-169.88</v>
          </cell>
          <cell r="N29">
            <v>-44.779999999999994</v>
          </cell>
          <cell r="O29">
            <v>-170.4</v>
          </cell>
          <cell r="P29">
            <v>-282.15999999999997</v>
          </cell>
          <cell r="Q29">
            <v>0</v>
          </cell>
        </row>
        <row r="30">
          <cell r="B30">
            <v>-144.78</v>
          </cell>
          <cell r="C30">
            <v>-144.78</v>
          </cell>
          <cell r="D30">
            <v>-54.779999999999994</v>
          </cell>
          <cell r="E30">
            <v>1340.22</v>
          </cell>
          <cell r="F30">
            <v>62.220000000000006</v>
          </cell>
          <cell r="G30">
            <v>55.220000000000006</v>
          </cell>
          <cell r="H30">
            <v>175.22</v>
          </cell>
          <cell r="I30">
            <v>545.22</v>
          </cell>
          <cell r="J30">
            <v>-174.78</v>
          </cell>
          <cell r="K30">
            <v>0</v>
          </cell>
          <cell r="L30">
            <v>-34.779999999999994</v>
          </cell>
          <cell r="M30">
            <v>-169.88</v>
          </cell>
          <cell r="N30">
            <v>-44.779999999999994</v>
          </cell>
          <cell r="O30">
            <v>-170.4</v>
          </cell>
          <cell r="P30">
            <v>-282.15999999999997</v>
          </cell>
          <cell r="Q30">
            <v>0</v>
          </cell>
        </row>
        <row r="31">
          <cell r="B31">
            <v>-134.78</v>
          </cell>
          <cell r="C31">
            <v>-134.78</v>
          </cell>
          <cell r="D31">
            <v>-47.779999999999994</v>
          </cell>
          <cell r="E31">
            <v>1475.22</v>
          </cell>
          <cell r="F31">
            <v>57.220000000000006</v>
          </cell>
          <cell r="G31">
            <v>95.22</v>
          </cell>
          <cell r="H31">
            <v>205.22</v>
          </cell>
          <cell r="I31">
            <v>605.22</v>
          </cell>
          <cell r="J31">
            <v>-174.78</v>
          </cell>
          <cell r="K31">
            <v>0</v>
          </cell>
          <cell r="L31">
            <v>-4.779999999999994</v>
          </cell>
          <cell r="M31">
            <v>-169.88</v>
          </cell>
          <cell r="N31">
            <v>-24.779999999999994</v>
          </cell>
          <cell r="O31">
            <v>-170.4</v>
          </cell>
          <cell r="P31">
            <v>-282.15999999999997</v>
          </cell>
          <cell r="Q31">
            <v>0</v>
          </cell>
        </row>
        <row r="49">
          <cell r="B49">
            <v>-134.78</v>
          </cell>
          <cell r="C49">
            <v>-134.78</v>
          </cell>
          <cell r="D49">
            <v>20.220000000000006</v>
          </cell>
          <cell r="E49">
            <v>1275.22</v>
          </cell>
          <cell r="F49">
            <v>57.220000000000006</v>
          </cell>
          <cell r="G49">
            <v>-29.779999999999994</v>
          </cell>
          <cell r="H49">
            <v>145.22</v>
          </cell>
          <cell r="I49">
            <v>515.22</v>
          </cell>
          <cell r="J49">
            <v>-204.78</v>
          </cell>
          <cell r="K49">
            <v>-64.78</v>
          </cell>
          <cell r="L49">
            <v>0</v>
          </cell>
          <cell r="M49">
            <v>-165.78</v>
          </cell>
          <cell r="N49">
            <v>-44.779999999999994</v>
          </cell>
          <cell r="O49">
            <v>0</v>
          </cell>
          <cell r="P49">
            <v>0</v>
          </cell>
          <cell r="Q49">
            <v>-282.15999999999997</v>
          </cell>
        </row>
        <row r="50">
          <cell r="B50">
            <v>-134.78</v>
          </cell>
          <cell r="C50">
            <v>-134.78</v>
          </cell>
          <cell r="D50">
            <v>-34.779999999999994</v>
          </cell>
          <cell r="E50">
            <v>1275.22</v>
          </cell>
          <cell r="F50">
            <v>52.220000000000006</v>
          </cell>
          <cell r="G50">
            <v>-19.779999999999994</v>
          </cell>
          <cell r="H50">
            <v>195.22</v>
          </cell>
          <cell r="I50">
            <v>495.22</v>
          </cell>
          <cell r="J50">
            <v>-204.78</v>
          </cell>
          <cell r="K50">
            <v>-64.78</v>
          </cell>
          <cell r="L50">
            <v>0</v>
          </cell>
          <cell r="M50">
            <v>-165.78</v>
          </cell>
          <cell r="N50">
            <v>-44.779999999999994</v>
          </cell>
          <cell r="O50">
            <v>-170.4</v>
          </cell>
          <cell r="P50">
            <v>-282.15999999999997</v>
          </cell>
          <cell r="Q5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modity Credit 3-1-2018"/>
      <sheetName val="Commodity Credit 10-1-18"/>
    </sheetNames>
    <sheetDataSet>
      <sheetData sheetId="1">
        <row r="69">
          <cell r="H69">
            <v>4908.250493096647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180 (Reg.) - Price Out "/>
      <sheetName val="2180 (Roy) - Price Out"/>
      <sheetName val="2180 (EQR) - Price Out"/>
      <sheetName val="2180 (FtL) - Price Out"/>
      <sheetName val="2180 (Lkwd) - Price Out"/>
      <sheetName val="2180 (Dpt) - Price Out"/>
      <sheetName val="2180 (Etv) - Price Out"/>
      <sheetName val="2180 (Stcm) - Price Out"/>
      <sheetName val="2180 (UP) - Price Out"/>
      <sheetName val="RM Pivot"/>
      <sheetName val="RM Data"/>
      <sheetName val="Schnitzer 2"/>
      <sheetName val="Revenue Summary"/>
      <sheetName val="Interject_LastPulledValues"/>
      <sheetName val="P&amp;L"/>
      <sheetName val="Finance Charges"/>
      <sheetName val="N Lemay Rolloff Count"/>
      <sheetName val="Def Rev. Pivot"/>
      <sheetName val="Recycle Counts Link"/>
      <sheetName val="PI default bill area pricing"/>
    </sheetNames>
    <sheetDataSet>
      <sheetData sheetId="0">
        <row r="87">
          <cell r="X87">
            <v>194.35021398002854</v>
          </cell>
          <cell r="Y87">
            <v>192.50998573466478</v>
          </cell>
          <cell r="Z87">
            <v>209.97281713344316</v>
          </cell>
          <cell r="AA87">
            <v>207.67380560131792</v>
          </cell>
          <cell r="AB87">
            <v>213.8509060955519</v>
          </cell>
          <cell r="AC87">
            <v>211.68863261943986</v>
          </cell>
        </row>
        <row r="88">
          <cell r="X88">
            <v>51424.572379367724</v>
          </cell>
          <cell r="Y88">
            <v>49392.03244592346</v>
          </cell>
          <cell r="Z88">
            <v>54205.45660749507</v>
          </cell>
          <cell r="AA88">
            <v>51972.49408284023</v>
          </cell>
          <cell r="AB88">
            <v>52165.40335305721</v>
          </cell>
          <cell r="AC88">
            <v>52208.09763313609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120"/>
  <sheetViews>
    <sheetView zoomScaleSheetLayoutView="85" zoomScalePageLayoutView="0" workbookViewId="0" topLeftCell="A1">
      <pane xSplit="1" ySplit="5" topLeftCell="B30" activePane="bottomRight" state="frozen"/>
      <selection pane="topLeft" activeCell="A1" sqref="A1"/>
      <selection pane="topRight" activeCell="B1" sqref="B1"/>
      <selection pane="bottomLeft" activeCell="A5" sqref="A5"/>
      <selection pane="bottomRight" activeCell="C50" sqref="C50:M50"/>
    </sheetView>
  </sheetViews>
  <sheetFormatPr defaultColWidth="9.140625" defaultRowHeight="12.75"/>
  <cols>
    <col min="1" max="1" width="17.140625" style="90" customWidth="1"/>
    <col min="2" max="3" width="14.140625" style="65" bestFit="1" customWidth="1"/>
    <col min="4" max="4" width="14.421875" style="65" bestFit="1" customWidth="1"/>
    <col min="5" max="5" width="13.7109375" style="65" bestFit="1" customWidth="1"/>
    <col min="6" max="6" width="12.421875" style="65" bestFit="1" customWidth="1"/>
    <col min="7" max="7" width="14.140625" style="65" bestFit="1" customWidth="1"/>
    <col min="8" max="8" width="14.421875" style="65" bestFit="1" customWidth="1"/>
    <col min="9" max="9" width="14.140625" style="65" bestFit="1" customWidth="1"/>
    <col min="10" max="10" width="14.421875" style="65" bestFit="1" customWidth="1"/>
    <col min="11" max="12" width="13.7109375" style="65" bestFit="1" customWidth="1"/>
    <col min="13" max="13" width="14.57421875" style="65" customWidth="1"/>
    <col min="14" max="14" width="15.57421875" style="65" bestFit="1" customWidth="1"/>
    <col min="15" max="15" width="12.57421875" style="65" customWidth="1"/>
    <col min="16" max="16" width="2.28125" style="65" customWidth="1"/>
    <col min="17" max="17" width="11.8515625" style="65" bestFit="1" customWidth="1"/>
    <col min="18" max="18" width="11.28125" style="65" customWidth="1"/>
    <col min="19" max="16384" width="9.140625" style="65" customWidth="1"/>
  </cols>
  <sheetData>
    <row r="1" spans="1:5" ht="12">
      <c r="A1" s="64" t="s">
        <v>21</v>
      </c>
      <c r="E1" s="66"/>
    </row>
    <row r="2" ht="12">
      <c r="A2" s="64" t="s">
        <v>20</v>
      </c>
    </row>
    <row r="3" spans="1:17" s="69" customFormat="1" ht="12">
      <c r="A3" s="67" t="s">
        <v>37</v>
      </c>
      <c r="B3" s="68"/>
      <c r="C3" s="68"/>
      <c r="D3" s="68"/>
      <c r="E3" s="68"/>
      <c r="F3" s="68"/>
      <c r="G3" s="68"/>
      <c r="H3" s="68"/>
      <c r="I3" s="68"/>
      <c r="J3" s="68"/>
      <c r="K3" s="68"/>
      <c r="L3" s="68"/>
      <c r="M3" s="68"/>
      <c r="P3" s="70"/>
      <c r="Q3" s="70"/>
    </row>
    <row r="4" spans="1:17" s="69" customFormat="1" ht="12">
      <c r="A4" s="67"/>
      <c r="B4" s="68"/>
      <c r="C4" s="68"/>
      <c r="D4" s="68"/>
      <c r="E4" s="68"/>
      <c r="F4" s="68"/>
      <c r="G4" s="68"/>
      <c r="H4" s="68"/>
      <c r="I4" s="68"/>
      <c r="J4" s="68"/>
      <c r="K4" s="68"/>
      <c r="L4" s="68"/>
      <c r="M4" s="68"/>
      <c r="N4" s="68" t="s">
        <v>38</v>
      </c>
      <c r="O4" s="68"/>
      <c r="P4" s="70"/>
      <c r="Q4" s="70"/>
    </row>
    <row r="5" spans="1:17" s="74" customFormat="1" ht="12">
      <c r="A5" s="71"/>
      <c r="B5" s="72">
        <v>42705</v>
      </c>
      <c r="C5" s="72">
        <v>42736</v>
      </c>
      <c r="D5" s="72">
        <v>42767</v>
      </c>
      <c r="E5" s="72">
        <v>42795</v>
      </c>
      <c r="F5" s="72">
        <v>42826</v>
      </c>
      <c r="G5" s="72">
        <v>42856</v>
      </c>
      <c r="H5" s="72">
        <v>42887</v>
      </c>
      <c r="I5" s="72">
        <v>42917</v>
      </c>
      <c r="J5" s="72">
        <v>42948</v>
      </c>
      <c r="K5" s="72">
        <v>42979</v>
      </c>
      <c r="L5" s="72">
        <v>43009</v>
      </c>
      <c r="M5" s="72">
        <v>43040</v>
      </c>
      <c r="N5" s="72" t="s">
        <v>4</v>
      </c>
      <c r="O5" s="72"/>
      <c r="P5" s="73"/>
      <c r="Q5" s="73"/>
    </row>
    <row r="6" spans="1:16" s="77" customFormat="1" ht="12">
      <c r="A6" s="75" t="s">
        <v>5</v>
      </c>
      <c r="B6" s="76"/>
      <c r="C6" s="76"/>
      <c r="D6" s="76"/>
      <c r="E6" s="76"/>
      <c r="F6" s="76"/>
      <c r="G6" s="76"/>
      <c r="H6" s="76"/>
      <c r="I6" s="76"/>
      <c r="J6" s="76"/>
      <c r="K6" s="76"/>
      <c r="L6" s="76"/>
      <c r="M6" s="76"/>
      <c r="N6" s="76"/>
      <c r="O6" s="76"/>
      <c r="P6" s="76"/>
    </row>
    <row r="7" spans="1:19" ht="12">
      <c r="A7" s="63" t="s">
        <v>6</v>
      </c>
      <c r="B7" s="78">
        <v>262.05035999999996</v>
      </c>
      <c r="C7" s="51">
        <v>277.88617999999997</v>
      </c>
      <c r="D7" s="51">
        <v>225.1249</v>
      </c>
      <c r="E7" s="51">
        <v>283.45459999999997</v>
      </c>
      <c r="F7" s="51">
        <v>237.57734</v>
      </c>
      <c r="G7" s="51">
        <v>253.51898</v>
      </c>
      <c r="H7" s="51">
        <v>268.0678</v>
      </c>
      <c r="I7" s="51">
        <v>254.54571999999996</v>
      </c>
      <c r="J7" s="51">
        <v>292.79821999999996</v>
      </c>
      <c r="K7" s="51">
        <v>257.8404399999999</v>
      </c>
      <c r="L7" s="51">
        <v>236.59921999999997</v>
      </c>
      <c r="M7" s="51">
        <v>255.41801999999996</v>
      </c>
      <c r="N7" s="51">
        <f aca="true" t="shared" si="0" ref="N7:N17">SUM(B7:M7)</f>
        <v>3104.88178</v>
      </c>
      <c r="O7" s="51"/>
      <c r="P7" s="79"/>
      <c r="Q7" s="80"/>
      <c r="R7" s="81"/>
      <c r="S7" s="81"/>
    </row>
    <row r="8" spans="1:19" ht="12">
      <c r="A8" s="63" t="s">
        <v>8</v>
      </c>
      <c r="B8" s="78">
        <v>308.77962</v>
      </c>
      <c r="C8" s="51">
        <v>327.43931</v>
      </c>
      <c r="D8" s="51">
        <v>265.26955000000004</v>
      </c>
      <c r="E8" s="51">
        <v>334.0007</v>
      </c>
      <c r="F8" s="51">
        <v>279.94253000000003</v>
      </c>
      <c r="G8" s="51">
        <v>298.72691000000003</v>
      </c>
      <c r="H8" s="51">
        <v>315.8701</v>
      </c>
      <c r="I8" s="51">
        <v>299.93674</v>
      </c>
      <c r="J8" s="51">
        <v>345.01049</v>
      </c>
      <c r="K8" s="51">
        <v>303.81897999999995</v>
      </c>
      <c r="L8" s="51">
        <v>278.78999</v>
      </c>
      <c r="M8" s="51">
        <v>300.96459</v>
      </c>
      <c r="N8" s="51">
        <f t="shared" si="0"/>
        <v>3658.5495100000003</v>
      </c>
      <c r="O8" s="51"/>
      <c r="P8" s="79"/>
      <c r="Q8" s="80"/>
      <c r="R8" s="81"/>
      <c r="S8" s="81"/>
    </row>
    <row r="9" spans="1:19" ht="12">
      <c r="A9" s="63" t="s">
        <v>7</v>
      </c>
      <c r="B9" s="78">
        <v>229.065</v>
      </c>
      <c r="C9" s="51">
        <v>242.90749999999997</v>
      </c>
      <c r="D9" s="51">
        <v>196.78750000000002</v>
      </c>
      <c r="E9" s="51">
        <v>247.77499999999998</v>
      </c>
      <c r="F9" s="51">
        <v>207.6725</v>
      </c>
      <c r="G9" s="51">
        <v>221.60750000000002</v>
      </c>
      <c r="H9" s="51">
        <v>234.325</v>
      </c>
      <c r="I9" s="51">
        <v>222.505</v>
      </c>
      <c r="J9" s="51">
        <v>255.9425</v>
      </c>
      <c r="K9" s="51">
        <v>225.38499999999993</v>
      </c>
      <c r="L9" s="51">
        <v>206.8175</v>
      </c>
      <c r="M9" s="51">
        <v>223.26749999999998</v>
      </c>
      <c r="N9" s="51">
        <f t="shared" si="0"/>
        <v>2714.0575</v>
      </c>
      <c r="O9" s="51"/>
      <c r="P9" s="79"/>
      <c r="Q9" s="80"/>
      <c r="R9" s="81"/>
      <c r="S9" s="81"/>
    </row>
    <row r="10" spans="1:19" s="79" customFormat="1" ht="12">
      <c r="A10" s="63" t="s">
        <v>23</v>
      </c>
      <c r="B10" s="78">
        <v>32.98536</v>
      </c>
      <c r="C10" s="51">
        <v>34.97867999999999</v>
      </c>
      <c r="D10" s="51">
        <v>28.337400000000002</v>
      </c>
      <c r="E10" s="51">
        <v>35.67959999999999</v>
      </c>
      <c r="F10" s="51">
        <v>29.90484</v>
      </c>
      <c r="G10" s="51">
        <v>31.91148</v>
      </c>
      <c r="H10" s="51">
        <v>33.742799999999995</v>
      </c>
      <c r="I10" s="51">
        <v>32.04072</v>
      </c>
      <c r="J10" s="51">
        <v>36.85572</v>
      </c>
      <c r="K10" s="51">
        <v>32.45543999999999</v>
      </c>
      <c r="L10" s="51">
        <v>29.781719999999996</v>
      </c>
      <c r="M10" s="51">
        <v>32.15051999999999</v>
      </c>
      <c r="N10" s="51">
        <f t="shared" si="0"/>
        <v>390.82428</v>
      </c>
      <c r="O10" s="51"/>
      <c r="Q10" s="80"/>
      <c r="R10" s="81"/>
      <c r="S10" s="81"/>
    </row>
    <row r="11" spans="1:19" ht="12">
      <c r="A11" s="63" t="s">
        <v>24</v>
      </c>
      <c r="B11" s="78">
        <v>8.24634</v>
      </c>
      <c r="C11" s="51">
        <v>8.744669999999998</v>
      </c>
      <c r="D11" s="51">
        <v>7.084350000000001</v>
      </c>
      <c r="E11" s="51">
        <v>8.919899999999998</v>
      </c>
      <c r="F11" s="51">
        <v>7.47621</v>
      </c>
      <c r="G11" s="51">
        <v>7.97787</v>
      </c>
      <c r="H11" s="51">
        <v>8.435699999999999</v>
      </c>
      <c r="I11" s="51">
        <v>8.01018</v>
      </c>
      <c r="J11" s="51">
        <v>9.21393</v>
      </c>
      <c r="K11" s="51">
        <v>8.113859999999997</v>
      </c>
      <c r="L11" s="51">
        <v>7.445429999999999</v>
      </c>
      <c r="M11" s="51">
        <v>8.037629999999998</v>
      </c>
      <c r="N11" s="51">
        <f t="shared" si="0"/>
        <v>97.70607</v>
      </c>
      <c r="O11" s="51"/>
      <c r="P11" s="79"/>
      <c r="Q11" s="80"/>
      <c r="R11" s="81"/>
      <c r="S11" s="81"/>
    </row>
    <row r="12" spans="1:19" ht="12">
      <c r="A12" s="63" t="s">
        <v>25</v>
      </c>
      <c r="B12" s="78">
        <v>12.82764</v>
      </c>
      <c r="C12" s="51">
        <v>13.60282</v>
      </c>
      <c r="D12" s="51">
        <v>11.020100000000001</v>
      </c>
      <c r="E12" s="51">
        <v>13.875399999999999</v>
      </c>
      <c r="F12" s="51">
        <v>11.629660000000001</v>
      </c>
      <c r="G12" s="51">
        <v>12.410020000000001</v>
      </c>
      <c r="H12" s="51">
        <v>13.1222</v>
      </c>
      <c r="I12" s="51">
        <v>12.46028</v>
      </c>
      <c r="J12" s="51">
        <v>14.33278</v>
      </c>
      <c r="K12" s="51">
        <v>12.621559999999997</v>
      </c>
      <c r="L12" s="51">
        <v>11.58178</v>
      </c>
      <c r="M12" s="51">
        <v>12.502979999999999</v>
      </c>
      <c r="N12" s="51">
        <f t="shared" si="0"/>
        <v>151.98722</v>
      </c>
      <c r="O12" s="51"/>
      <c r="P12" s="79"/>
      <c r="Q12" s="80"/>
      <c r="R12" s="81"/>
      <c r="S12" s="81"/>
    </row>
    <row r="13" spans="1:19" ht="12">
      <c r="A13" s="63" t="s">
        <v>26</v>
      </c>
      <c r="B13" s="78">
        <v>4.5813</v>
      </c>
      <c r="C13" s="51">
        <v>4.858149999999999</v>
      </c>
      <c r="D13" s="51">
        <v>3.9357500000000005</v>
      </c>
      <c r="E13" s="51">
        <v>4.9555</v>
      </c>
      <c r="F13" s="51">
        <v>4.15345</v>
      </c>
      <c r="G13" s="51">
        <v>4.43215</v>
      </c>
      <c r="H13" s="51">
        <v>4.6865</v>
      </c>
      <c r="I13" s="51">
        <v>4.4501</v>
      </c>
      <c r="J13" s="51">
        <v>5.11885</v>
      </c>
      <c r="K13" s="51">
        <v>4.507699999999999</v>
      </c>
      <c r="L13" s="51">
        <v>4.13635</v>
      </c>
      <c r="M13" s="51">
        <v>4.46535</v>
      </c>
      <c r="N13" s="51">
        <f t="shared" si="0"/>
        <v>54.281150000000004</v>
      </c>
      <c r="O13" s="51"/>
      <c r="P13" s="79"/>
      <c r="Q13" s="80"/>
      <c r="R13" s="81"/>
      <c r="S13" s="81"/>
    </row>
    <row r="14" spans="1:19" ht="12">
      <c r="A14" s="63" t="s">
        <v>9</v>
      </c>
      <c r="B14" s="78">
        <v>11.91138</v>
      </c>
      <c r="C14" s="51">
        <v>12.631189999999998</v>
      </c>
      <c r="D14" s="51">
        <v>10.23295</v>
      </c>
      <c r="E14" s="51">
        <v>12.884299999999998</v>
      </c>
      <c r="F14" s="51">
        <v>10.79897</v>
      </c>
      <c r="G14" s="51">
        <v>11.52359</v>
      </c>
      <c r="H14" s="51">
        <v>12.184899999999999</v>
      </c>
      <c r="I14" s="51">
        <v>11.57026</v>
      </c>
      <c r="J14" s="51">
        <v>13.309009999999999</v>
      </c>
      <c r="K14" s="51">
        <v>11.720019999999996</v>
      </c>
      <c r="L14" s="51">
        <v>10.75451</v>
      </c>
      <c r="M14" s="51">
        <v>11.60991</v>
      </c>
      <c r="N14" s="51">
        <f t="shared" si="0"/>
        <v>141.13099</v>
      </c>
      <c r="O14" s="51"/>
      <c r="P14" s="79"/>
      <c r="Q14" s="80"/>
      <c r="R14" s="81"/>
      <c r="S14" s="81"/>
    </row>
    <row r="15" spans="1:19" ht="12">
      <c r="A15" s="63" t="s">
        <v>10</v>
      </c>
      <c r="B15" s="78">
        <v>27.4878</v>
      </c>
      <c r="C15" s="51">
        <v>29.148899999999994</v>
      </c>
      <c r="D15" s="51">
        <v>23.614500000000003</v>
      </c>
      <c r="E15" s="51">
        <v>29.732999999999997</v>
      </c>
      <c r="F15" s="51">
        <v>24.9207</v>
      </c>
      <c r="G15" s="51">
        <v>26.5929</v>
      </c>
      <c r="H15" s="51">
        <v>28.118999999999996</v>
      </c>
      <c r="I15" s="51">
        <v>26.700599999999998</v>
      </c>
      <c r="J15" s="51">
        <v>30.713099999999997</v>
      </c>
      <c r="K15" s="51">
        <v>27.046199999999992</v>
      </c>
      <c r="L15" s="51">
        <v>24.818099999999998</v>
      </c>
      <c r="M15" s="51">
        <v>26.792099999999998</v>
      </c>
      <c r="N15" s="51">
        <f t="shared" si="0"/>
        <v>325.6869</v>
      </c>
      <c r="O15" s="51"/>
      <c r="P15" s="79"/>
      <c r="Q15" s="80"/>
      <c r="R15" s="81"/>
      <c r="S15" s="81"/>
    </row>
    <row r="16" spans="1:19" ht="12">
      <c r="A16" s="63" t="s">
        <v>39</v>
      </c>
      <c r="B16" s="78">
        <v>18.3252</v>
      </c>
      <c r="C16" s="51">
        <v>19.432599999999997</v>
      </c>
      <c r="D16" s="51">
        <v>15.743000000000002</v>
      </c>
      <c r="E16" s="51">
        <v>19.822</v>
      </c>
      <c r="F16" s="51">
        <v>16.6138</v>
      </c>
      <c r="G16" s="51">
        <v>17.7286</v>
      </c>
      <c r="H16" s="51">
        <v>18.746</v>
      </c>
      <c r="I16" s="51">
        <v>17.8004</v>
      </c>
      <c r="J16" s="51">
        <v>20.4754</v>
      </c>
      <c r="K16" s="51">
        <v>18.030799999999996</v>
      </c>
      <c r="L16" s="51">
        <v>16.5454</v>
      </c>
      <c r="M16" s="51">
        <v>17.8614</v>
      </c>
      <c r="N16" s="51">
        <f t="shared" si="0"/>
        <v>217.12460000000002</v>
      </c>
      <c r="O16" s="51"/>
      <c r="P16" s="79"/>
      <c r="Q16" s="80"/>
      <c r="R16" s="81"/>
      <c r="S16" s="81"/>
    </row>
    <row r="17" spans="1:17" ht="12">
      <c r="A17" s="82"/>
      <c r="B17" s="79"/>
      <c r="C17" s="79"/>
      <c r="D17" s="79"/>
      <c r="E17" s="79"/>
      <c r="F17" s="79"/>
      <c r="G17" s="79"/>
      <c r="H17" s="79"/>
      <c r="I17" s="79"/>
      <c r="J17" s="79"/>
      <c r="K17" s="79"/>
      <c r="L17" s="79"/>
      <c r="M17" s="79"/>
      <c r="N17" s="79">
        <f t="shared" si="0"/>
        <v>0</v>
      </c>
      <c r="O17" s="79"/>
      <c r="P17" s="79"/>
      <c r="Q17" s="79"/>
    </row>
    <row r="18" spans="1:17" s="87" customFormat="1" ht="12">
      <c r="A18" s="83" t="s">
        <v>4</v>
      </c>
      <c r="B18" s="84">
        <f aca="true" t="shared" si="1" ref="B18:M18">SUM(B6:B17)</f>
        <v>916.2600000000001</v>
      </c>
      <c r="C18" s="84">
        <f t="shared" si="1"/>
        <v>971.6299999999999</v>
      </c>
      <c r="D18" s="84">
        <f t="shared" si="1"/>
        <v>787.15</v>
      </c>
      <c r="E18" s="84">
        <f t="shared" si="1"/>
        <v>991.0999999999999</v>
      </c>
      <c r="F18" s="84">
        <f t="shared" si="1"/>
        <v>830.6900000000003</v>
      </c>
      <c r="G18" s="84">
        <f t="shared" si="1"/>
        <v>886.4300000000001</v>
      </c>
      <c r="H18" s="84">
        <f t="shared" si="1"/>
        <v>937.3</v>
      </c>
      <c r="I18" s="84">
        <f t="shared" si="1"/>
        <v>890.0199999999999</v>
      </c>
      <c r="J18" s="84">
        <f t="shared" si="1"/>
        <v>1023.77</v>
      </c>
      <c r="K18" s="84">
        <f t="shared" si="1"/>
        <v>901.5399999999997</v>
      </c>
      <c r="L18" s="84">
        <f t="shared" si="1"/>
        <v>827.2699999999998</v>
      </c>
      <c r="M18" s="84">
        <f t="shared" si="1"/>
        <v>893.0699999999998</v>
      </c>
      <c r="N18" s="84">
        <f>SUM(N6:N17)</f>
        <v>10856.230000000001</v>
      </c>
      <c r="O18" s="85"/>
      <c r="P18" s="86"/>
      <c r="Q18" s="86"/>
    </row>
    <row r="19" spans="1:15" ht="12">
      <c r="A19" s="64"/>
      <c r="B19" s="79"/>
      <c r="C19" s="79"/>
      <c r="D19" s="79"/>
      <c r="E19" s="79"/>
      <c r="F19" s="79"/>
      <c r="G19" s="79"/>
      <c r="H19" s="79"/>
      <c r="I19" s="79"/>
      <c r="J19" s="79"/>
      <c r="K19" s="79"/>
      <c r="L19" s="79"/>
      <c r="M19" s="88"/>
      <c r="N19" s="79"/>
      <c r="O19" s="79"/>
    </row>
    <row r="20" spans="1:15" ht="12">
      <c r="A20" s="64"/>
      <c r="B20" s="79"/>
      <c r="C20" s="79"/>
      <c r="D20" s="79"/>
      <c r="E20" s="79"/>
      <c r="F20" s="79"/>
      <c r="G20" s="79"/>
      <c r="H20" s="79"/>
      <c r="I20" s="79"/>
      <c r="J20" s="79"/>
      <c r="K20" s="79"/>
      <c r="L20" s="79"/>
      <c r="M20" s="79"/>
      <c r="N20" s="89"/>
      <c r="O20" s="89"/>
    </row>
    <row r="21" spans="2:13" ht="12">
      <c r="B21" s="79"/>
      <c r="C21" s="79"/>
      <c r="D21" s="79"/>
      <c r="E21" s="79"/>
      <c r="F21" s="79"/>
      <c r="G21" s="79"/>
      <c r="H21" s="79"/>
      <c r="I21" s="79"/>
      <c r="J21" s="79"/>
      <c r="K21" s="79"/>
      <c r="L21" s="79"/>
      <c r="M21" s="79"/>
    </row>
    <row r="22" spans="1:15" ht="12">
      <c r="A22" s="91" t="s">
        <v>27</v>
      </c>
      <c r="B22" s="66"/>
      <c r="C22" s="66"/>
      <c r="D22" s="66"/>
      <c r="E22" s="66"/>
      <c r="F22" s="66"/>
      <c r="G22" s="66"/>
      <c r="H22" s="66"/>
      <c r="I22" s="66"/>
      <c r="J22" s="66"/>
      <c r="K22" s="66"/>
      <c r="L22" s="66"/>
      <c r="M22" s="66"/>
      <c r="N22" s="92"/>
      <c r="O22" s="92"/>
    </row>
    <row r="23" spans="1:15" ht="12">
      <c r="A23" s="63" t="s">
        <v>6</v>
      </c>
      <c r="B23" s="93">
        <v>54.339999999999996</v>
      </c>
      <c r="C23" s="93">
        <v>61.339999999999996</v>
      </c>
      <c r="D23" s="93">
        <v>68.34</v>
      </c>
      <c r="E23" s="93">
        <v>75.34</v>
      </c>
      <c r="F23" s="93">
        <v>4.339999999999996</v>
      </c>
      <c r="G23" s="93">
        <v>9.339999999999996</v>
      </c>
      <c r="H23" s="93">
        <v>27.339999999999996</v>
      </c>
      <c r="I23" s="93">
        <v>44.339999999999996</v>
      </c>
      <c r="J23" s="93">
        <v>29.339999999999996</v>
      </c>
      <c r="K23" s="93">
        <v>11.339999999999996</v>
      </c>
      <c r="L23" s="93">
        <v>-16.660000000000004</v>
      </c>
      <c r="M23" s="52">
        <v>3.34</v>
      </c>
      <c r="N23" s="52"/>
      <c r="O23" s="52"/>
    </row>
    <row r="24" spans="1:15" ht="12">
      <c r="A24" s="63" t="s">
        <v>8</v>
      </c>
      <c r="B24" s="93">
        <v>70.34</v>
      </c>
      <c r="C24" s="93">
        <v>81.34</v>
      </c>
      <c r="D24" s="93">
        <v>91.34</v>
      </c>
      <c r="E24" s="93">
        <v>121.33999999999997</v>
      </c>
      <c r="F24" s="93">
        <v>84.34</v>
      </c>
      <c r="G24" s="93">
        <v>94.34</v>
      </c>
      <c r="H24" s="93">
        <v>134.33999999999997</v>
      </c>
      <c r="I24" s="93">
        <v>139.33999999999997</v>
      </c>
      <c r="J24" s="93">
        <v>124.33999999999997</v>
      </c>
      <c r="K24" s="93">
        <v>94.34</v>
      </c>
      <c r="L24" s="93">
        <v>24.339999999999996</v>
      </c>
      <c r="M24" s="52">
        <v>58.34</v>
      </c>
      <c r="N24" s="52"/>
      <c r="O24" s="52"/>
    </row>
    <row r="25" spans="1:15" ht="12">
      <c r="A25" s="63" t="s">
        <v>7</v>
      </c>
      <c r="B25" s="93">
        <v>44.339999999999996</v>
      </c>
      <c r="C25" s="93">
        <v>51.339999999999996</v>
      </c>
      <c r="D25" s="93">
        <v>54.339999999999996</v>
      </c>
      <c r="E25" s="93">
        <v>62.339999999999996</v>
      </c>
      <c r="F25" s="93">
        <v>-5.660000000000004</v>
      </c>
      <c r="G25" s="93">
        <v>-0.6600000000000037</v>
      </c>
      <c r="H25" s="93">
        <v>19.339999999999996</v>
      </c>
      <c r="I25" s="93">
        <v>39.339999999999996</v>
      </c>
      <c r="J25" s="93">
        <v>24.339999999999996</v>
      </c>
      <c r="K25" s="93">
        <v>4.339999999999996</v>
      </c>
      <c r="L25" s="93">
        <v>-20.660000000000004</v>
      </c>
      <c r="M25" s="52">
        <v>-35.66</v>
      </c>
      <c r="N25" s="52"/>
      <c r="O25" s="52"/>
    </row>
    <row r="26" spans="1:15" ht="12">
      <c r="A26" s="63" t="s">
        <v>23</v>
      </c>
      <c r="B26" s="93">
        <v>89.34</v>
      </c>
      <c r="C26" s="93">
        <v>99.33999999999997</v>
      </c>
      <c r="D26" s="93">
        <v>119.33999999999997</v>
      </c>
      <c r="E26" s="93">
        <v>159.33999999999997</v>
      </c>
      <c r="F26" s="93">
        <v>174.33999999999997</v>
      </c>
      <c r="G26" s="93">
        <v>184.33999999999997</v>
      </c>
      <c r="H26" s="93">
        <v>199.33999999999997</v>
      </c>
      <c r="I26" s="93">
        <v>144.33999999999997</v>
      </c>
      <c r="J26" s="93">
        <v>144.33999999999997</v>
      </c>
      <c r="K26" s="93">
        <v>139.33999999999997</v>
      </c>
      <c r="L26" s="93">
        <v>84.34</v>
      </c>
      <c r="M26" s="52">
        <v>24.34</v>
      </c>
      <c r="N26" s="52"/>
      <c r="O26" s="52"/>
    </row>
    <row r="27" spans="1:15" ht="12">
      <c r="A27" s="63" t="s">
        <v>24</v>
      </c>
      <c r="B27" s="93">
        <v>184.33999999999997</v>
      </c>
      <c r="C27" s="93">
        <v>184.33999999999997</v>
      </c>
      <c r="D27" s="93">
        <v>204.33999999999997</v>
      </c>
      <c r="E27" s="93">
        <v>244.33999999999997</v>
      </c>
      <c r="F27" s="93">
        <v>324.34</v>
      </c>
      <c r="G27" s="93">
        <v>184.33999999999997</v>
      </c>
      <c r="H27" s="93">
        <v>184.33999999999997</v>
      </c>
      <c r="I27" s="93">
        <v>184.33999999999997</v>
      </c>
      <c r="J27" s="93">
        <v>184.33999999999997</v>
      </c>
      <c r="K27" s="93">
        <v>154.33999999999997</v>
      </c>
      <c r="L27" s="93">
        <v>184.33999999999997</v>
      </c>
      <c r="M27" s="52">
        <v>244.34</v>
      </c>
      <c r="N27" s="52"/>
      <c r="O27" s="52"/>
    </row>
    <row r="28" spans="1:15" ht="12">
      <c r="A28" s="63" t="s">
        <v>25</v>
      </c>
      <c r="B28" s="93">
        <v>364.34</v>
      </c>
      <c r="C28" s="93">
        <v>424.34</v>
      </c>
      <c r="D28" s="93">
        <v>444.34</v>
      </c>
      <c r="E28" s="93">
        <v>524.34</v>
      </c>
      <c r="F28" s="93">
        <v>524.34</v>
      </c>
      <c r="G28" s="93">
        <v>494.34000000000003</v>
      </c>
      <c r="H28" s="93">
        <v>484.34000000000003</v>
      </c>
      <c r="I28" s="93">
        <v>414.34</v>
      </c>
      <c r="J28" s="93">
        <v>384.34</v>
      </c>
      <c r="K28" s="93">
        <v>384.34</v>
      </c>
      <c r="L28" s="93">
        <v>419.34</v>
      </c>
      <c r="M28" s="52">
        <v>524.34</v>
      </c>
      <c r="N28" s="52"/>
      <c r="O28" s="52"/>
    </row>
    <row r="29" spans="1:15" ht="12">
      <c r="A29" s="63" t="s">
        <v>26</v>
      </c>
      <c r="B29" s="93">
        <v>-90.66</v>
      </c>
      <c r="C29" s="93">
        <v>-105.66</v>
      </c>
      <c r="D29" s="93">
        <v>-105.66</v>
      </c>
      <c r="E29" s="93">
        <v>-150.66</v>
      </c>
      <c r="F29" s="93">
        <v>-160.66000000000003</v>
      </c>
      <c r="G29" s="93">
        <v>-160.66000000000003</v>
      </c>
      <c r="H29" s="93">
        <v>-165.66000000000003</v>
      </c>
      <c r="I29" s="93">
        <v>-165.66000000000003</v>
      </c>
      <c r="J29" s="93">
        <v>-165.66000000000003</v>
      </c>
      <c r="K29" s="93">
        <v>-175.66000000000003</v>
      </c>
      <c r="L29" s="93">
        <v>-175.66000000000003</v>
      </c>
      <c r="M29" s="52">
        <v>-180.66</v>
      </c>
      <c r="N29" s="52"/>
      <c r="O29" s="52"/>
    </row>
    <row r="30" spans="1:15" ht="12">
      <c r="A30" s="63" t="s">
        <v>9</v>
      </c>
      <c r="B30" s="93">
        <v>1164.3400000000001</v>
      </c>
      <c r="C30" s="93">
        <v>1164.3400000000001</v>
      </c>
      <c r="D30" s="93">
        <v>1264.3400000000001</v>
      </c>
      <c r="E30" s="93">
        <v>1304.3400000000001</v>
      </c>
      <c r="F30" s="93">
        <v>1324.3400000000001</v>
      </c>
      <c r="G30" s="93">
        <v>1284.3400000000001</v>
      </c>
      <c r="H30" s="93">
        <v>1184.3400000000001</v>
      </c>
      <c r="I30" s="93">
        <v>1214.3400000000001</v>
      </c>
      <c r="J30" s="93">
        <v>1184.3400000000001</v>
      </c>
      <c r="K30" s="93">
        <v>1244.3400000000001</v>
      </c>
      <c r="L30" s="93">
        <v>1289.3400000000001</v>
      </c>
      <c r="M30" s="52">
        <v>1254.34</v>
      </c>
      <c r="N30" s="52"/>
      <c r="O30" s="52"/>
    </row>
    <row r="31" spans="1:15" ht="12">
      <c r="A31" s="63" t="s">
        <v>10</v>
      </c>
      <c r="B31" s="93">
        <v>47.339999999999996</v>
      </c>
      <c r="C31" s="93">
        <v>62.339999999999996</v>
      </c>
      <c r="D31" s="93">
        <v>62.339999999999996</v>
      </c>
      <c r="E31" s="93">
        <v>82.34</v>
      </c>
      <c r="F31" s="93">
        <v>67.34</v>
      </c>
      <c r="G31" s="93">
        <v>57.339999999999996</v>
      </c>
      <c r="H31" s="93">
        <v>47.339999999999996</v>
      </c>
      <c r="I31" s="93">
        <v>47.339999999999996</v>
      </c>
      <c r="J31" s="93">
        <v>62.339999999999996</v>
      </c>
      <c r="K31" s="93">
        <v>84.34</v>
      </c>
      <c r="L31" s="93">
        <v>69.34</v>
      </c>
      <c r="M31" s="52">
        <v>69.34</v>
      </c>
      <c r="N31" s="52"/>
      <c r="O31" s="52"/>
    </row>
    <row r="32" spans="1:15" ht="12">
      <c r="A32" s="63" t="s">
        <v>39</v>
      </c>
      <c r="B32" s="93">
        <v>-220.66</v>
      </c>
      <c r="C32" s="52">
        <v>-220.66</v>
      </c>
      <c r="D32" s="52">
        <v>-220.66</v>
      </c>
      <c r="E32" s="94">
        <v>-220.66</v>
      </c>
      <c r="F32" s="94">
        <v>-220.66</v>
      </c>
      <c r="G32" s="94">
        <v>-220.66</v>
      </c>
      <c r="H32" s="94">
        <v>-220.66</v>
      </c>
      <c r="I32" s="94">
        <v>-220.66</v>
      </c>
      <c r="J32" s="94">
        <v>-220.66</v>
      </c>
      <c r="K32" s="94">
        <v>-220.66</v>
      </c>
      <c r="L32" s="94">
        <v>-220.66</v>
      </c>
      <c r="M32" s="52">
        <v>-220.66</v>
      </c>
      <c r="N32" s="52"/>
      <c r="O32" s="52"/>
    </row>
    <row r="33" spans="2:15" ht="12">
      <c r="B33" s="95"/>
      <c r="C33" s="95"/>
      <c r="D33" s="95"/>
      <c r="E33" s="95"/>
      <c r="F33" s="95"/>
      <c r="G33" s="95"/>
      <c r="H33" s="95"/>
      <c r="I33" s="95"/>
      <c r="J33" s="95"/>
      <c r="K33" s="95"/>
      <c r="L33" s="95"/>
      <c r="M33" s="95"/>
      <c r="N33" s="95"/>
      <c r="O33" s="95"/>
    </row>
    <row r="34" spans="14:15" ht="12">
      <c r="N34" s="92"/>
      <c r="O34" s="92"/>
    </row>
    <row r="35" spans="1:15" ht="12">
      <c r="A35" s="91" t="s">
        <v>3</v>
      </c>
      <c r="B35" s="89"/>
      <c r="C35" s="89"/>
      <c r="D35" s="89"/>
      <c r="E35" s="89"/>
      <c r="F35" s="89"/>
      <c r="G35" s="89"/>
      <c r="H35" s="89"/>
      <c r="I35" s="89"/>
      <c r="J35" s="89"/>
      <c r="K35" s="89"/>
      <c r="L35" s="89"/>
      <c r="M35" s="89"/>
      <c r="N35" s="92"/>
      <c r="O35" s="92"/>
    </row>
    <row r="36" spans="1:17" ht="12">
      <c r="A36" s="63" t="s">
        <v>6</v>
      </c>
      <c r="B36" s="96">
        <f>B7*B23</f>
        <v>14239.816562399996</v>
      </c>
      <c r="C36" s="96">
        <f aca="true" t="shared" si="2" ref="C36:M36">C7*C23</f>
        <v>17045.538281199995</v>
      </c>
      <c r="D36" s="96">
        <f t="shared" si="2"/>
        <v>15385.035666</v>
      </c>
      <c r="E36" s="96">
        <f t="shared" si="2"/>
        <v>21355.469564</v>
      </c>
      <c r="F36" s="96">
        <f t="shared" si="2"/>
        <v>1031.0856555999992</v>
      </c>
      <c r="G36" s="96">
        <f t="shared" si="2"/>
        <v>2367.867273199999</v>
      </c>
      <c r="H36" s="96">
        <f t="shared" si="2"/>
        <v>7328.973651999999</v>
      </c>
      <c r="I36" s="96">
        <f t="shared" si="2"/>
        <v>11286.557224799997</v>
      </c>
      <c r="J36" s="96">
        <f t="shared" si="2"/>
        <v>8590.699774799998</v>
      </c>
      <c r="K36" s="96">
        <f t="shared" si="2"/>
        <v>2923.910589599998</v>
      </c>
      <c r="L36" s="96">
        <f t="shared" si="2"/>
        <v>-3941.7430052000004</v>
      </c>
      <c r="M36" s="96">
        <f t="shared" si="2"/>
        <v>853.0961867999998</v>
      </c>
      <c r="N36" s="96">
        <f>SUM(B36:M36)</f>
        <v>98466.30742519998</v>
      </c>
      <c r="O36" s="96"/>
      <c r="P36" s="89"/>
      <c r="Q36" s="79"/>
    </row>
    <row r="37" spans="1:17" ht="12">
      <c r="A37" s="63" t="s">
        <v>8</v>
      </c>
      <c r="B37" s="96">
        <f aca="true" t="shared" si="3" ref="B37:M44">B8*B24</f>
        <v>21719.558470800002</v>
      </c>
      <c r="C37" s="96">
        <f t="shared" si="3"/>
        <v>26633.9134754</v>
      </c>
      <c r="D37" s="96">
        <f t="shared" si="3"/>
        <v>24229.720697000004</v>
      </c>
      <c r="E37" s="96">
        <f t="shared" si="3"/>
        <v>40527.64493799999</v>
      </c>
      <c r="F37" s="96">
        <f t="shared" si="3"/>
        <v>23610.352980200005</v>
      </c>
      <c r="G37" s="96">
        <f t="shared" si="3"/>
        <v>28181.896689400004</v>
      </c>
      <c r="H37" s="96">
        <f t="shared" si="3"/>
        <v>42433.989233999986</v>
      </c>
      <c r="I37" s="96">
        <f t="shared" si="3"/>
        <v>41793.18535159999</v>
      </c>
      <c r="J37" s="96">
        <f t="shared" si="3"/>
        <v>42898.60432659999</v>
      </c>
      <c r="K37" s="96">
        <f t="shared" si="3"/>
        <v>28662.2825732</v>
      </c>
      <c r="L37" s="96">
        <f t="shared" si="3"/>
        <v>6785.748356599998</v>
      </c>
      <c r="M37" s="96">
        <f t="shared" si="3"/>
        <v>17558.2741806</v>
      </c>
      <c r="N37" s="96">
        <f aca="true" t="shared" si="4" ref="N37:N44">SUM(B37:M37)</f>
        <v>345035.17127339996</v>
      </c>
      <c r="O37" s="96"/>
      <c r="P37" s="89"/>
      <c r="Q37" s="79"/>
    </row>
    <row r="38" spans="1:17" ht="12">
      <c r="A38" s="63" t="s">
        <v>7</v>
      </c>
      <c r="B38" s="96">
        <f t="shared" si="3"/>
        <v>10156.7421</v>
      </c>
      <c r="C38" s="96">
        <f t="shared" si="3"/>
        <v>12470.871049999998</v>
      </c>
      <c r="D38" s="96">
        <f t="shared" si="3"/>
        <v>10693.43275</v>
      </c>
      <c r="E38" s="96">
        <f t="shared" si="3"/>
        <v>15446.293499999998</v>
      </c>
      <c r="F38" s="96">
        <f t="shared" si="3"/>
        <v>-1175.4263500000009</v>
      </c>
      <c r="G38" s="96">
        <f t="shared" si="3"/>
        <v>-146.26095000000083</v>
      </c>
      <c r="H38" s="96">
        <f t="shared" si="3"/>
        <v>4531.8454999999985</v>
      </c>
      <c r="I38" s="96">
        <f t="shared" si="3"/>
        <v>8753.346699999998</v>
      </c>
      <c r="J38" s="96">
        <f t="shared" si="3"/>
        <v>6229.640449999999</v>
      </c>
      <c r="K38" s="96">
        <f t="shared" si="3"/>
        <v>978.1708999999989</v>
      </c>
      <c r="L38" s="96">
        <f t="shared" si="3"/>
        <v>-4272.849550000001</v>
      </c>
      <c r="M38" s="96">
        <f t="shared" si="3"/>
        <v>-7961.719049999999</v>
      </c>
      <c r="N38" s="96">
        <f t="shared" si="4"/>
        <v>55704.08704999997</v>
      </c>
      <c r="O38" s="96"/>
      <c r="P38" s="89"/>
      <c r="Q38" s="79"/>
    </row>
    <row r="39" spans="1:17" ht="12">
      <c r="A39" s="63" t="s">
        <v>23</v>
      </c>
      <c r="B39" s="96">
        <f t="shared" si="3"/>
        <v>2946.9120624</v>
      </c>
      <c r="C39" s="96">
        <f t="shared" si="3"/>
        <v>3474.782071199998</v>
      </c>
      <c r="D39" s="96">
        <f t="shared" si="3"/>
        <v>3381.7853159999995</v>
      </c>
      <c r="E39" s="96">
        <f t="shared" si="3"/>
        <v>5685.187463999998</v>
      </c>
      <c r="F39" s="96">
        <f t="shared" si="3"/>
        <v>5213.609805599999</v>
      </c>
      <c r="G39" s="96">
        <f t="shared" si="3"/>
        <v>5882.5622232</v>
      </c>
      <c r="H39" s="96">
        <f t="shared" si="3"/>
        <v>6726.289751999998</v>
      </c>
      <c r="I39" s="96">
        <f t="shared" si="3"/>
        <v>4624.757524799999</v>
      </c>
      <c r="J39" s="96">
        <f t="shared" si="3"/>
        <v>5319.754624799999</v>
      </c>
      <c r="K39" s="96">
        <f t="shared" si="3"/>
        <v>4522.341009599998</v>
      </c>
      <c r="L39" s="96">
        <f t="shared" si="3"/>
        <v>2511.7902648</v>
      </c>
      <c r="M39" s="96">
        <f t="shared" si="3"/>
        <v>782.5436567999998</v>
      </c>
      <c r="N39" s="96">
        <f t="shared" si="4"/>
        <v>51072.3157752</v>
      </c>
      <c r="O39" s="96"/>
      <c r="P39" s="89"/>
      <c r="Q39" s="79"/>
    </row>
    <row r="40" spans="1:17" ht="12">
      <c r="A40" s="63" t="s">
        <v>24</v>
      </c>
      <c r="B40" s="96">
        <f t="shared" si="3"/>
        <v>1520.1303156</v>
      </c>
      <c r="C40" s="96">
        <f t="shared" si="3"/>
        <v>1611.9924677999993</v>
      </c>
      <c r="D40" s="96">
        <f t="shared" si="3"/>
        <v>1447.616079</v>
      </c>
      <c r="E40" s="96">
        <f t="shared" si="3"/>
        <v>2179.4883659999996</v>
      </c>
      <c r="F40" s="96">
        <f t="shared" si="3"/>
        <v>2424.8339514</v>
      </c>
      <c r="G40" s="96">
        <f t="shared" si="3"/>
        <v>1470.6405558</v>
      </c>
      <c r="H40" s="96">
        <f t="shared" si="3"/>
        <v>1555.0369379999995</v>
      </c>
      <c r="I40" s="96">
        <f t="shared" si="3"/>
        <v>1476.5965811999997</v>
      </c>
      <c r="J40" s="96">
        <f t="shared" si="3"/>
        <v>1698.4958561999997</v>
      </c>
      <c r="K40" s="96">
        <f t="shared" si="3"/>
        <v>1252.2931523999994</v>
      </c>
      <c r="L40" s="96">
        <f t="shared" si="3"/>
        <v>1372.4905661999996</v>
      </c>
      <c r="M40" s="96">
        <f t="shared" si="3"/>
        <v>1963.9145141999995</v>
      </c>
      <c r="N40" s="96">
        <f t="shared" si="4"/>
        <v>19973.529343799994</v>
      </c>
      <c r="O40" s="96"/>
      <c r="P40" s="89"/>
      <c r="Q40" s="79"/>
    </row>
    <row r="41" spans="1:17" ht="12">
      <c r="A41" s="63" t="s">
        <v>25</v>
      </c>
      <c r="B41" s="96">
        <f t="shared" si="3"/>
        <v>4673.6223576</v>
      </c>
      <c r="C41" s="96">
        <f t="shared" si="3"/>
        <v>5772.2206387999995</v>
      </c>
      <c r="D41" s="96">
        <f t="shared" si="3"/>
        <v>4896.671234</v>
      </c>
      <c r="E41" s="96">
        <f t="shared" si="3"/>
        <v>7275.4272359999995</v>
      </c>
      <c r="F41" s="96">
        <f t="shared" si="3"/>
        <v>6097.895924400001</v>
      </c>
      <c r="G41" s="96">
        <f t="shared" si="3"/>
        <v>6134.769286800001</v>
      </c>
      <c r="H41" s="96">
        <f t="shared" si="3"/>
        <v>6355.606348</v>
      </c>
      <c r="I41" s="96">
        <f t="shared" si="3"/>
        <v>5162.7924152</v>
      </c>
      <c r="J41" s="96">
        <f t="shared" si="3"/>
        <v>5508.660665199999</v>
      </c>
      <c r="K41" s="96">
        <f t="shared" si="3"/>
        <v>4850.9703703999985</v>
      </c>
      <c r="L41" s="96">
        <f t="shared" si="3"/>
        <v>4856.7036252</v>
      </c>
      <c r="M41" s="96">
        <f t="shared" si="3"/>
        <v>6555.8125332</v>
      </c>
      <c r="N41" s="96">
        <f t="shared" si="4"/>
        <v>68141.1526348</v>
      </c>
      <c r="O41" s="96"/>
      <c r="P41" s="89"/>
      <c r="Q41" s="79"/>
    </row>
    <row r="42" spans="1:17" ht="12">
      <c r="A42" s="63" t="s">
        <v>26</v>
      </c>
      <c r="B42" s="96">
        <f t="shared" si="3"/>
        <v>-415.34065799999996</v>
      </c>
      <c r="C42" s="96">
        <f t="shared" si="3"/>
        <v>-513.3121289999999</v>
      </c>
      <c r="D42" s="96">
        <f t="shared" si="3"/>
        <v>-415.85134500000004</v>
      </c>
      <c r="E42" s="96">
        <f t="shared" si="3"/>
        <v>-746.5956299999999</v>
      </c>
      <c r="F42" s="96">
        <f t="shared" si="3"/>
        <v>-667.2932770000001</v>
      </c>
      <c r="G42" s="96">
        <f t="shared" si="3"/>
        <v>-712.0692190000001</v>
      </c>
      <c r="H42" s="96">
        <f t="shared" si="3"/>
        <v>-776.3655900000001</v>
      </c>
      <c r="I42" s="96">
        <f t="shared" si="3"/>
        <v>-737.2035660000001</v>
      </c>
      <c r="J42" s="96">
        <f t="shared" si="3"/>
        <v>-847.9886910000001</v>
      </c>
      <c r="K42" s="96">
        <f t="shared" si="3"/>
        <v>-791.8225819999999</v>
      </c>
      <c r="L42" s="96">
        <f t="shared" si="3"/>
        <v>-726.5912410000001</v>
      </c>
      <c r="M42" s="96">
        <f t="shared" si="3"/>
        <v>-806.7101309999999</v>
      </c>
      <c r="N42" s="96">
        <f t="shared" si="4"/>
        <v>-8157.144059</v>
      </c>
      <c r="O42" s="96"/>
      <c r="P42" s="89"/>
      <c r="Q42" s="79"/>
    </row>
    <row r="43" spans="1:17" ht="12">
      <c r="A43" s="63" t="s">
        <v>9</v>
      </c>
      <c r="B43" s="96">
        <f t="shared" si="3"/>
        <v>13868.8961892</v>
      </c>
      <c r="C43" s="96">
        <f t="shared" si="3"/>
        <v>14706.9997646</v>
      </c>
      <c r="D43" s="96">
        <f t="shared" si="3"/>
        <v>12937.928003000003</v>
      </c>
      <c r="E43" s="96">
        <f t="shared" si="3"/>
        <v>16805.507862</v>
      </c>
      <c r="F43" s="96">
        <f t="shared" si="3"/>
        <v>14301.507929800002</v>
      </c>
      <c r="G43" s="96">
        <f t="shared" si="3"/>
        <v>14800.207580600003</v>
      </c>
      <c r="H43" s="96">
        <f t="shared" si="3"/>
        <v>14431.064466</v>
      </c>
      <c r="I43" s="96">
        <f t="shared" si="3"/>
        <v>14050.229528400001</v>
      </c>
      <c r="J43" s="96">
        <f t="shared" si="3"/>
        <v>15762.392903400001</v>
      </c>
      <c r="K43" s="96">
        <f t="shared" si="3"/>
        <v>14583.689686799997</v>
      </c>
      <c r="L43" s="96">
        <f t="shared" si="3"/>
        <v>13866.219923400002</v>
      </c>
      <c r="M43" s="96">
        <f t="shared" si="3"/>
        <v>14562.774509399998</v>
      </c>
      <c r="N43" s="96">
        <f t="shared" si="4"/>
        <v>174677.41834660002</v>
      </c>
      <c r="O43" s="96"/>
      <c r="P43" s="89"/>
      <c r="Q43" s="79"/>
    </row>
    <row r="44" spans="1:17" ht="12">
      <c r="A44" s="63" t="s">
        <v>10</v>
      </c>
      <c r="B44" s="96">
        <f t="shared" si="3"/>
        <v>1301.272452</v>
      </c>
      <c r="C44" s="96">
        <f t="shared" si="3"/>
        <v>1817.1424259999994</v>
      </c>
      <c r="D44" s="96">
        <f t="shared" si="3"/>
        <v>1472.12793</v>
      </c>
      <c r="E44" s="96">
        <f t="shared" si="3"/>
        <v>2448.21522</v>
      </c>
      <c r="F44" s="96">
        <f t="shared" si="3"/>
        <v>1678.159938</v>
      </c>
      <c r="G44" s="96">
        <f t="shared" si="3"/>
        <v>1524.8368859999998</v>
      </c>
      <c r="H44" s="96">
        <f t="shared" si="3"/>
        <v>1331.1534599999998</v>
      </c>
      <c r="I44" s="96">
        <f t="shared" si="3"/>
        <v>1264.0064039999997</v>
      </c>
      <c r="J44" s="96">
        <f t="shared" si="3"/>
        <v>1914.6546539999997</v>
      </c>
      <c r="K44" s="96">
        <f t="shared" si="3"/>
        <v>2281.076507999999</v>
      </c>
      <c r="L44" s="96">
        <f t="shared" si="3"/>
        <v>1720.8870539999998</v>
      </c>
      <c r="M44" s="96">
        <f t="shared" si="3"/>
        <v>1857.764214</v>
      </c>
      <c r="N44" s="96">
        <f t="shared" si="4"/>
        <v>20611.297145999997</v>
      </c>
      <c r="O44" s="96"/>
      <c r="P44" s="89"/>
      <c r="Q44" s="79"/>
    </row>
    <row r="45" spans="1:17" s="87" customFormat="1" ht="12">
      <c r="A45" s="97" t="s">
        <v>19</v>
      </c>
      <c r="B45" s="98">
        <f aca="true" t="shared" si="5" ref="B45:N45">SUM(B36:B44)</f>
        <v>70011.609852</v>
      </c>
      <c r="C45" s="98">
        <f t="shared" si="5"/>
        <v>83020.148046</v>
      </c>
      <c r="D45" s="98">
        <f t="shared" si="5"/>
        <v>74028.46633000001</v>
      </c>
      <c r="E45" s="98">
        <f t="shared" si="5"/>
        <v>110976.63852</v>
      </c>
      <c r="F45" s="98">
        <f t="shared" si="5"/>
        <v>52514.72655800001</v>
      </c>
      <c r="G45" s="98">
        <f t="shared" si="5"/>
        <v>59504.450326</v>
      </c>
      <c r="H45" s="98">
        <f t="shared" si="5"/>
        <v>83917.59375999997</v>
      </c>
      <c r="I45" s="98">
        <f t="shared" si="5"/>
        <v>87674.268164</v>
      </c>
      <c r="J45" s="98">
        <f t="shared" si="5"/>
        <v>87074.91456399999</v>
      </c>
      <c r="K45" s="98">
        <f t="shared" si="5"/>
        <v>59262.91220799999</v>
      </c>
      <c r="L45" s="98">
        <f t="shared" si="5"/>
        <v>22172.655993999997</v>
      </c>
      <c r="M45" s="98">
        <f t="shared" si="5"/>
        <v>35365.750614000004</v>
      </c>
      <c r="N45" s="98">
        <f t="shared" si="5"/>
        <v>825524.134936</v>
      </c>
      <c r="O45" s="98"/>
      <c r="P45" s="99"/>
      <c r="Q45" s="99"/>
    </row>
    <row r="46" spans="1:17" ht="12">
      <c r="A46" s="63" t="s">
        <v>17</v>
      </c>
      <c r="B46" s="96">
        <f>B16*B32</f>
        <v>-4043.6386319999997</v>
      </c>
      <c r="C46" s="96">
        <f aca="true" t="shared" si="6" ref="C46:M46">C16*C32</f>
        <v>-4287.997515999999</v>
      </c>
      <c r="D46" s="96">
        <f t="shared" si="6"/>
        <v>-3473.8503800000003</v>
      </c>
      <c r="E46" s="96">
        <f t="shared" si="6"/>
        <v>-4373.92252</v>
      </c>
      <c r="F46" s="96">
        <f t="shared" si="6"/>
        <v>-3666.0011080000004</v>
      </c>
      <c r="G46" s="96">
        <f t="shared" si="6"/>
        <v>-3911.992876</v>
      </c>
      <c r="H46" s="96">
        <f t="shared" si="6"/>
        <v>-4136.492359999999</v>
      </c>
      <c r="I46" s="96">
        <f t="shared" si="6"/>
        <v>-3927.836264</v>
      </c>
      <c r="J46" s="96">
        <f t="shared" si="6"/>
        <v>-4518.101764</v>
      </c>
      <c r="K46" s="96">
        <f t="shared" si="6"/>
        <v>-3978.676327999999</v>
      </c>
      <c r="L46" s="96">
        <f t="shared" si="6"/>
        <v>-3650.907964</v>
      </c>
      <c r="M46" s="96">
        <f t="shared" si="6"/>
        <v>-3941.296524</v>
      </c>
      <c r="N46" s="96">
        <f>SUM(B46:M46)</f>
        <v>-47910.714236</v>
      </c>
      <c r="O46" s="96"/>
      <c r="P46" s="99"/>
      <c r="Q46" s="79"/>
    </row>
    <row r="47" spans="1:17" ht="12">
      <c r="A47" s="100"/>
      <c r="B47" s="89"/>
      <c r="C47" s="89"/>
      <c r="D47" s="89"/>
      <c r="E47" s="89"/>
      <c r="F47" s="89"/>
      <c r="G47" s="89"/>
      <c r="H47" s="89"/>
      <c r="I47" s="89"/>
      <c r="J47" s="89"/>
      <c r="K47" s="89"/>
      <c r="L47" s="89"/>
      <c r="M47" s="89"/>
      <c r="N47" s="89"/>
      <c r="O47" s="89"/>
      <c r="P47" s="89"/>
      <c r="Q47" s="79"/>
    </row>
    <row r="48" spans="1:27" s="87" customFormat="1" ht="12">
      <c r="A48" s="83" t="s">
        <v>4</v>
      </c>
      <c r="B48" s="101">
        <f>SUM(B45:B47)</f>
        <v>65967.97121999999</v>
      </c>
      <c r="C48" s="101">
        <f aca="true" t="shared" si="7" ref="C48:N48">SUM(C45:C47)</f>
        <v>78732.15053</v>
      </c>
      <c r="D48" s="101">
        <f t="shared" si="7"/>
        <v>70554.61595</v>
      </c>
      <c r="E48" s="101">
        <f t="shared" si="7"/>
        <v>106602.71599999999</v>
      </c>
      <c r="F48" s="101">
        <f t="shared" si="7"/>
        <v>48848.72545000001</v>
      </c>
      <c r="G48" s="101">
        <f t="shared" si="7"/>
        <v>55592.45745</v>
      </c>
      <c r="H48" s="101">
        <f t="shared" si="7"/>
        <v>79781.10139999997</v>
      </c>
      <c r="I48" s="101">
        <f t="shared" si="7"/>
        <v>83746.4319</v>
      </c>
      <c r="J48" s="101">
        <f t="shared" si="7"/>
        <v>82556.81279999999</v>
      </c>
      <c r="K48" s="101">
        <f t="shared" si="7"/>
        <v>55284.235879999986</v>
      </c>
      <c r="L48" s="101">
        <f t="shared" si="7"/>
        <v>18521.748029999995</v>
      </c>
      <c r="M48" s="101">
        <f t="shared" si="7"/>
        <v>31424.454090000003</v>
      </c>
      <c r="N48" s="101">
        <f t="shared" si="7"/>
        <v>777613.4207</v>
      </c>
      <c r="O48" s="102"/>
      <c r="P48" s="103"/>
      <c r="Q48" s="104"/>
      <c r="R48" s="105"/>
      <c r="S48" s="105"/>
      <c r="T48" s="105"/>
      <c r="U48" s="105"/>
      <c r="V48" s="105"/>
      <c r="W48" s="105"/>
      <c r="X48" s="105"/>
      <c r="Y48" s="105"/>
      <c r="Z48" s="105"/>
      <c r="AA48" s="105"/>
    </row>
    <row r="49" spans="2:27" ht="12">
      <c r="B49" s="89"/>
      <c r="C49" s="89"/>
      <c r="D49" s="89"/>
      <c r="E49" s="89"/>
      <c r="F49" s="89"/>
      <c r="G49" s="89"/>
      <c r="H49" s="89"/>
      <c r="I49" s="89"/>
      <c r="J49" s="89"/>
      <c r="K49" s="89"/>
      <c r="L49" s="89"/>
      <c r="M49" s="89"/>
      <c r="N49" s="92"/>
      <c r="O49" s="187" t="s">
        <v>52</v>
      </c>
      <c r="P49" s="106"/>
      <c r="Q49" s="51"/>
      <c r="R49" s="66"/>
      <c r="S49" s="66"/>
      <c r="T49" s="66"/>
      <c r="U49" s="66"/>
      <c r="V49" s="66"/>
      <c r="W49" s="66"/>
      <c r="X49" s="66"/>
      <c r="Y49" s="66"/>
      <c r="Z49" s="66"/>
      <c r="AA49" s="66"/>
    </row>
    <row r="50" spans="1:17" s="106" customFormat="1" ht="12">
      <c r="A50" s="107" t="s">
        <v>29</v>
      </c>
      <c r="B50" s="108">
        <v>50008.451496673406</v>
      </c>
      <c r="C50" s="108">
        <v>50233.049084858576</v>
      </c>
      <c r="D50" s="108">
        <v>50375.6418166584</v>
      </c>
      <c r="E50" s="108">
        <v>50553.46607532383</v>
      </c>
      <c r="F50" s="108">
        <v>50758.407347715765</v>
      </c>
      <c r="G50" s="108">
        <v>51008.86366754411</v>
      </c>
      <c r="H50" s="108">
        <v>50998.162605832884</v>
      </c>
      <c r="I50" s="108">
        <v>51115.70420791786</v>
      </c>
      <c r="J50" s="108">
        <v>51314.073721638444</v>
      </c>
      <c r="K50" s="108">
        <v>51276.91006667442</v>
      </c>
      <c r="L50" s="108">
        <v>51471.755016009934</v>
      </c>
      <c r="M50" s="108">
        <v>51508.45770719746</v>
      </c>
      <c r="N50" s="107">
        <f>SUM(B50:M50)</f>
        <v>610622.9428140451</v>
      </c>
      <c r="O50" s="188">
        <f>N50/12*5</f>
        <v>254426.2261725188</v>
      </c>
      <c r="Q50" s="51"/>
    </row>
    <row r="51" spans="1:27" s="89" customFormat="1" ht="12">
      <c r="A51" s="109"/>
      <c r="B51" s="110"/>
      <c r="D51" s="65"/>
      <c r="E51" s="65"/>
      <c r="F51" s="65"/>
      <c r="G51" s="65"/>
      <c r="H51" s="65"/>
      <c r="I51" s="65"/>
      <c r="J51" s="65"/>
      <c r="K51" s="65"/>
      <c r="L51" s="65"/>
      <c r="M51" s="65"/>
      <c r="N51" s="65"/>
      <c r="O51" s="65"/>
      <c r="P51" s="106"/>
      <c r="Q51" s="111"/>
      <c r="R51" s="106"/>
      <c r="S51" s="106"/>
      <c r="T51" s="106"/>
      <c r="U51" s="106"/>
      <c r="V51" s="106"/>
      <c r="W51" s="106"/>
      <c r="X51" s="106"/>
      <c r="Y51" s="106"/>
      <c r="Z51" s="106"/>
      <c r="AA51" s="106"/>
    </row>
    <row r="52" spans="1:27" s="89" customFormat="1" ht="12">
      <c r="A52" s="109" t="s">
        <v>11</v>
      </c>
      <c r="B52" s="112">
        <f>+_xlfn.IFERROR(B48/B50,0)</f>
        <v>1.3191364508534766</v>
      </c>
      <c r="C52" s="112">
        <f aca="true" t="shared" si="8" ref="C52:M52">+_xlfn.IFERROR(C48/C50,0)</f>
        <v>1.56733767836784</v>
      </c>
      <c r="D52" s="112">
        <f t="shared" si="8"/>
        <v>1.400570065326071</v>
      </c>
      <c r="E52" s="112">
        <f t="shared" si="8"/>
        <v>2.108712305525475</v>
      </c>
      <c r="F52" s="112">
        <f t="shared" si="8"/>
        <v>0.962377032741913</v>
      </c>
      <c r="G52" s="112">
        <f t="shared" si="8"/>
        <v>1.0898587706703284</v>
      </c>
      <c r="H52" s="112">
        <f t="shared" si="8"/>
        <v>1.56439168243436</v>
      </c>
      <c r="I52" s="112">
        <f t="shared" si="8"/>
        <v>1.6383699138596162</v>
      </c>
      <c r="J52" s="112">
        <f t="shared" si="8"/>
        <v>1.6088532212009297</v>
      </c>
      <c r="K52" s="112">
        <f t="shared" si="8"/>
        <v>1.0781506882554919</v>
      </c>
      <c r="L52" s="112">
        <f t="shared" si="8"/>
        <v>0.35984294734537287</v>
      </c>
      <c r="M52" s="112">
        <f t="shared" si="8"/>
        <v>0.6100833822016952</v>
      </c>
      <c r="N52" s="112"/>
      <c r="O52" s="112"/>
      <c r="P52" s="106"/>
      <c r="Q52" s="106"/>
      <c r="R52" s="106"/>
      <c r="S52" s="106"/>
      <c r="T52" s="106"/>
      <c r="U52" s="106"/>
      <c r="V52" s="106"/>
      <c r="W52" s="106"/>
      <c r="X52" s="106"/>
      <c r="Y52" s="106"/>
      <c r="Z52" s="106"/>
      <c r="AA52" s="106"/>
    </row>
    <row r="53" spans="1:27" s="89" customFormat="1" ht="12">
      <c r="A53" s="109" t="s">
        <v>12</v>
      </c>
      <c r="B53" s="112">
        <v>0.92</v>
      </c>
      <c r="C53" s="112">
        <v>0.92</v>
      </c>
      <c r="D53" s="112">
        <v>0.92</v>
      </c>
      <c r="E53" s="113">
        <v>0.88</v>
      </c>
      <c r="F53" s="113">
        <v>0.88</v>
      </c>
      <c r="G53" s="113">
        <v>0.88</v>
      </c>
      <c r="H53" s="113">
        <v>0.88</v>
      </c>
      <c r="I53" s="113">
        <v>0.88</v>
      </c>
      <c r="J53" s="113">
        <v>0.88</v>
      </c>
      <c r="K53" s="113">
        <v>0.88</v>
      </c>
      <c r="L53" s="113">
        <v>0.88</v>
      </c>
      <c r="M53" s="113">
        <v>0.88</v>
      </c>
      <c r="N53" s="112"/>
      <c r="O53" s="112"/>
      <c r="P53" s="106"/>
      <c r="Q53" s="106"/>
      <c r="R53" s="106"/>
      <c r="S53" s="106"/>
      <c r="T53" s="106"/>
      <c r="U53" s="106"/>
      <c r="V53" s="106"/>
      <c r="W53" s="106"/>
      <c r="X53" s="106"/>
      <c r="Y53" s="106"/>
      <c r="Z53" s="106"/>
      <c r="AA53" s="106"/>
    </row>
    <row r="54" spans="1:27" s="89" customFormat="1" ht="12">
      <c r="A54" s="109" t="s">
        <v>13</v>
      </c>
      <c r="B54" s="96">
        <f>+B53*B50</f>
        <v>46007.775376939535</v>
      </c>
      <c r="C54" s="96">
        <f>+C53*C50</f>
        <v>46214.405158069894</v>
      </c>
      <c r="D54" s="96">
        <f aca="true" t="shared" si="9" ref="D54:L54">+D53*D50</f>
        <v>46345.590471325726</v>
      </c>
      <c r="E54" s="96">
        <f t="shared" si="9"/>
        <v>44487.05014628497</v>
      </c>
      <c r="F54" s="96">
        <f t="shared" si="9"/>
        <v>44667.39846598987</v>
      </c>
      <c r="G54" s="96">
        <f t="shared" si="9"/>
        <v>44887.80002743882</v>
      </c>
      <c r="H54" s="96">
        <f t="shared" si="9"/>
        <v>44878.383093132936</v>
      </c>
      <c r="I54" s="96">
        <f t="shared" si="9"/>
        <v>44981.81970296772</v>
      </c>
      <c r="J54" s="96">
        <f t="shared" si="9"/>
        <v>45156.38487504183</v>
      </c>
      <c r="K54" s="96">
        <f t="shared" si="9"/>
        <v>45123.68085867349</v>
      </c>
      <c r="L54" s="96">
        <f t="shared" si="9"/>
        <v>45295.14441408874</v>
      </c>
      <c r="M54" s="96">
        <f>+M53*M50</f>
        <v>45327.44278233377</v>
      </c>
      <c r="N54" s="96">
        <f>SUM(B54:M54)</f>
        <v>543372.8753722872</v>
      </c>
      <c r="O54" s="96"/>
      <c r="P54" s="106"/>
      <c r="T54" s="106"/>
      <c r="U54" s="106"/>
      <c r="V54" s="106"/>
      <c r="W54" s="106"/>
      <c r="X54" s="106"/>
      <c r="Y54" s="106"/>
      <c r="Z54" s="106"/>
      <c r="AA54" s="106"/>
    </row>
    <row r="55" spans="1:27" s="116" customFormat="1" ht="12.75" thickBot="1">
      <c r="A55" s="114" t="s">
        <v>22</v>
      </c>
      <c r="B55" s="115">
        <f>+ROUND(B54-B48,2)</f>
        <v>-19960.2</v>
      </c>
      <c r="C55" s="115">
        <f aca="true" t="shared" si="10" ref="C55:M55">+ROUND(C54-C48,2)</f>
        <v>-32517.75</v>
      </c>
      <c r="D55" s="115">
        <f t="shared" si="10"/>
        <v>-24209.03</v>
      </c>
      <c r="E55" s="115">
        <f t="shared" si="10"/>
        <v>-62115.67</v>
      </c>
      <c r="F55" s="115">
        <f t="shared" si="10"/>
        <v>-4181.33</v>
      </c>
      <c r="G55" s="115">
        <f t="shared" si="10"/>
        <v>-10704.66</v>
      </c>
      <c r="H55" s="115">
        <f t="shared" si="10"/>
        <v>-34902.72</v>
      </c>
      <c r="I55" s="115">
        <f t="shared" si="10"/>
        <v>-38764.61</v>
      </c>
      <c r="J55" s="115">
        <f t="shared" si="10"/>
        <v>-37400.43</v>
      </c>
      <c r="K55" s="115">
        <f t="shared" si="10"/>
        <v>-10160.56</v>
      </c>
      <c r="L55" s="115">
        <f t="shared" si="10"/>
        <v>26773.4</v>
      </c>
      <c r="M55" s="115">
        <f t="shared" si="10"/>
        <v>13902.99</v>
      </c>
      <c r="N55" s="115">
        <f>SUM(B55:M55)</f>
        <v>-234240.56999999998</v>
      </c>
      <c r="O55" s="188">
        <f>N55/12*6</f>
        <v>-117120.28499999997</v>
      </c>
      <c r="P55" s="103"/>
      <c r="Q55" s="116">
        <f>N55+'[2]Commodity Credit 3-1-2018'!$N$55</f>
        <v>-249349.86</v>
      </c>
      <c r="T55" s="103"/>
      <c r="U55" s="103"/>
      <c r="V55" s="103"/>
      <c r="W55" s="103"/>
      <c r="X55" s="103"/>
      <c r="Y55" s="103"/>
      <c r="Z55" s="103"/>
      <c r="AA55" s="103"/>
    </row>
    <row r="56" spans="1:27" s="89" customFormat="1" ht="12">
      <c r="A56" s="109"/>
      <c r="B56" s="117"/>
      <c r="C56" s="117"/>
      <c r="D56" s="117"/>
      <c r="E56" s="117"/>
      <c r="F56" s="117"/>
      <c r="G56" s="117"/>
      <c r="H56" s="117"/>
      <c r="I56" s="117"/>
      <c r="J56" s="117"/>
      <c r="K56" s="117"/>
      <c r="N56" s="118"/>
      <c r="O56" s="118"/>
      <c r="P56" s="119"/>
      <c r="Q56" s="119">
        <f>Q55/12*8</f>
        <v>-166233.24</v>
      </c>
      <c r="S56" s="106"/>
      <c r="T56" s="106"/>
      <c r="U56" s="106"/>
      <c r="V56" s="106"/>
      <c r="W56" s="106"/>
      <c r="X56" s="106"/>
      <c r="Y56" s="106"/>
      <c r="Z56" s="106"/>
      <c r="AA56" s="106"/>
    </row>
    <row r="57" spans="1:27" s="89" customFormat="1" ht="12.75">
      <c r="A57" s="44"/>
      <c r="M57" s="88" t="s">
        <v>30</v>
      </c>
      <c r="N57" s="51">
        <f>ROUND(H118/SUM(I50:M50,B87),2)</f>
        <v>-0.14</v>
      </c>
      <c r="O57" s="79"/>
      <c r="P57" s="120"/>
      <c r="Q57" s="121"/>
      <c r="R57" s="106"/>
      <c r="S57" s="106"/>
      <c r="T57" s="106"/>
      <c r="U57" s="106"/>
      <c r="V57" s="106"/>
      <c r="W57" s="106"/>
      <c r="X57" s="106"/>
      <c r="Y57" s="106"/>
      <c r="Z57" s="106"/>
      <c r="AA57" s="106"/>
    </row>
    <row r="58" spans="1:27" s="89" customFormat="1" ht="12.75">
      <c r="A58" s="44"/>
      <c r="B58" s="79"/>
      <c r="C58" s="79"/>
      <c r="D58" s="79"/>
      <c r="E58" s="79"/>
      <c r="F58" s="79"/>
      <c r="H58" s="122"/>
      <c r="I58" s="122"/>
      <c r="J58" s="122"/>
      <c r="K58" s="122"/>
      <c r="L58" s="122"/>
      <c r="M58" s="122" t="s">
        <v>14</v>
      </c>
      <c r="N58" s="123">
        <f>ROUND(-N55/N50,2)</f>
        <v>0.38</v>
      </c>
      <c r="O58" s="189">
        <f>ROUND(-O55/O50,2)</f>
        <v>0.46</v>
      </c>
      <c r="P58" s="120"/>
      <c r="Q58" s="121"/>
      <c r="R58" s="106"/>
      <c r="S58" s="106"/>
      <c r="T58" s="106"/>
      <c r="U58" s="106"/>
      <c r="V58" s="106"/>
      <c r="W58" s="106"/>
      <c r="X58" s="106"/>
      <c r="Y58" s="106"/>
      <c r="Z58" s="106"/>
      <c r="AA58" s="106"/>
    </row>
    <row r="59" spans="1:27" s="89" customFormat="1" ht="12">
      <c r="A59" s="109"/>
      <c r="H59" s="88"/>
      <c r="I59" s="88"/>
      <c r="J59" s="88"/>
      <c r="K59" s="88"/>
      <c r="L59" s="88"/>
      <c r="M59" s="88" t="s">
        <v>15</v>
      </c>
      <c r="N59" s="79">
        <f>+N57+N58</f>
        <v>0.24</v>
      </c>
      <c r="O59" s="79"/>
      <c r="P59" s="120"/>
      <c r="Q59" s="121"/>
      <c r="R59" s="106"/>
      <c r="S59" s="106"/>
      <c r="T59" s="106"/>
      <c r="U59" s="106"/>
      <c r="V59" s="106"/>
      <c r="W59" s="106"/>
      <c r="X59" s="106"/>
      <c r="Y59" s="106"/>
      <c r="Z59" s="106"/>
      <c r="AA59" s="106"/>
    </row>
    <row r="60" spans="1:27" s="89" customFormat="1" ht="12">
      <c r="A60" s="109"/>
      <c r="M60" s="88" t="s">
        <v>0</v>
      </c>
      <c r="N60" s="51">
        <v>0.74</v>
      </c>
      <c r="O60" s="51"/>
      <c r="P60" s="106"/>
      <c r="Q60" s="106"/>
      <c r="R60" s="106"/>
      <c r="S60" s="106"/>
      <c r="T60" s="106"/>
      <c r="U60" s="106"/>
      <c r="V60" s="106"/>
      <c r="W60" s="106"/>
      <c r="X60" s="106"/>
      <c r="Y60" s="106"/>
      <c r="Z60" s="106"/>
      <c r="AA60" s="106"/>
    </row>
    <row r="61" spans="1:27" s="89" customFormat="1" ht="12">
      <c r="A61" s="109"/>
      <c r="M61" s="88" t="s">
        <v>1</v>
      </c>
      <c r="N61" s="79">
        <f>+N59-N60</f>
        <v>-0.5</v>
      </c>
      <c r="O61" s="79"/>
      <c r="P61" s="106"/>
      <c r="Q61" s="106"/>
      <c r="R61" s="106"/>
      <c r="S61" s="106"/>
      <c r="T61" s="106"/>
      <c r="U61" s="106"/>
      <c r="V61" s="106"/>
      <c r="W61" s="106"/>
      <c r="X61" s="106"/>
      <c r="Y61" s="106"/>
      <c r="Z61" s="106"/>
      <c r="AA61" s="106"/>
    </row>
    <row r="62" spans="1:27" s="89" customFormat="1" ht="12">
      <c r="A62" s="109"/>
      <c r="M62" s="88" t="s">
        <v>2</v>
      </c>
      <c r="N62" s="124">
        <f>-N61*N50</f>
        <v>305311.47140702256</v>
      </c>
      <c r="O62" s="124"/>
      <c r="P62" s="106"/>
      <c r="Q62" s="106"/>
      <c r="R62" s="106"/>
      <c r="S62" s="106"/>
      <c r="T62" s="106"/>
      <c r="U62" s="106"/>
      <c r="V62" s="106"/>
      <c r="W62" s="106"/>
      <c r="X62" s="106"/>
      <c r="Y62" s="106"/>
      <c r="Z62" s="106"/>
      <c r="AA62" s="106"/>
    </row>
    <row r="63" spans="1:27" s="89" customFormat="1" ht="12">
      <c r="A63" s="109"/>
      <c r="P63" s="106"/>
      <c r="Q63" s="106"/>
      <c r="R63" s="106"/>
      <c r="S63" s="106"/>
      <c r="T63" s="106"/>
      <c r="U63" s="106"/>
      <c r="V63" s="106"/>
      <c r="W63" s="106"/>
      <c r="X63" s="106"/>
      <c r="Y63" s="106"/>
      <c r="Z63" s="106"/>
      <c r="AA63" s="106"/>
    </row>
    <row r="64" spans="1:27" s="89" customFormat="1" ht="12">
      <c r="A64" s="109"/>
      <c r="M64" s="88" t="s">
        <v>16</v>
      </c>
      <c r="N64" s="125">
        <f>+N60</f>
        <v>0.74</v>
      </c>
      <c r="O64" s="125"/>
      <c r="P64" s="126"/>
      <c r="Q64" s="106"/>
      <c r="R64" s="106"/>
      <c r="S64" s="106"/>
      <c r="T64" s="106"/>
      <c r="U64" s="106"/>
      <c r="V64" s="106"/>
      <c r="W64" s="106"/>
      <c r="X64" s="106"/>
      <c r="Y64" s="106"/>
      <c r="Z64" s="106"/>
      <c r="AA64" s="106"/>
    </row>
    <row r="65" spans="1:27" s="89" customFormat="1" ht="12">
      <c r="A65" s="109"/>
      <c r="J65" s="116"/>
      <c r="K65" s="116"/>
      <c r="L65" s="116"/>
      <c r="M65" s="127" t="s">
        <v>28</v>
      </c>
      <c r="N65" s="128">
        <f>N59</f>
        <v>0.24</v>
      </c>
      <c r="O65" s="128"/>
      <c r="P65" s="126"/>
      <c r="Q65" s="106"/>
      <c r="R65" s="106"/>
      <c r="S65" s="106"/>
      <c r="T65" s="106"/>
      <c r="U65" s="106"/>
      <c r="V65" s="106"/>
      <c r="W65" s="106"/>
      <c r="X65" s="106"/>
      <c r="Y65" s="106"/>
      <c r="Z65" s="106"/>
      <c r="AA65" s="106"/>
    </row>
    <row r="66" spans="1:27" s="89" customFormat="1" ht="12">
      <c r="A66" s="109"/>
      <c r="M66" s="129" t="s">
        <v>1</v>
      </c>
      <c r="N66" s="125">
        <f>-N64+N65</f>
        <v>-0.5</v>
      </c>
      <c r="O66" s="125"/>
      <c r="P66" s="130"/>
      <c r="Q66" s="106"/>
      <c r="R66" s="106"/>
      <c r="S66" s="106"/>
      <c r="T66" s="106"/>
      <c r="U66" s="106"/>
      <c r="V66" s="106"/>
      <c r="W66" s="106"/>
      <c r="X66" s="106"/>
      <c r="Y66" s="106"/>
      <c r="Z66" s="106"/>
      <c r="AA66" s="106"/>
    </row>
    <row r="67" spans="1:27" s="89" customFormat="1" ht="12">
      <c r="A67" s="109"/>
      <c r="M67" s="88"/>
      <c r="P67" s="106"/>
      <c r="Q67" s="106"/>
      <c r="R67" s="106"/>
      <c r="S67" s="106"/>
      <c r="T67" s="106"/>
      <c r="U67" s="106"/>
      <c r="V67" s="106"/>
      <c r="W67" s="106"/>
      <c r="X67" s="106"/>
      <c r="Y67" s="106"/>
      <c r="Z67" s="106"/>
      <c r="AA67" s="106"/>
    </row>
    <row r="68" spans="1:27" s="89" customFormat="1" ht="12">
      <c r="A68" s="109"/>
      <c r="M68" s="88" t="s">
        <v>18</v>
      </c>
      <c r="N68" s="131">
        <f>N66/N64</f>
        <v>-0.6756756756756757</v>
      </c>
      <c r="O68" s="131"/>
      <c r="P68" s="106"/>
      <c r="Q68" s="106"/>
      <c r="R68" s="106"/>
      <c r="S68" s="106"/>
      <c r="T68" s="106"/>
      <c r="U68" s="106"/>
      <c r="V68" s="106"/>
      <c r="W68" s="106"/>
      <c r="X68" s="106"/>
      <c r="Y68" s="106"/>
      <c r="Z68" s="106"/>
      <c r="AA68" s="106"/>
    </row>
    <row r="69" spans="1:27" s="89" customFormat="1" ht="12">
      <c r="A69" s="109"/>
      <c r="P69" s="106"/>
      <c r="Q69" s="106"/>
      <c r="R69" s="106"/>
      <c r="S69" s="106"/>
      <c r="T69" s="106"/>
      <c r="U69" s="106"/>
      <c r="V69" s="106"/>
      <c r="W69" s="106"/>
      <c r="X69" s="106"/>
      <c r="Y69" s="106"/>
      <c r="Z69" s="106"/>
      <c r="AA69" s="106"/>
    </row>
    <row r="70" spans="1:27" s="89" customFormat="1" ht="12">
      <c r="A70" s="132" t="s">
        <v>40</v>
      </c>
      <c r="N70" s="106"/>
      <c r="O70" s="106"/>
      <c r="P70" s="106"/>
      <c r="Q70" s="106"/>
      <c r="R70" s="106"/>
      <c r="S70" s="106"/>
      <c r="T70" s="106"/>
      <c r="U70" s="106"/>
      <c r="V70" s="106"/>
      <c r="W70" s="106"/>
      <c r="X70" s="106"/>
      <c r="Y70" s="106"/>
      <c r="Z70" s="106"/>
      <c r="AA70" s="106"/>
    </row>
    <row r="71" spans="1:27" s="89" customFormat="1" ht="12">
      <c r="A71" s="133"/>
      <c r="N71" s="106"/>
      <c r="O71" s="106"/>
      <c r="P71" s="106"/>
      <c r="Q71" s="106"/>
      <c r="R71" s="106"/>
      <c r="S71" s="106"/>
      <c r="T71" s="106"/>
      <c r="U71" s="106"/>
      <c r="V71" s="106"/>
      <c r="W71" s="106"/>
      <c r="X71" s="106"/>
      <c r="Y71" s="106"/>
      <c r="Z71" s="106"/>
      <c r="AA71" s="106"/>
    </row>
    <row r="72" spans="1:27" s="89" customFormat="1" ht="12">
      <c r="A72" s="71"/>
      <c r="B72" s="72">
        <v>43070</v>
      </c>
      <c r="N72" s="106"/>
      <c r="O72" s="106"/>
      <c r="P72" s="106"/>
      <c r="Q72" s="106"/>
      <c r="R72" s="106"/>
      <c r="S72" s="106"/>
      <c r="T72" s="106"/>
      <c r="U72" s="106"/>
      <c r="V72" s="106"/>
      <c r="W72" s="106"/>
      <c r="X72" s="106"/>
      <c r="Y72" s="106"/>
      <c r="Z72" s="106"/>
      <c r="AA72" s="106"/>
    </row>
    <row r="73" spans="1:27" s="89" customFormat="1" ht="12">
      <c r="A73" s="75" t="s">
        <v>5</v>
      </c>
      <c r="B73" s="76"/>
      <c r="N73" s="106"/>
      <c r="O73" s="106"/>
      <c r="P73" s="106"/>
      <c r="Q73" s="106"/>
      <c r="R73" s="106"/>
      <c r="S73" s="106"/>
      <c r="T73" s="106"/>
      <c r="U73" s="106"/>
      <c r="V73" s="106"/>
      <c r="W73" s="106"/>
      <c r="X73" s="106"/>
      <c r="Y73" s="106"/>
      <c r="Z73" s="106"/>
      <c r="AA73" s="106"/>
    </row>
    <row r="74" spans="1:27" s="89" customFormat="1" ht="12">
      <c r="A74" s="63" t="s">
        <v>6</v>
      </c>
      <c r="B74" s="78">
        <v>265.40799999999996</v>
      </c>
      <c r="N74" s="106"/>
      <c r="O74" s="106"/>
      <c r="P74" s="106"/>
      <c r="Q74" s="106"/>
      <c r="R74" s="106"/>
      <c r="S74" s="106"/>
      <c r="T74" s="106"/>
      <c r="U74" s="106"/>
      <c r="V74" s="106"/>
      <c r="W74" s="106"/>
      <c r="X74" s="106"/>
      <c r="Y74" s="106"/>
      <c r="Z74" s="106"/>
      <c r="AA74" s="106"/>
    </row>
    <row r="75" spans="1:27" s="89" customFormat="1" ht="12">
      <c r="A75" s="63" t="s">
        <v>8</v>
      </c>
      <c r="B75" s="78">
        <v>312.73600000000005</v>
      </c>
      <c r="N75" s="106"/>
      <c r="O75" s="106"/>
      <c r="P75" s="106"/>
      <c r="Q75" s="106"/>
      <c r="R75" s="106"/>
      <c r="S75" s="106"/>
      <c r="T75" s="106"/>
      <c r="U75" s="106"/>
      <c r="V75" s="106"/>
      <c r="W75" s="106"/>
      <c r="X75" s="106"/>
      <c r="Y75" s="106"/>
      <c r="Z75" s="106"/>
      <c r="AA75" s="106"/>
    </row>
    <row r="76" spans="1:27" s="89" customFormat="1" ht="12">
      <c r="A76" s="63" t="s">
        <v>7</v>
      </c>
      <c r="B76" s="78">
        <v>232</v>
      </c>
      <c r="N76" s="106"/>
      <c r="O76" s="106"/>
      <c r="P76" s="106"/>
      <c r="Q76" s="106"/>
      <c r="R76" s="106"/>
      <c r="S76" s="106"/>
      <c r="T76" s="106"/>
      <c r="U76" s="106"/>
      <c r="V76" s="106"/>
      <c r="W76" s="106"/>
      <c r="X76" s="106"/>
      <c r="Y76" s="106"/>
      <c r="Z76" s="106"/>
      <c r="AA76" s="106"/>
    </row>
    <row r="77" spans="1:27" s="89" customFormat="1" ht="12">
      <c r="A77" s="63" t="s">
        <v>23</v>
      </c>
      <c r="B77" s="78">
        <v>33.407999999999994</v>
      </c>
      <c r="N77" s="106"/>
      <c r="O77" s="106"/>
      <c r="P77" s="106"/>
      <c r="Q77" s="106"/>
      <c r="R77" s="106"/>
      <c r="S77" s="106"/>
      <c r="T77" s="106"/>
      <c r="U77" s="106"/>
      <c r="V77" s="106"/>
      <c r="W77" s="106"/>
      <c r="X77" s="106"/>
      <c r="Y77" s="106"/>
      <c r="Z77" s="106"/>
      <c r="AA77" s="106"/>
    </row>
    <row r="78" spans="1:27" s="89" customFormat="1" ht="12">
      <c r="A78" s="63" t="s">
        <v>24</v>
      </c>
      <c r="B78" s="78">
        <v>8.351999999999999</v>
      </c>
      <c r="N78" s="106"/>
      <c r="O78" s="106"/>
      <c r="P78" s="106"/>
      <c r="Q78" s="106"/>
      <c r="R78" s="106"/>
      <c r="S78" s="106"/>
      <c r="T78" s="106"/>
      <c r="U78" s="106"/>
      <c r="V78" s="106"/>
      <c r="W78" s="106"/>
      <c r="X78" s="106"/>
      <c r="Y78" s="106"/>
      <c r="Z78" s="106"/>
      <c r="AA78" s="106"/>
    </row>
    <row r="79" spans="1:27" s="89" customFormat="1" ht="12">
      <c r="A79" s="63" t="s">
        <v>25</v>
      </c>
      <c r="B79" s="78">
        <v>12.992</v>
      </c>
      <c r="N79" s="106"/>
      <c r="O79" s="106"/>
      <c r="P79" s="106"/>
      <c r="Q79" s="106"/>
      <c r="R79" s="106"/>
      <c r="S79" s="106"/>
      <c r="T79" s="106"/>
      <c r="U79" s="106"/>
      <c r="V79" s="106"/>
      <c r="W79" s="106"/>
      <c r="X79" s="106"/>
      <c r="Y79" s="106"/>
      <c r="Z79" s="106"/>
      <c r="AA79" s="106"/>
    </row>
    <row r="80" spans="1:27" s="89" customFormat="1" ht="12">
      <c r="A80" s="63" t="s">
        <v>26</v>
      </c>
      <c r="B80" s="78">
        <v>4.64</v>
      </c>
      <c r="N80" s="106"/>
      <c r="O80" s="106"/>
      <c r="P80" s="106"/>
      <c r="Q80" s="106"/>
      <c r="R80" s="106"/>
      <c r="S80" s="106"/>
      <c r="T80" s="106"/>
      <c r="U80" s="106"/>
      <c r="V80" s="106"/>
      <c r="W80" s="106"/>
      <c r="X80" s="106"/>
      <c r="Y80" s="106"/>
      <c r="Z80" s="106"/>
      <c r="AA80" s="106"/>
    </row>
    <row r="81" spans="1:27" s="89" customFormat="1" ht="12">
      <c r="A81" s="63" t="s">
        <v>9</v>
      </c>
      <c r="B81" s="78">
        <v>12.064</v>
      </c>
      <c r="N81" s="106"/>
      <c r="O81" s="106"/>
      <c r="P81" s="106"/>
      <c r="Q81" s="106"/>
      <c r="R81" s="106"/>
      <c r="S81" s="106"/>
      <c r="T81" s="106"/>
      <c r="U81" s="106"/>
      <c r="V81" s="106"/>
      <c r="W81" s="106"/>
      <c r="X81" s="106"/>
      <c r="Y81" s="106"/>
      <c r="Z81" s="106"/>
      <c r="AA81" s="106"/>
    </row>
    <row r="82" spans="1:27" s="89" customFormat="1" ht="12">
      <c r="A82" s="63" t="s">
        <v>10</v>
      </c>
      <c r="B82" s="78">
        <v>27.84</v>
      </c>
      <c r="N82" s="106"/>
      <c r="O82" s="106"/>
      <c r="P82" s="106"/>
      <c r="Q82" s="106"/>
      <c r="R82" s="106"/>
      <c r="S82" s="106"/>
      <c r="T82" s="106"/>
      <c r="U82" s="106"/>
      <c r="V82" s="106"/>
      <c r="W82" s="106"/>
      <c r="X82" s="106"/>
      <c r="Y82" s="106"/>
      <c r="Z82" s="106"/>
      <c r="AA82" s="106"/>
    </row>
    <row r="83" spans="1:27" s="89" customFormat="1" ht="12">
      <c r="A83" s="63" t="s">
        <v>39</v>
      </c>
      <c r="B83" s="78">
        <v>18.56</v>
      </c>
      <c r="N83" s="106"/>
      <c r="O83" s="106"/>
      <c r="P83" s="106"/>
      <c r="Q83" s="106"/>
      <c r="R83" s="106"/>
      <c r="S83" s="106"/>
      <c r="T83" s="106"/>
      <c r="U83" s="106"/>
      <c r="V83" s="106"/>
      <c r="W83" s="106"/>
      <c r="X83" s="106"/>
      <c r="Y83" s="106"/>
      <c r="Z83" s="106"/>
      <c r="AA83" s="106"/>
    </row>
    <row r="84" spans="1:27" s="89" customFormat="1" ht="12">
      <c r="A84" s="82"/>
      <c r="B84" s="79"/>
      <c r="N84" s="106"/>
      <c r="O84" s="106"/>
      <c r="P84" s="106"/>
      <c r="Q84" s="106"/>
      <c r="R84" s="106"/>
      <c r="S84" s="106"/>
      <c r="T84" s="106"/>
      <c r="U84" s="106"/>
      <c r="V84" s="106"/>
      <c r="W84" s="106"/>
      <c r="X84" s="106"/>
      <c r="Y84" s="106"/>
      <c r="Z84" s="106"/>
      <c r="AA84" s="106"/>
    </row>
    <row r="85" spans="1:27" s="89" customFormat="1" ht="12">
      <c r="A85" s="83" t="s">
        <v>4</v>
      </c>
      <c r="B85" s="84">
        <f>SUM(B73:B84)</f>
        <v>927.9999999999999</v>
      </c>
      <c r="N85" s="106"/>
      <c r="O85" s="106"/>
      <c r="P85" s="106"/>
      <c r="Q85" s="106"/>
      <c r="R85" s="106"/>
      <c r="S85" s="106"/>
      <c r="T85" s="106"/>
      <c r="U85" s="106"/>
      <c r="V85" s="106"/>
      <c r="W85" s="106"/>
      <c r="X85" s="106"/>
      <c r="Y85" s="106"/>
      <c r="Z85" s="106"/>
      <c r="AA85" s="106"/>
    </row>
    <row r="86" spans="1:27" s="89" customFormat="1" ht="12">
      <c r="A86" s="133"/>
      <c r="N86" s="106"/>
      <c r="O86" s="106"/>
      <c r="P86" s="106"/>
      <c r="Q86" s="106"/>
      <c r="R86" s="106"/>
      <c r="S86" s="106"/>
      <c r="T86" s="106"/>
      <c r="U86" s="106"/>
      <c r="V86" s="106"/>
      <c r="W86" s="106"/>
      <c r="X86" s="106"/>
      <c r="Y86" s="106"/>
      <c r="Z86" s="106"/>
      <c r="AA86" s="106"/>
    </row>
    <row r="87" spans="1:27" s="89" customFormat="1" ht="12">
      <c r="A87" s="133" t="s">
        <v>41</v>
      </c>
      <c r="B87" s="106">
        <v>51577.26266374873</v>
      </c>
      <c r="N87" s="106"/>
      <c r="O87" s="106"/>
      <c r="P87" s="106"/>
      <c r="Q87" s="106"/>
      <c r="R87" s="106"/>
      <c r="S87" s="106"/>
      <c r="T87" s="106"/>
      <c r="U87" s="106"/>
      <c r="V87" s="106"/>
      <c r="W87" s="106"/>
      <c r="X87" s="106"/>
      <c r="Y87" s="106"/>
      <c r="Z87" s="106"/>
      <c r="AA87" s="106"/>
    </row>
    <row r="88" spans="1:27" s="89" customFormat="1" ht="12">
      <c r="A88" s="133"/>
      <c r="N88" s="106"/>
      <c r="O88" s="106"/>
      <c r="P88" s="106"/>
      <c r="Q88" s="106"/>
      <c r="R88" s="106"/>
      <c r="S88" s="106"/>
      <c r="T88" s="106"/>
      <c r="U88" s="106"/>
      <c r="V88" s="106"/>
      <c r="W88" s="106"/>
      <c r="X88" s="106"/>
      <c r="Y88" s="106"/>
      <c r="Z88" s="106"/>
      <c r="AA88" s="106"/>
    </row>
    <row r="89" spans="1:27" s="89" customFormat="1" ht="12">
      <c r="A89" s="133"/>
      <c r="N89" s="106"/>
      <c r="O89" s="106"/>
      <c r="P89" s="106"/>
      <c r="Q89" s="106"/>
      <c r="R89" s="106"/>
      <c r="S89" s="106"/>
      <c r="T89" s="106"/>
      <c r="U89" s="106"/>
      <c r="V89" s="106"/>
      <c r="W89" s="106"/>
      <c r="X89" s="106"/>
      <c r="Y89" s="106"/>
      <c r="Z89" s="106"/>
      <c r="AA89" s="106"/>
    </row>
    <row r="90" spans="1:27" s="89" customFormat="1" ht="12">
      <c r="A90" s="133"/>
      <c r="N90" s="106"/>
      <c r="O90" s="106"/>
      <c r="P90" s="106"/>
      <c r="Q90" s="106"/>
      <c r="R90" s="106"/>
      <c r="S90" s="106"/>
      <c r="T90" s="106"/>
      <c r="U90" s="106"/>
      <c r="V90" s="106"/>
      <c r="W90" s="106"/>
      <c r="X90" s="106"/>
      <c r="Y90" s="106"/>
      <c r="Z90" s="106"/>
      <c r="AA90" s="106"/>
    </row>
    <row r="91" spans="1:26" s="89" customFormat="1" ht="12">
      <c r="A91" s="134"/>
      <c r="B91" s="72">
        <v>42917</v>
      </c>
      <c r="C91" s="72">
        <v>42948</v>
      </c>
      <c r="D91" s="72">
        <v>42979</v>
      </c>
      <c r="E91" s="72">
        <v>43009</v>
      </c>
      <c r="F91" s="72">
        <v>43040</v>
      </c>
      <c r="G91" s="72">
        <v>43070</v>
      </c>
      <c r="N91" s="106"/>
      <c r="O91" s="106"/>
      <c r="P91" s="106"/>
      <c r="Q91" s="106"/>
      <c r="R91" s="106"/>
      <c r="S91" s="106"/>
      <c r="T91" s="106"/>
      <c r="U91" s="106"/>
      <c r="V91" s="106"/>
      <c r="W91" s="106"/>
      <c r="X91" s="106"/>
      <c r="Y91" s="106"/>
      <c r="Z91" s="106"/>
    </row>
    <row r="92" spans="1:26" s="89" customFormat="1" ht="12">
      <c r="A92" s="133" t="s">
        <v>42</v>
      </c>
      <c r="N92" s="106"/>
      <c r="O92" s="106"/>
      <c r="P92" s="106"/>
      <c r="Q92" s="106"/>
      <c r="R92" s="106"/>
      <c r="S92" s="106"/>
      <c r="T92" s="106"/>
      <c r="U92" s="106"/>
      <c r="V92" s="106"/>
      <c r="W92" s="106"/>
      <c r="X92" s="106"/>
      <c r="Y92" s="106"/>
      <c r="Z92" s="106"/>
    </row>
    <row r="93" spans="1:26" s="89" customFormat="1" ht="12">
      <c r="A93" s="109" t="s">
        <v>6</v>
      </c>
      <c r="B93" s="112">
        <v>-0.6600000000000037</v>
      </c>
      <c r="C93" s="112">
        <v>-15.660000000000004</v>
      </c>
      <c r="D93" s="112">
        <v>-33.660000000000004</v>
      </c>
      <c r="E93" s="112">
        <v>-61.660000000000004</v>
      </c>
      <c r="F93" s="112">
        <v>-41.660000000000004</v>
      </c>
      <c r="G93" s="113">
        <v>-32.82999999999999</v>
      </c>
      <c r="H93" s="106"/>
      <c r="I93" s="106"/>
      <c r="J93" s="106"/>
      <c r="K93" s="106"/>
      <c r="L93" s="106"/>
      <c r="M93" s="106"/>
      <c r="N93" s="106"/>
      <c r="O93" s="106"/>
      <c r="P93" s="106"/>
      <c r="Q93" s="106"/>
      <c r="R93" s="106"/>
      <c r="S93" s="106"/>
      <c r="T93" s="106"/>
      <c r="U93" s="106"/>
      <c r="V93" s="106"/>
      <c r="W93" s="106"/>
      <c r="X93" s="106"/>
      <c r="Y93" s="106"/>
      <c r="Z93" s="106"/>
    </row>
    <row r="94" spans="1:26" s="89" customFormat="1" ht="12">
      <c r="A94" s="109" t="s">
        <v>8</v>
      </c>
      <c r="B94" s="112">
        <v>94.33999999999997</v>
      </c>
      <c r="C94" s="112">
        <v>79.33999999999997</v>
      </c>
      <c r="D94" s="112">
        <v>49.34</v>
      </c>
      <c r="E94" s="112">
        <v>-20.660000000000004</v>
      </c>
      <c r="F94" s="112">
        <v>13.339999999999996</v>
      </c>
      <c r="G94" s="113">
        <v>22.170000000000016</v>
      </c>
      <c r="H94" s="106"/>
      <c r="I94" s="106"/>
      <c r="J94" s="106"/>
      <c r="K94" s="106"/>
      <c r="L94" s="106"/>
      <c r="M94" s="106"/>
      <c r="N94" s="106"/>
      <c r="O94" s="106"/>
      <c r="P94" s="106"/>
      <c r="Q94" s="106"/>
      <c r="R94" s="106"/>
      <c r="S94" s="106"/>
      <c r="T94" s="106"/>
      <c r="U94" s="106"/>
      <c r="V94" s="106"/>
      <c r="W94" s="106"/>
      <c r="X94" s="106"/>
      <c r="Y94" s="106"/>
      <c r="Z94" s="106"/>
    </row>
    <row r="95" spans="1:26" s="89" customFormat="1" ht="12">
      <c r="A95" s="109" t="s">
        <v>7</v>
      </c>
      <c r="B95" s="112">
        <v>-5.660000000000004</v>
      </c>
      <c r="C95" s="112">
        <v>-20.660000000000004</v>
      </c>
      <c r="D95" s="112">
        <v>-40.660000000000004</v>
      </c>
      <c r="E95" s="112">
        <v>-65.66</v>
      </c>
      <c r="F95" s="112">
        <v>-80.66</v>
      </c>
      <c r="G95" s="113">
        <v>-112.82999999999998</v>
      </c>
      <c r="H95" s="106"/>
      <c r="I95" s="106"/>
      <c r="J95" s="106"/>
      <c r="K95" s="106"/>
      <c r="L95" s="106"/>
      <c r="M95" s="106"/>
      <c r="N95" s="106"/>
      <c r="O95" s="106"/>
      <c r="P95" s="106"/>
      <c r="Q95" s="106"/>
      <c r="R95" s="106"/>
      <c r="S95" s="106"/>
      <c r="T95" s="106"/>
      <c r="U95" s="106"/>
      <c r="V95" s="106"/>
      <c r="W95" s="106"/>
      <c r="X95" s="106"/>
      <c r="Y95" s="106"/>
      <c r="Z95" s="106"/>
    </row>
    <row r="96" spans="1:26" s="89" customFormat="1" ht="12">
      <c r="A96" s="109" t="s">
        <v>23</v>
      </c>
      <c r="B96" s="112">
        <v>99.33999999999997</v>
      </c>
      <c r="C96" s="112">
        <v>99.33999999999997</v>
      </c>
      <c r="D96" s="112">
        <v>94.33999999999997</v>
      </c>
      <c r="E96" s="112">
        <v>39.34</v>
      </c>
      <c r="F96" s="112">
        <v>-20.660000000000004</v>
      </c>
      <c r="G96" s="113">
        <v>-27.82999999999999</v>
      </c>
      <c r="H96" s="106"/>
      <c r="I96" s="106"/>
      <c r="J96" s="106"/>
      <c r="K96" s="106"/>
      <c r="L96" s="106"/>
      <c r="M96" s="106"/>
      <c r="N96" s="106"/>
      <c r="O96" s="106"/>
      <c r="P96" s="106"/>
      <c r="Q96" s="106"/>
      <c r="R96" s="106"/>
      <c r="S96" s="106"/>
      <c r="T96" s="106"/>
      <c r="U96" s="106"/>
      <c r="V96" s="106"/>
      <c r="W96" s="106"/>
      <c r="X96" s="106"/>
      <c r="Y96" s="106"/>
      <c r="Z96" s="106"/>
    </row>
    <row r="97" spans="1:26" s="89" customFormat="1" ht="12">
      <c r="A97" s="109" t="s">
        <v>24</v>
      </c>
      <c r="B97" s="112">
        <v>139.33999999999997</v>
      </c>
      <c r="C97" s="112">
        <v>139.33999999999997</v>
      </c>
      <c r="D97" s="112">
        <v>109.33999999999997</v>
      </c>
      <c r="E97" s="112">
        <v>139.33999999999997</v>
      </c>
      <c r="F97" s="112">
        <v>199.33999999999997</v>
      </c>
      <c r="G97" s="113">
        <v>157.17000000000002</v>
      </c>
      <c r="H97" s="106"/>
      <c r="I97" s="106"/>
      <c r="J97" s="106"/>
      <c r="K97" s="106"/>
      <c r="L97" s="106"/>
      <c r="M97" s="106"/>
      <c r="N97" s="106"/>
      <c r="O97" s="106"/>
      <c r="P97" s="106"/>
      <c r="Q97" s="106"/>
      <c r="R97" s="106"/>
      <c r="S97" s="106"/>
      <c r="T97" s="106"/>
      <c r="U97" s="106"/>
      <c r="V97" s="106"/>
      <c r="W97" s="106"/>
      <c r="X97" s="106"/>
      <c r="Y97" s="106"/>
      <c r="Z97" s="106"/>
    </row>
    <row r="98" spans="1:26" s="89" customFormat="1" ht="12">
      <c r="A98" s="109" t="s">
        <v>25</v>
      </c>
      <c r="B98" s="112">
        <v>369.34</v>
      </c>
      <c r="C98" s="112">
        <v>339.34</v>
      </c>
      <c r="D98" s="112">
        <v>339.34</v>
      </c>
      <c r="E98" s="112">
        <v>374.34</v>
      </c>
      <c r="F98" s="112">
        <v>479.34000000000003</v>
      </c>
      <c r="G98" s="113">
        <v>487.16999999999996</v>
      </c>
      <c r="H98" s="106"/>
      <c r="I98" s="106"/>
      <c r="J98" s="106"/>
      <c r="K98" s="106"/>
      <c r="L98" s="106"/>
      <c r="M98" s="106"/>
      <c r="N98" s="106"/>
      <c r="O98" s="106"/>
      <c r="P98" s="106"/>
      <c r="Q98" s="106"/>
      <c r="R98" s="106"/>
      <c r="S98" s="106"/>
      <c r="T98" s="106"/>
      <c r="U98" s="106"/>
      <c r="V98" s="106"/>
      <c r="W98" s="106"/>
      <c r="X98" s="106"/>
      <c r="Y98" s="106"/>
      <c r="Z98" s="106"/>
    </row>
    <row r="99" spans="1:26" s="89" customFormat="1" ht="12">
      <c r="A99" s="109" t="s">
        <v>26</v>
      </c>
      <c r="B99" s="112">
        <v>-210.66000000000003</v>
      </c>
      <c r="C99" s="112">
        <v>-210.66000000000003</v>
      </c>
      <c r="D99" s="112">
        <v>-220.66000000000003</v>
      </c>
      <c r="E99" s="112">
        <v>-220.66000000000003</v>
      </c>
      <c r="F99" s="112">
        <v>-225.66000000000003</v>
      </c>
      <c r="G99" s="113">
        <v>-202.82999999999998</v>
      </c>
      <c r="H99" s="106"/>
      <c r="I99" s="106"/>
      <c r="J99" s="106"/>
      <c r="K99" s="106"/>
      <c r="L99" s="106"/>
      <c r="M99" s="106"/>
      <c r="N99" s="106"/>
      <c r="O99" s="106"/>
      <c r="P99" s="106"/>
      <c r="Q99" s="106"/>
      <c r="R99" s="106"/>
      <c r="S99" s="106"/>
      <c r="T99" s="106"/>
      <c r="U99" s="106"/>
      <c r="V99" s="106"/>
      <c r="W99" s="106"/>
      <c r="X99" s="106"/>
      <c r="Y99" s="106"/>
      <c r="Z99" s="106"/>
    </row>
    <row r="100" spans="1:26" s="89" customFormat="1" ht="12">
      <c r="A100" s="109" t="s">
        <v>9</v>
      </c>
      <c r="B100" s="112">
        <v>1169.3400000000001</v>
      </c>
      <c r="C100" s="112">
        <v>1139.3400000000001</v>
      </c>
      <c r="D100" s="112">
        <v>1199.3400000000001</v>
      </c>
      <c r="E100" s="112">
        <v>1244.3400000000001</v>
      </c>
      <c r="F100" s="112">
        <v>1209.3400000000001</v>
      </c>
      <c r="G100" s="113">
        <v>1237.17</v>
      </c>
      <c r="H100" s="106"/>
      <c r="I100" s="106"/>
      <c r="J100" s="106"/>
      <c r="K100" s="106"/>
      <c r="L100" s="106"/>
      <c r="M100" s="106"/>
      <c r="N100" s="106"/>
      <c r="O100" s="106"/>
      <c r="P100" s="106"/>
      <c r="Q100" s="106"/>
      <c r="R100" s="106"/>
      <c r="S100" s="106"/>
      <c r="T100" s="106"/>
      <c r="U100" s="106"/>
      <c r="V100" s="106"/>
      <c r="W100" s="106"/>
      <c r="X100" s="106"/>
      <c r="Y100" s="106"/>
      <c r="Z100" s="106"/>
    </row>
    <row r="101" spans="1:26" s="89" customFormat="1" ht="12">
      <c r="A101" s="109" t="s">
        <v>10</v>
      </c>
      <c r="B101" s="112">
        <v>2.3399999999999963</v>
      </c>
      <c r="C101" s="112">
        <v>17.339999999999996</v>
      </c>
      <c r="D101" s="112">
        <v>39.34</v>
      </c>
      <c r="E101" s="112">
        <v>24.340000000000003</v>
      </c>
      <c r="F101" s="112">
        <v>24.340000000000003</v>
      </c>
      <c r="G101" s="113">
        <v>37.170000000000016</v>
      </c>
      <c r="H101" s="106"/>
      <c r="I101" s="106"/>
      <c r="J101" s="106"/>
      <c r="K101" s="106"/>
      <c r="L101" s="106"/>
      <c r="M101" s="106"/>
      <c r="N101" s="106"/>
      <c r="O101" s="106"/>
      <c r="P101" s="106"/>
      <c r="Q101" s="106"/>
      <c r="R101" s="106"/>
      <c r="S101" s="106"/>
      <c r="T101" s="106"/>
      <c r="U101" s="106"/>
      <c r="V101" s="106"/>
      <c r="W101" s="106"/>
      <c r="X101" s="106"/>
      <c r="Y101" s="106"/>
      <c r="Z101" s="106"/>
    </row>
    <row r="102" spans="1:26" s="89" customFormat="1" ht="12">
      <c r="A102" s="109" t="s">
        <v>39</v>
      </c>
      <c r="B102" s="112">
        <v>-265.66</v>
      </c>
      <c r="C102" s="112">
        <v>-265.66</v>
      </c>
      <c r="D102" s="112">
        <v>-265.66</v>
      </c>
      <c r="E102" s="112">
        <v>-265.66</v>
      </c>
      <c r="F102" s="112">
        <v>-265.66</v>
      </c>
      <c r="G102" s="113">
        <v>-267.83</v>
      </c>
      <c r="H102" s="106"/>
      <c r="I102" s="106"/>
      <c r="J102" s="106"/>
      <c r="K102" s="106"/>
      <c r="L102" s="106"/>
      <c r="M102" s="106"/>
      <c r="N102" s="106"/>
      <c r="O102" s="106"/>
      <c r="P102" s="106"/>
      <c r="Q102" s="106"/>
      <c r="R102" s="106"/>
      <c r="S102" s="106"/>
      <c r="T102" s="106"/>
      <c r="U102" s="106"/>
      <c r="V102" s="106"/>
      <c r="W102" s="106"/>
      <c r="X102" s="106"/>
      <c r="Y102" s="106"/>
      <c r="Z102" s="106"/>
    </row>
    <row r="103" spans="1:26" s="89" customFormat="1" ht="12">
      <c r="A103" s="109"/>
      <c r="N103" s="106"/>
      <c r="O103" s="106"/>
      <c r="P103" s="106"/>
      <c r="Q103" s="106"/>
      <c r="R103" s="106"/>
      <c r="S103" s="106"/>
      <c r="T103" s="106"/>
      <c r="U103" s="106"/>
      <c r="V103" s="106"/>
      <c r="W103" s="106"/>
      <c r="X103" s="106"/>
      <c r="Y103" s="106"/>
      <c r="Z103" s="106"/>
    </row>
    <row r="104" spans="1:26" s="89" customFormat="1" ht="12">
      <c r="A104" s="109"/>
      <c r="N104" s="106"/>
      <c r="O104" s="106"/>
      <c r="P104" s="106"/>
      <c r="Q104" s="106"/>
      <c r="R104" s="106"/>
      <c r="S104" s="106"/>
      <c r="T104" s="106"/>
      <c r="U104" s="106"/>
      <c r="V104" s="106"/>
      <c r="W104" s="106"/>
      <c r="X104" s="106"/>
      <c r="Y104" s="106"/>
      <c r="Z104" s="106"/>
    </row>
    <row r="105" spans="1:26" s="89" customFormat="1" ht="12">
      <c r="A105" s="91" t="s">
        <v>3</v>
      </c>
      <c r="M105" s="92"/>
      <c r="N105" s="106"/>
      <c r="O105" s="106"/>
      <c r="P105" s="106"/>
      <c r="Q105" s="106"/>
      <c r="R105" s="106"/>
      <c r="S105" s="106"/>
      <c r="T105" s="106"/>
      <c r="U105" s="106"/>
      <c r="V105" s="106"/>
      <c r="W105" s="106"/>
      <c r="X105" s="106"/>
      <c r="Y105" s="106"/>
      <c r="Z105" s="106"/>
    </row>
    <row r="106" spans="1:21" s="89" customFormat="1" ht="12">
      <c r="A106" s="63" t="s">
        <v>6</v>
      </c>
      <c r="B106" s="96">
        <f aca="true" t="shared" si="11" ref="B106:F114">J7*B93</f>
        <v>-193.24682520000104</v>
      </c>
      <c r="C106" s="96">
        <f t="shared" si="11"/>
        <v>-4037.7812903999993</v>
      </c>
      <c r="D106" s="96">
        <f t="shared" si="11"/>
        <v>-7963.9297452</v>
      </c>
      <c r="E106" s="96">
        <f t="shared" si="11"/>
        <v>-15749.075113199999</v>
      </c>
      <c r="F106" s="96">
        <f t="shared" si="11"/>
        <v>-129349.37495480002</v>
      </c>
      <c r="G106" s="96">
        <f>+G93*B74</f>
        <v>-8713.344639999996</v>
      </c>
      <c r="H106" s="96">
        <f aca="true" t="shared" si="12" ref="H106:H114">SUM(B106:G106)</f>
        <v>-166006.75256880003</v>
      </c>
      <c r="I106" s="106"/>
      <c r="J106" s="106"/>
      <c r="K106" s="106"/>
      <c r="L106" s="106"/>
      <c r="M106" s="106"/>
      <c r="N106" s="106"/>
      <c r="O106" s="106"/>
      <c r="P106" s="106"/>
      <c r="Q106" s="106"/>
      <c r="R106" s="106"/>
      <c r="S106" s="106"/>
      <c r="T106" s="106"/>
      <c r="U106" s="106"/>
    </row>
    <row r="107" spans="1:21" s="89" customFormat="1" ht="12">
      <c r="A107" s="63" t="s">
        <v>8</v>
      </c>
      <c r="B107" s="96">
        <f t="shared" si="11"/>
        <v>32548.28962659999</v>
      </c>
      <c r="C107" s="96">
        <f t="shared" si="11"/>
        <v>24104.997873199987</v>
      </c>
      <c r="D107" s="96">
        <f t="shared" si="11"/>
        <v>13755.4981066</v>
      </c>
      <c r="E107" s="96">
        <f t="shared" si="11"/>
        <v>-6217.928429400001</v>
      </c>
      <c r="F107" s="96">
        <f t="shared" si="11"/>
        <v>48805.05046339999</v>
      </c>
      <c r="G107" s="96">
        <f aca="true" t="shared" si="13" ref="G107:G114">+G94*B75</f>
        <v>6933.357120000006</v>
      </c>
      <c r="H107" s="96">
        <f t="shared" si="12"/>
        <v>119929.26476039996</v>
      </c>
      <c r="I107" s="106"/>
      <c r="J107" s="106"/>
      <c r="K107" s="106"/>
      <c r="L107" s="106"/>
      <c r="M107" s="106"/>
      <c r="N107" s="106"/>
      <c r="O107" s="106"/>
      <c r="P107" s="106"/>
      <c r="Q107" s="106"/>
      <c r="R107" s="106"/>
      <c r="S107" s="106"/>
      <c r="T107" s="106"/>
      <c r="U107" s="106"/>
    </row>
    <row r="108" spans="1:21" s="89" customFormat="1" ht="12">
      <c r="A108" s="63" t="s">
        <v>7</v>
      </c>
      <c r="B108" s="96">
        <f t="shared" si="11"/>
        <v>-1448.634550000001</v>
      </c>
      <c r="C108" s="96">
        <f t="shared" si="11"/>
        <v>-4656.454099999999</v>
      </c>
      <c r="D108" s="96">
        <f t="shared" si="11"/>
        <v>-8409.199550000001</v>
      </c>
      <c r="E108" s="96">
        <f t="shared" si="11"/>
        <v>-14659.744049999998</v>
      </c>
      <c r="F108" s="96">
        <f t="shared" si="11"/>
        <v>-218915.87795</v>
      </c>
      <c r="G108" s="96">
        <f t="shared" si="13"/>
        <v>-26176.559999999998</v>
      </c>
      <c r="H108" s="96">
        <f t="shared" si="12"/>
        <v>-274266.4702</v>
      </c>
      <c r="I108" s="106"/>
      <c r="J108" s="106"/>
      <c r="K108" s="106"/>
      <c r="L108" s="106"/>
      <c r="M108" s="106"/>
      <c r="N108" s="106"/>
      <c r="O108" s="106"/>
      <c r="P108" s="106"/>
      <c r="Q108" s="106"/>
      <c r="R108" s="106"/>
      <c r="S108" s="106"/>
      <c r="T108" s="106"/>
      <c r="U108" s="106"/>
    </row>
    <row r="109" spans="1:21" s="89" customFormat="1" ht="12">
      <c r="A109" s="63" t="s">
        <v>23</v>
      </c>
      <c r="B109" s="96">
        <f t="shared" si="11"/>
        <v>3661.247224799999</v>
      </c>
      <c r="C109" s="96">
        <f t="shared" si="11"/>
        <v>3224.123409599998</v>
      </c>
      <c r="D109" s="96">
        <f t="shared" si="11"/>
        <v>2809.607464799999</v>
      </c>
      <c r="E109" s="96">
        <f t="shared" si="11"/>
        <v>1264.8014567999999</v>
      </c>
      <c r="F109" s="96">
        <f t="shared" si="11"/>
        <v>-8074.429624800001</v>
      </c>
      <c r="G109" s="96">
        <f t="shared" si="13"/>
        <v>-929.7446399999995</v>
      </c>
      <c r="H109" s="96">
        <f t="shared" si="12"/>
        <v>1955.6052911999955</v>
      </c>
      <c r="I109" s="106"/>
      <c r="J109" s="106"/>
      <c r="K109" s="106"/>
      <c r="L109" s="106"/>
      <c r="M109" s="106"/>
      <c r="N109" s="106"/>
      <c r="O109" s="106"/>
      <c r="P109" s="106"/>
      <c r="Q109" s="106"/>
      <c r="R109" s="106"/>
      <c r="S109" s="106"/>
      <c r="T109" s="106"/>
      <c r="U109" s="106"/>
    </row>
    <row r="110" spans="1:21" s="89" customFormat="1" ht="12">
      <c r="A110" s="63" t="s">
        <v>24</v>
      </c>
      <c r="B110" s="96">
        <f t="shared" si="11"/>
        <v>1283.8690061999996</v>
      </c>
      <c r="C110" s="96">
        <f t="shared" si="11"/>
        <v>1130.5852523999995</v>
      </c>
      <c r="D110" s="96">
        <f t="shared" si="11"/>
        <v>814.0833161999997</v>
      </c>
      <c r="E110" s="96">
        <f t="shared" si="11"/>
        <v>1119.9633641999997</v>
      </c>
      <c r="F110" s="96">
        <f t="shared" si="11"/>
        <v>19476.727993799996</v>
      </c>
      <c r="G110" s="96">
        <f t="shared" si="13"/>
        <v>1312.68384</v>
      </c>
      <c r="H110" s="96">
        <f t="shared" si="12"/>
        <v>25137.912772799995</v>
      </c>
      <c r="I110" s="106"/>
      <c r="J110" s="106"/>
      <c r="K110" s="106"/>
      <c r="L110" s="106"/>
      <c r="M110" s="106"/>
      <c r="N110" s="106"/>
      <c r="O110" s="106"/>
      <c r="P110" s="106"/>
      <c r="Q110" s="106"/>
      <c r="R110" s="106"/>
      <c r="S110" s="106"/>
      <c r="T110" s="106"/>
      <c r="U110" s="106"/>
    </row>
    <row r="111" spans="1:21" s="89" customFormat="1" ht="12">
      <c r="A111" s="63" t="s">
        <v>25</v>
      </c>
      <c r="B111" s="96">
        <f t="shared" si="11"/>
        <v>5293.6689652</v>
      </c>
      <c r="C111" s="96">
        <f t="shared" si="11"/>
        <v>4283.000170399999</v>
      </c>
      <c r="D111" s="96">
        <f t="shared" si="11"/>
        <v>3930.1612252</v>
      </c>
      <c r="E111" s="96">
        <f t="shared" si="11"/>
        <v>4680.365533199999</v>
      </c>
      <c r="F111" s="96">
        <f t="shared" si="11"/>
        <v>72853.5540348</v>
      </c>
      <c r="G111" s="96">
        <f t="shared" si="13"/>
        <v>6329.31264</v>
      </c>
      <c r="H111" s="96">
        <f t="shared" si="12"/>
        <v>97370.06256880001</v>
      </c>
      <c r="I111" s="106"/>
      <c r="J111" s="106"/>
      <c r="K111" s="106"/>
      <c r="L111" s="106"/>
      <c r="M111" s="106"/>
      <c r="N111" s="106"/>
      <c r="O111" s="106"/>
      <c r="P111" s="106"/>
      <c r="Q111" s="106"/>
      <c r="R111" s="106"/>
      <c r="S111" s="106"/>
      <c r="T111" s="106"/>
      <c r="U111" s="106"/>
    </row>
    <row r="112" spans="1:21" ht="12">
      <c r="A112" s="63" t="s">
        <v>26</v>
      </c>
      <c r="B112" s="96">
        <f t="shared" si="11"/>
        <v>-1078.3369410000003</v>
      </c>
      <c r="C112" s="96">
        <f t="shared" si="11"/>
        <v>-949.5920819999999</v>
      </c>
      <c r="D112" s="96">
        <f t="shared" si="11"/>
        <v>-912.7269910000001</v>
      </c>
      <c r="E112" s="96">
        <f t="shared" si="11"/>
        <v>-985.3241310000001</v>
      </c>
      <c r="F112" s="96">
        <f t="shared" si="11"/>
        <v>-12249.084309000002</v>
      </c>
      <c r="G112" s="96">
        <f t="shared" si="13"/>
        <v>-941.1311999999998</v>
      </c>
      <c r="H112" s="96">
        <f t="shared" si="12"/>
        <v>-17116.195654000003</v>
      </c>
      <c r="I112" s="66"/>
      <c r="J112" s="66"/>
      <c r="K112" s="66"/>
      <c r="L112" s="66"/>
      <c r="M112" s="66"/>
      <c r="N112" s="66"/>
      <c r="O112" s="66"/>
      <c r="P112" s="66"/>
      <c r="Q112" s="66"/>
      <c r="R112" s="66"/>
      <c r="S112" s="66"/>
      <c r="T112" s="66"/>
      <c r="U112" s="66"/>
    </row>
    <row r="113" spans="1:21" ht="12">
      <c r="A113" s="63" t="s">
        <v>9</v>
      </c>
      <c r="B113" s="96">
        <f t="shared" si="11"/>
        <v>15562.757753400001</v>
      </c>
      <c r="C113" s="96">
        <f t="shared" si="11"/>
        <v>13353.087586799997</v>
      </c>
      <c r="D113" s="96">
        <f t="shared" si="11"/>
        <v>12898.314023400002</v>
      </c>
      <c r="E113" s="96">
        <f t="shared" si="11"/>
        <v>14446.6754094</v>
      </c>
      <c r="F113" s="96">
        <f t="shared" si="11"/>
        <v>170675.35144660002</v>
      </c>
      <c r="G113" s="96">
        <f t="shared" si="13"/>
        <v>14925.21888</v>
      </c>
      <c r="H113" s="96">
        <f t="shared" si="12"/>
        <v>241861.40509960003</v>
      </c>
      <c r="I113" s="66"/>
      <c r="J113" s="66"/>
      <c r="K113" s="66"/>
      <c r="L113" s="66"/>
      <c r="M113" s="66"/>
      <c r="N113" s="66"/>
      <c r="O113" s="66"/>
      <c r="P113" s="66"/>
      <c r="Q113" s="66"/>
      <c r="R113" s="66"/>
      <c r="S113" s="66"/>
      <c r="T113" s="66"/>
      <c r="U113" s="66"/>
    </row>
    <row r="114" spans="1:8" ht="12">
      <c r="A114" s="63" t="s">
        <v>10</v>
      </c>
      <c r="B114" s="96">
        <f t="shared" si="11"/>
        <v>71.86865399999988</v>
      </c>
      <c r="C114" s="96">
        <f t="shared" si="11"/>
        <v>468.9811079999998</v>
      </c>
      <c r="D114" s="96">
        <f t="shared" si="11"/>
        <v>976.344054</v>
      </c>
      <c r="E114" s="96">
        <f t="shared" si="11"/>
        <v>652.119714</v>
      </c>
      <c r="F114" s="96">
        <f t="shared" si="11"/>
        <v>7927.219146</v>
      </c>
      <c r="G114" s="96">
        <f t="shared" si="13"/>
        <v>1034.8128000000004</v>
      </c>
      <c r="H114" s="96">
        <f t="shared" si="12"/>
        <v>11131.345475999999</v>
      </c>
    </row>
    <row r="115" spans="1:8" ht="12">
      <c r="A115" s="97" t="s">
        <v>19</v>
      </c>
      <c r="B115" s="98">
        <f aca="true" t="shared" si="14" ref="B115:G115">SUM(B106:B114)</f>
        <v>55701.482913999986</v>
      </c>
      <c r="C115" s="98">
        <f t="shared" si="14"/>
        <v>36920.94792799999</v>
      </c>
      <c r="D115" s="98">
        <f t="shared" si="14"/>
        <v>17898.151904000002</v>
      </c>
      <c r="E115" s="98">
        <f t="shared" si="14"/>
        <v>-15448.146246000002</v>
      </c>
      <c r="F115" s="98">
        <f t="shared" si="14"/>
        <v>-48850.863753999976</v>
      </c>
      <c r="G115" s="98">
        <f t="shared" si="14"/>
        <v>-6225.395199999984</v>
      </c>
      <c r="H115" s="98">
        <f>SUM(H106:H114)</f>
        <v>39996.17754599998</v>
      </c>
    </row>
    <row r="116" spans="1:8" ht="12">
      <c r="A116" s="63" t="s">
        <v>17</v>
      </c>
      <c r="B116" s="96">
        <f>J16*B102</f>
        <v>-5439.494764000001</v>
      </c>
      <c r="C116" s="96">
        <f>K16*C102</f>
        <v>-4790.062327999999</v>
      </c>
      <c r="D116" s="96">
        <f>L16*D102</f>
        <v>-4395.450964000001</v>
      </c>
      <c r="E116" s="96">
        <f>M16*E102</f>
        <v>-4745.059524</v>
      </c>
      <c r="F116" s="96">
        <f>N16*F102</f>
        <v>-57681.32123600001</v>
      </c>
      <c r="G116" s="96">
        <f>+B83*G102</f>
        <v>-4970.9248</v>
      </c>
      <c r="H116" s="96">
        <f>SUM(B116:G116)</f>
        <v>-82022.313616</v>
      </c>
    </row>
    <row r="117" spans="1:8" ht="12">
      <c r="A117" s="100"/>
      <c r="B117" s="89"/>
      <c r="C117" s="89"/>
      <c r="D117" s="89"/>
      <c r="E117" s="89"/>
      <c r="F117" s="89"/>
      <c r="G117" s="89"/>
      <c r="H117" s="89"/>
    </row>
    <row r="118" spans="1:8" ht="12">
      <c r="A118" s="83" t="s">
        <v>4</v>
      </c>
      <c r="B118" s="101">
        <f aca="true" t="shared" si="15" ref="B118:H118">SUM(B115:B117)</f>
        <v>50261.98814999998</v>
      </c>
      <c r="C118" s="101">
        <f t="shared" si="15"/>
        <v>32130.885599999987</v>
      </c>
      <c r="D118" s="101">
        <f t="shared" si="15"/>
        <v>13502.700940000002</v>
      </c>
      <c r="E118" s="101">
        <f t="shared" si="15"/>
        <v>-20193.20577</v>
      </c>
      <c r="F118" s="101">
        <f t="shared" si="15"/>
        <v>-106532.18498999998</v>
      </c>
      <c r="G118" s="101">
        <f t="shared" si="15"/>
        <v>-11196.319999999983</v>
      </c>
      <c r="H118" s="101">
        <f t="shared" si="15"/>
        <v>-42026.13607000002</v>
      </c>
    </row>
    <row r="120" spans="2:7" ht="12">
      <c r="B120" s="79"/>
      <c r="C120" s="79"/>
      <c r="D120" s="79"/>
      <c r="E120" s="79"/>
      <c r="F120" s="79"/>
      <c r="G120" s="79"/>
    </row>
  </sheetData>
  <sheetProtection/>
  <printOptions/>
  <pageMargins left="0.5" right="0.5" top="0.5" bottom="0.5" header="0.5" footer="0.5"/>
  <pageSetup fitToHeight="1" fitToWidth="1" horizontalDpi="600" verticalDpi="600" orientation="landscape" scale="67" r:id="rId3"/>
  <legacyDrawing r:id="rId2"/>
</worksheet>
</file>

<file path=xl/worksheets/sheet2.xml><?xml version="1.0" encoding="utf-8"?>
<worksheet xmlns="http://schemas.openxmlformats.org/spreadsheetml/2006/main" xmlns:r="http://schemas.openxmlformats.org/officeDocument/2006/relationships">
  <dimension ref="A1:V129"/>
  <sheetViews>
    <sheetView tabSelected="1"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5" sqref="A5"/>
      <selection pane="bottomRight" activeCell="A1" sqref="A1:M130"/>
    </sheetView>
  </sheetViews>
  <sheetFormatPr defaultColWidth="9.140625" defaultRowHeight="12.75"/>
  <cols>
    <col min="1" max="1" width="17.140625" style="1" customWidth="1"/>
    <col min="2" max="2" width="11.7109375" style="1" customWidth="1"/>
    <col min="3" max="7" width="12.00390625" style="2" bestFit="1" customWidth="1"/>
    <col min="8" max="8" width="11.57421875" style="2" customWidth="1"/>
    <col min="9" max="9" width="13.57421875" style="2" customWidth="1"/>
    <col min="10" max="10" width="12.00390625" style="2" bestFit="1" customWidth="1"/>
    <col min="11" max="11" width="19.140625" style="2" customWidth="1"/>
    <col min="12" max="12" width="11.57421875" style="2" bestFit="1" customWidth="1"/>
    <col min="13" max="13" width="11.00390625" style="2" bestFit="1" customWidth="1"/>
    <col min="14" max="14" width="13.28125" style="2" customWidth="1"/>
    <col min="15" max="15" width="12.57421875" style="2" bestFit="1" customWidth="1"/>
    <col min="16" max="16" width="12.57421875" style="2" customWidth="1"/>
    <col min="17" max="17" width="2.28125" style="2" customWidth="1"/>
    <col min="18" max="18" width="11.8515625" style="2" bestFit="1" customWidth="1"/>
    <col min="19" max="19" width="11.28125" style="2" customWidth="1"/>
    <col min="20" max="16384" width="9.140625" style="2" customWidth="1"/>
  </cols>
  <sheetData>
    <row r="1" spans="1:6" ht="12">
      <c r="A1" s="12" t="s">
        <v>21</v>
      </c>
      <c r="B1" s="12"/>
      <c r="F1" s="27"/>
    </row>
    <row r="2" spans="1:8" ht="12">
      <c r="A2" s="12" t="s">
        <v>20</v>
      </c>
      <c r="B2" s="142"/>
      <c r="C2" s="27"/>
      <c r="D2" s="27"/>
      <c r="E2" s="27"/>
      <c r="F2" s="27"/>
      <c r="G2" s="27"/>
      <c r="H2" s="27"/>
    </row>
    <row r="3" spans="1:18" s="3" customFormat="1" ht="12">
      <c r="A3" s="46" t="s">
        <v>57</v>
      </c>
      <c r="B3" s="143"/>
      <c r="C3" s="144"/>
      <c r="D3" s="144"/>
      <c r="E3" s="144"/>
      <c r="F3" s="144"/>
      <c r="G3" s="144"/>
      <c r="H3" s="144"/>
      <c r="I3" s="35"/>
      <c r="J3" s="35"/>
      <c r="K3" s="35"/>
      <c r="L3" s="35"/>
      <c r="M3" s="35"/>
      <c r="N3" s="35"/>
      <c r="Q3" s="4"/>
      <c r="R3" s="4"/>
    </row>
    <row r="4" spans="1:18" s="3" customFormat="1" ht="12">
      <c r="A4" s="46"/>
      <c r="B4" s="143"/>
      <c r="C4" s="144"/>
      <c r="D4" s="144"/>
      <c r="E4" s="144"/>
      <c r="F4" s="144"/>
      <c r="G4" s="144"/>
      <c r="H4" s="144"/>
      <c r="I4" s="35"/>
      <c r="J4" s="35"/>
      <c r="K4" s="35"/>
      <c r="L4" s="35"/>
      <c r="M4" s="35"/>
      <c r="N4" s="35"/>
      <c r="O4" s="35"/>
      <c r="P4" s="35"/>
      <c r="Q4" s="4"/>
      <c r="R4" s="4"/>
    </row>
    <row r="5" spans="1:12" s="5" customFormat="1" ht="12">
      <c r="A5" s="45"/>
      <c r="B5" s="145">
        <v>43070</v>
      </c>
      <c r="C5" s="145">
        <v>43101</v>
      </c>
      <c r="D5" s="145">
        <v>43132</v>
      </c>
      <c r="E5" s="145">
        <v>43160</v>
      </c>
      <c r="F5" s="145">
        <v>43191</v>
      </c>
      <c r="G5" s="145">
        <v>43221</v>
      </c>
      <c r="H5" s="145">
        <v>43252</v>
      </c>
      <c r="I5" s="36" t="s">
        <v>4</v>
      </c>
      <c r="J5" s="36"/>
      <c r="K5" s="6"/>
      <c r="L5" s="6"/>
    </row>
    <row r="6" spans="1:11" s="8" customFormat="1" ht="12">
      <c r="A6" s="39" t="s">
        <v>5</v>
      </c>
      <c r="B6" s="146"/>
      <c r="C6" s="147"/>
      <c r="D6" s="147"/>
      <c r="E6" s="147"/>
      <c r="F6" s="147"/>
      <c r="G6" s="147"/>
      <c r="H6" s="147"/>
      <c r="I6" s="7"/>
      <c r="J6" s="7"/>
      <c r="K6" s="7"/>
    </row>
    <row r="7" spans="1:14" ht="12">
      <c r="A7" s="63" t="s">
        <v>6</v>
      </c>
      <c r="B7" s="141">
        <f>'Commodity Credit 3-1-2018'!B74</f>
        <v>265.40799999999996</v>
      </c>
      <c r="C7" s="51">
        <f>+'[1]Raw Data'!B73</f>
        <v>484.98622000000006</v>
      </c>
      <c r="D7" s="51">
        <f>+'[1]Raw Data'!C73</f>
        <v>369.193536</v>
      </c>
      <c r="E7" s="51">
        <f>+'[1]Raw Data'!D73</f>
        <v>441.583352</v>
      </c>
      <c r="F7" s="51">
        <f>+'[1]Raw Data'!E73</f>
        <v>0</v>
      </c>
      <c r="G7" s="51">
        <f>+'[1]Raw Data'!F73</f>
        <v>0</v>
      </c>
      <c r="H7" s="51">
        <f>+'[1]Raw Data'!G73</f>
        <v>0</v>
      </c>
      <c r="I7" s="51">
        <f>SUM(B7:H7)</f>
        <v>1561.171108</v>
      </c>
      <c r="J7" s="51"/>
      <c r="K7" s="9"/>
      <c r="L7" s="60"/>
      <c r="M7" s="50"/>
      <c r="N7" s="50"/>
    </row>
    <row r="8" spans="1:14" ht="12">
      <c r="A8" s="63" t="s">
        <v>8</v>
      </c>
      <c r="B8" s="141">
        <f>'Commodity Credit 3-1-2018'!B75</f>
        <v>312.73600000000005</v>
      </c>
      <c r="C8" s="51">
        <f>+'[1]Raw Data'!B74</f>
        <v>305.64125</v>
      </c>
      <c r="D8" s="51">
        <f>+'[1]Raw Data'!C74</f>
        <v>232.66799999999998</v>
      </c>
      <c r="E8" s="51">
        <f>+'[1]Raw Data'!D74</f>
        <v>278.2885</v>
      </c>
      <c r="F8" s="51">
        <f>+'[1]Raw Data'!E74</f>
        <v>169.185513</v>
      </c>
      <c r="G8" s="51">
        <f>+'[1]Raw Data'!F74</f>
        <v>189.269857</v>
      </c>
      <c r="H8" s="51">
        <f>+'[1]Raw Data'!G74</f>
        <v>189.84641200000002</v>
      </c>
      <c r="I8" s="51">
        <f aca="true" t="shared" si="0" ref="I8:I22">SUM(B8:H8)</f>
        <v>1677.635532</v>
      </c>
      <c r="J8" s="51"/>
      <c r="K8" s="9"/>
      <c r="L8" s="60"/>
      <c r="M8" s="50"/>
      <c r="N8" s="50"/>
    </row>
    <row r="9" spans="1:14" ht="12">
      <c r="A9" s="63" t="s">
        <v>7</v>
      </c>
      <c r="B9" s="141">
        <f>'Commodity Credit 3-1-2018'!B76</f>
        <v>232</v>
      </c>
      <c r="C9" s="51">
        <f>+'[1]Raw Data'!B75</f>
        <v>37.846360000000004</v>
      </c>
      <c r="D9" s="51">
        <f>+'[1]Raw Data'!C75</f>
        <v>28.810368</v>
      </c>
      <c r="E9" s="51">
        <f>+'[1]Raw Data'!D75</f>
        <v>34.459376</v>
      </c>
      <c r="F9" s="51">
        <f>+'[1]Raw Data'!E75</f>
        <v>454.11633</v>
      </c>
      <c r="G9" s="51">
        <f>+'[1]Raw Data'!F75</f>
        <v>508.02537</v>
      </c>
      <c r="H9" s="51">
        <f>+'[1]Raw Data'!G75</f>
        <v>509.57292000000007</v>
      </c>
      <c r="I9" s="51">
        <f t="shared" si="0"/>
        <v>1804.8307240000001</v>
      </c>
      <c r="J9" s="51"/>
      <c r="K9" s="9"/>
      <c r="L9" s="60"/>
      <c r="M9" s="50"/>
      <c r="N9" s="50"/>
    </row>
    <row r="10" spans="1:14" ht="12">
      <c r="A10" s="63" t="s">
        <v>23</v>
      </c>
      <c r="B10" s="141">
        <f>'Commodity Credit 3-1-2018'!B77</f>
        <v>33.407999999999994</v>
      </c>
      <c r="C10" s="51">
        <f>+'[1]Raw Data'!B76</f>
        <v>27.959530000000004</v>
      </c>
      <c r="D10" s="51">
        <f>+'[1]Raw Data'!C76</f>
        <v>21.284064</v>
      </c>
      <c r="E10" s="51">
        <f>+'[1]Raw Data'!D76</f>
        <v>25.457348</v>
      </c>
      <c r="F10" s="51">
        <f>+'[1]Raw Data'!E76</f>
        <v>22.831263</v>
      </c>
      <c r="G10" s="51">
        <f>+'[1]Raw Data'!F76</f>
        <v>25.541607</v>
      </c>
      <c r="H10" s="51">
        <f>+'[1]Raw Data'!G76</f>
        <v>25.619412000000004</v>
      </c>
      <c r="I10" s="51">
        <f t="shared" si="0"/>
        <v>182.101224</v>
      </c>
      <c r="J10" s="51"/>
      <c r="K10" s="9"/>
      <c r="L10" s="60"/>
      <c r="M10" s="50"/>
      <c r="N10" s="50"/>
    </row>
    <row r="11" spans="1:14" ht="12">
      <c r="A11" s="63" t="s">
        <v>24</v>
      </c>
      <c r="B11" s="141">
        <f>'Commodity Credit 3-1-2018'!B78</f>
        <v>8.351999999999999</v>
      </c>
      <c r="C11" s="51">
        <f>+'[1]Raw Data'!B77</f>
        <v>11.37517</v>
      </c>
      <c r="D11" s="51">
        <f>+'[1]Raw Data'!C77</f>
        <v>8.659296</v>
      </c>
      <c r="E11" s="51">
        <f>+'[1]Raw Data'!D77</f>
        <v>10.357172</v>
      </c>
      <c r="F11" s="51">
        <f>+'[1]Raw Data'!E77</f>
        <v>8.948516999999999</v>
      </c>
      <c r="G11" s="51">
        <f>+'[1]Raw Data'!F77</f>
        <v>10.010812999999999</v>
      </c>
      <c r="H11" s="51">
        <f>+'[1]Raw Data'!G77</f>
        <v>10.041308</v>
      </c>
      <c r="I11" s="51">
        <f t="shared" si="0"/>
        <v>67.744276</v>
      </c>
      <c r="J11" s="51"/>
      <c r="K11" s="9"/>
      <c r="L11" s="60"/>
      <c r="M11" s="50"/>
      <c r="N11" s="50"/>
    </row>
    <row r="12" spans="1:14" ht="12">
      <c r="A12" s="63" t="s">
        <v>25</v>
      </c>
      <c r="B12" s="141">
        <f>'Commodity Credit 3-1-2018'!B79</f>
        <v>12.992</v>
      </c>
      <c r="C12" s="51">
        <f>+'[1]Raw Data'!B78</f>
        <v>11.37517</v>
      </c>
      <c r="D12" s="51">
        <f>+'[1]Raw Data'!C78</f>
        <v>8.659296</v>
      </c>
      <c r="E12" s="51">
        <f>+'[1]Raw Data'!D78</f>
        <v>10.357172</v>
      </c>
      <c r="F12" s="51">
        <f>+'[1]Raw Data'!E78</f>
        <v>8.948516999999999</v>
      </c>
      <c r="G12" s="51">
        <f>+'[1]Raw Data'!F78</f>
        <v>10.010812999999999</v>
      </c>
      <c r="H12" s="51">
        <f>+'[1]Raw Data'!G78</f>
        <v>10.041308</v>
      </c>
      <c r="I12" s="51">
        <f t="shared" si="0"/>
        <v>72.384276</v>
      </c>
      <c r="J12" s="51"/>
      <c r="K12" s="9"/>
      <c r="L12" s="60"/>
      <c r="M12" s="50"/>
      <c r="N12" s="50"/>
    </row>
    <row r="13" spans="1:14" ht="12">
      <c r="A13" s="63" t="s">
        <v>26</v>
      </c>
      <c r="B13" s="141">
        <f>'Commodity Credit 3-1-2018'!B80</f>
        <v>4.64</v>
      </c>
      <c r="C13" s="51">
        <f>+'[1]Raw Data'!B79</f>
        <v>0</v>
      </c>
      <c r="D13" s="51">
        <f>+'[1]Raw Data'!C79</f>
        <v>0</v>
      </c>
      <c r="E13" s="51">
        <f>+'[1]Raw Data'!D79</f>
        <v>0</v>
      </c>
      <c r="F13" s="51">
        <f>+'[1]Raw Data'!E79</f>
        <v>4.097918999999999</v>
      </c>
      <c r="G13" s="51">
        <f>+'[1]Raw Data'!F79</f>
        <v>4.584390999999999</v>
      </c>
      <c r="H13" s="51">
        <f>+'[1]Raw Data'!G79</f>
        <v>4.598356</v>
      </c>
      <c r="I13" s="51">
        <f t="shared" si="0"/>
        <v>17.920665999999997</v>
      </c>
      <c r="J13" s="51"/>
      <c r="K13" s="9"/>
      <c r="L13" s="60"/>
      <c r="M13" s="50"/>
      <c r="N13" s="50"/>
    </row>
    <row r="14" spans="1:14" ht="12">
      <c r="A14" s="63" t="s">
        <v>31</v>
      </c>
      <c r="B14" s="141">
        <v>0</v>
      </c>
      <c r="C14" s="51">
        <f>+'[1]Raw Data'!B80</f>
        <v>2.6577500000000005</v>
      </c>
      <c r="D14" s="51">
        <f>+'[1]Raw Data'!C80</f>
        <v>2.0232</v>
      </c>
      <c r="E14" s="51">
        <f>+'[1]Raw Data'!D80</f>
        <v>2.4199</v>
      </c>
      <c r="F14" s="51">
        <f>+'[1]Raw Data'!E80</f>
        <v>3.34524</v>
      </c>
      <c r="G14" s="51">
        <f>+'[1]Raw Data'!F80</f>
        <v>3.7423599999999997</v>
      </c>
      <c r="H14" s="51">
        <f>+'[1]Raw Data'!G80</f>
        <v>3.75376</v>
      </c>
      <c r="I14" s="51">
        <f t="shared" si="0"/>
        <v>17.942210000000003</v>
      </c>
      <c r="J14" s="51"/>
      <c r="K14" s="9"/>
      <c r="L14" s="60"/>
      <c r="M14" s="50"/>
      <c r="N14" s="50"/>
    </row>
    <row r="15" spans="1:14" ht="12">
      <c r="A15" s="63" t="s">
        <v>32</v>
      </c>
      <c r="B15" s="141">
        <v>0</v>
      </c>
      <c r="C15" s="51">
        <v>0</v>
      </c>
      <c r="D15" s="51">
        <v>0</v>
      </c>
      <c r="E15" s="51">
        <v>0</v>
      </c>
      <c r="F15" s="51">
        <v>0</v>
      </c>
      <c r="G15" s="51">
        <v>0</v>
      </c>
      <c r="H15" s="51">
        <v>0</v>
      </c>
      <c r="I15" s="51">
        <f t="shared" si="0"/>
        <v>0</v>
      </c>
      <c r="J15" s="51"/>
      <c r="K15" s="9"/>
      <c r="L15" s="60"/>
      <c r="M15" s="50"/>
      <c r="N15" s="50"/>
    </row>
    <row r="16" spans="1:14" s="9" customFormat="1" ht="12">
      <c r="A16" s="63" t="s">
        <v>33</v>
      </c>
      <c r="B16" s="141">
        <v>0</v>
      </c>
      <c r="C16" s="51">
        <f>+'[1]Raw Data'!B81</f>
        <v>87.06789</v>
      </c>
      <c r="D16" s="51">
        <f>+'[1]Raw Data'!C81</f>
        <v>66.28003199999999</v>
      </c>
      <c r="E16" s="51">
        <f>+'[1]Raw Data'!D81</f>
        <v>79.275924</v>
      </c>
      <c r="F16" s="51">
        <f>+'[1]Raw Data'!E81</f>
        <v>68.49378899999999</v>
      </c>
      <c r="G16" s="51">
        <f>+'[1]Raw Data'!F81</f>
        <v>76.624821</v>
      </c>
      <c r="H16" s="51">
        <f>+'[1]Raw Data'!G81</f>
        <v>76.858236</v>
      </c>
      <c r="I16" s="51">
        <f t="shared" si="0"/>
        <v>454.600692</v>
      </c>
      <c r="J16" s="51"/>
      <c r="L16" s="60"/>
      <c r="M16" s="50"/>
      <c r="N16" s="50"/>
    </row>
    <row r="17" spans="1:14" ht="12">
      <c r="A17" s="63" t="s">
        <v>34</v>
      </c>
      <c r="B17" s="141">
        <v>0</v>
      </c>
      <c r="C17" s="51">
        <f>+'[1]Raw Data'!B84</f>
        <v>3.1893000000000007</v>
      </c>
      <c r="D17" s="51">
        <f>+'[1]Raw Data'!C84</f>
        <v>2.4278399999999998</v>
      </c>
      <c r="E17" s="51">
        <f>+'[1]Raw Data'!D84</f>
        <v>2.90388</v>
      </c>
      <c r="F17" s="51">
        <f>+'[1]Raw Data'!E84</f>
        <v>2.50893</v>
      </c>
      <c r="G17" s="51">
        <f>+'[1]Raw Data'!F84</f>
        <v>2.8067699999999998</v>
      </c>
      <c r="H17" s="51">
        <f>+'[1]Raw Data'!G84</f>
        <v>2.8153200000000003</v>
      </c>
      <c r="I17" s="51">
        <f t="shared" si="0"/>
        <v>16.65204</v>
      </c>
      <c r="J17" s="51"/>
      <c r="K17" s="9"/>
      <c r="L17" s="60"/>
      <c r="M17" s="50"/>
      <c r="N17" s="50"/>
    </row>
    <row r="18" spans="1:14" ht="12">
      <c r="A18" s="63" t="s">
        <v>9</v>
      </c>
      <c r="B18" s="141">
        <f>'Commodity Credit 3-1-2018'!B81</f>
        <v>12.064</v>
      </c>
      <c r="C18" s="51">
        <f>+'[1]Raw Data'!B82</f>
        <v>10.843620000000001</v>
      </c>
      <c r="D18" s="51">
        <f>+'[1]Raw Data'!C82</f>
        <v>8.254656</v>
      </c>
      <c r="E18" s="51">
        <f>+'[1]Raw Data'!D82</f>
        <v>9.873192000000001</v>
      </c>
      <c r="F18" s="51">
        <f>+'[1]Raw Data'!E82</f>
        <v>8.530362</v>
      </c>
      <c r="G18" s="51">
        <f>+'[1]Raw Data'!F82</f>
        <v>9.543018</v>
      </c>
      <c r="H18" s="51">
        <f>+'[1]Raw Data'!G82</f>
        <v>9.572088</v>
      </c>
      <c r="I18" s="51">
        <f t="shared" si="0"/>
        <v>68.680936</v>
      </c>
      <c r="J18" s="51"/>
      <c r="K18" s="9"/>
      <c r="L18" s="60"/>
      <c r="M18" s="50"/>
      <c r="N18" s="50"/>
    </row>
    <row r="19" spans="1:14" ht="12">
      <c r="A19" s="63" t="s">
        <v>10</v>
      </c>
      <c r="B19" s="141">
        <f>'Commodity Credit 3-1-2018'!B82</f>
        <v>27.84</v>
      </c>
      <c r="C19" s="51">
        <f>+'[1]Raw Data'!B83</f>
        <v>23.600820000000002</v>
      </c>
      <c r="D19" s="51">
        <f>+'[1]Raw Data'!C83</f>
        <v>17.966016</v>
      </c>
      <c r="E19" s="51">
        <f>+'[1]Raw Data'!D83</f>
        <v>21.488712000000003</v>
      </c>
      <c r="F19" s="51">
        <f>+'[1]Raw Data'!E83</f>
        <v>18.566081999999998</v>
      </c>
      <c r="G19" s="51">
        <f>+'[1]Raw Data'!F83</f>
        <v>20.770098</v>
      </c>
      <c r="H19" s="51">
        <f>+'[1]Raw Data'!G83</f>
        <v>20.833368000000004</v>
      </c>
      <c r="I19" s="51">
        <f t="shared" si="0"/>
        <v>151.065096</v>
      </c>
      <c r="J19" s="51"/>
      <c r="K19" s="9"/>
      <c r="L19" s="60"/>
      <c r="M19" s="50"/>
      <c r="N19" s="50"/>
    </row>
    <row r="20" spans="1:14" ht="12">
      <c r="A20" s="63" t="s">
        <v>35</v>
      </c>
      <c r="B20" s="141">
        <v>0</v>
      </c>
      <c r="C20" s="51">
        <f>+'[1]Raw Data'!B85</f>
        <v>54.21810000000001</v>
      </c>
      <c r="D20" s="51">
        <f>+'[1]Raw Data'!C85</f>
        <v>41.27327999999999</v>
      </c>
      <c r="E20" s="51">
        <f>+'[1]Raw Data'!D85</f>
        <v>49.36596</v>
      </c>
      <c r="F20" s="51">
        <f>+'[1]Raw Data'!E85</f>
        <v>64.563132</v>
      </c>
      <c r="G20" s="51">
        <f>+'[1]Raw Data'!F85</f>
        <v>72.227548</v>
      </c>
      <c r="H20" s="51">
        <f>+'[1]Raw Data'!G85</f>
        <v>72.447568</v>
      </c>
      <c r="I20" s="51">
        <f t="shared" si="0"/>
        <v>354.09558799999996</v>
      </c>
      <c r="J20" s="51"/>
      <c r="K20" s="9"/>
      <c r="L20" s="60"/>
      <c r="M20" s="50"/>
      <c r="N20" s="50"/>
    </row>
    <row r="21" spans="1:14" ht="12">
      <c r="A21" s="63" t="s">
        <v>36</v>
      </c>
      <c r="B21" s="141">
        <v>0</v>
      </c>
      <c r="C21" s="51">
        <f>+'[1]Raw Data'!B86</f>
        <v>2.76406</v>
      </c>
      <c r="D21" s="51">
        <f>+'[1]Raw Data'!C86</f>
        <v>2.1041279999999998</v>
      </c>
      <c r="E21" s="51">
        <f>+'[1]Raw Data'!D86</f>
        <v>2.516696</v>
      </c>
      <c r="F21" s="51">
        <f>+'[1]Raw Data'!E86</f>
        <v>2.174406</v>
      </c>
      <c r="G21" s="51">
        <f>+'[1]Raw Data'!F86</f>
        <v>2.4325339999999995</v>
      </c>
      <c r="H21" s="51">
        <f>+'[1]Raw Data'!G86</f>
        <v>2.439944</v>
      </c>
      <c r="I21" s="51">
        <f t="shared" si="0"/>
        <v>14.431767999999998</v>
      </c>
      <c r="J21" s="51"/>
      <c r="K21" s="9"/>
      <c r="L21" s="60"/>
      <c r="M21" s="50"/>
      <c r="N21" s="50"/>
    </row>
    <row r="22" spans="1:14" ht="12">
      <c r="A22" s="63" t="s">
        <v>17</v>
      </c>
      <c r="B22" s="141">
        <f>'Commodity Credit 3-1-2018'!B83</f>
        <v>18.56</v>
      </c>
      <c r="C22" s="27"/>
      <c r="D22" s="27"/>
      <c r="E22" s="27"/>
      <c r="F22" s="27"/>
      <c r="G22" s="51"/>
      <c r="H22" s="51"/>
      <c r="I22" s="51">
        <f t="shared" si="0"/>
        <v>18.56</v>
      </c>
      <c r="J22" s="51"/>
      <c r="K22" s="9"/>
      <c r="L22" s="60"/>
      <c r="M22" s="50"/>
      <c r="N22" s="50"/>
    </row>
    <row r="23" spans="1:12" ht="12">
      <c r="A23" s="11"/>
      <c r="B23" s="148"/>
      <c r="C23" s="29"/>
      <c r="D23" s="29"/>
      <c r="E23" s="29"/>
      <c r="F23" s="29"/>
      <c r="G23" s="29"/>
      <c r="H23" s="29"/>
      <c r="I23" s="9"/>
      <c r="J23" s="9"/>
      <c r="K23" s="9"/>
      <c r="L23" s="9"/>
    </row>
    <row r="24" spans="1:12" s="18" customFormat="1" ht="12">
      <c r="A24" s="54" t="s">
        <v>4</v>
      </c>
      <c r="B24" s="149">
        <f>SUM(B6:B23)</f>
        <v>927.9999999999999</v>
      </c>
      <c r="C24" s="149">
        <f aca="true" t="shared" si="1" ref="C24:I24">SUM(C6:C23)</f>
        <v>1063.5252400000002</v>
      </c>
      <c r="D24" s="149">
        <f t="shared" si="1"/>
        <v>809.6037119999999</v>
      </c>
      <c r="E24" s="149">
        <f t="shared" si="1"/>
        <v>968.347184</v>
      </c>
      <c r="F24" s="149">
        <f t="shared" si="1"/>
        <v>836.3100000000001</v>
      </c>
      <c r="G24" s="149">
        <f t="shared" si="1"/>
        <v>935.5899999999999</v>
      </c>
      <c r="H24" s="149">
        <f t="shared" si="1"/>
        <v>938.44</v>
      </c>
      <c r="I24" s="55">
        <f t="shared" si="1"/>
        <v>6479.816136000001</v>
      </c>
      <c r="J24" s="61"/>
      <c r="K24" s="40"/>
      <c r="L24" s="40"/>
    </row>
    <row r="25" spans="1:10" ht="12">
      <c r="A25" s="12"/>
      <c r="B25" s="142"/>
      <c r="C25" s="29"/>
      <c r="D25" s="29"/>
      <c r="E25" s="29"/>
      <c r="F25" s="29"/>
      <c r="G25" s="29"/>
      <c r="H25" s="150"/>
      <c r="I25" s="9"/>
      <c r="J25" s="9"/>
    </row>
    <row r="26" spans="1:10" ht="12">
      <c r="A26" s="12"/>
      <c r="B26" s="142"/>
      <c r="C26" s="29"/>
      <c r="D26" s="29"/>
      <c r="E26" s="29"/>
      <c r="F26" s="29"/>
      <c r="G26" s="29"/>
      <c r="H26" s="29"/>
      <c r="I26" s="14"/>
      <c r="J26" s="14"/>
    </row>
    <row r="27" spans="1:13" ht="12">
      <c r="A27" s="37" t="s">
        <v>27</v>
      </c>
      <c r="B27" s="151"/>
      <c r="C27" s="29"/>
      <c r="D27" s="29"/>
      <c r="E27" s="29"/>
      <c r="F27" s="29"/>
      <c r="G27" s="29"/>
      <c r="H27" s="29"/>
      <c r="M27" s="27"/>
    </row>
    <row r="28" spans="2:13" ht="12.75">
      <c r="B28" s="152" t="s">
        <v>45</v>
      </c>
      <c r="C28" s="136" t="s">
        <v>45</v>
      </c>
      <c r="D28" s="136" t="s">
        <v>45</v>
      </c>
      <c r="E28" s="136" t="s">
        <v>46</v>
      </c>
      <c r="F28" s="136" t="s">
        <v>47</v>
      </c>
      <c r="G28" s="136" t="s">
        <v>47</v>
      </c>
      <c r="H28" s="136" t="s">
        <v>47</v>
      </c>
      <c r="I28" s="15"/>
      <c r="J28" s="15"/>
      <c r="M28" s="138"/>
    </row>
    <row r="29" spans="1:13" ht="12.75">
      <c r="A29" s="63" t="s">
        <v>6</v>
      </c>
      <c r="B29" s="153">
        <f>'[3]No Glass'!$F$12</f>
        <v>12.170000000000009</v>
      </c>
      <c r="C29" s="53">
        <f>'[4]18th year actual (2nd half)'!$B$26</f>
        <v>-89.78</v>
      </c>
      <c r="D29" s="53">
        <f>'[4]18th year actual (2nd half)'!$B$27</f>
        <v>-89.78</v>
      </c>
      <c r="E29" s="53">
        <f>'[4]18th year actual (2nd half)'!$B$28</f>
        <v>-142.78</v>
      </c>
      <c r="F29" s="53">
        <f>'[4]18th year actual (2nd half)'!$B$29</f>
        <v>-147.78</v>
      </c>
      <c r="G29" s="53">
        <f>'[4]18th year actual (2nd half)'!$B$30</f>
        <v>-144.78</v>
      </c>
      <c r="H29" s="53">
        <f>'[4]18th year actual (2nd half)'!$B$31</f>
        <v>-134.78</v>
      </c>
      <c r="I29" s="52"/>
      <c r="J29" s="52"/>
      <c r="M29" s="138"/>
    </row>
    <row r="30" spans="1:13" ht="12.75">
      <c r="A30" s="63" t="s">
        <v>8</v>
      </c>
      <c r="B30" s="153">
        <f>'[3]No Glass'!$F$13</f>
        <v>67.17000000000002</v>
      </c>
      <c r="C30" s="53">
        <f>'[4]18th year actual (2nd half)'!$D$26</f>
        <v>65.22</v>
      </c>
      <c r="D30" s="53">
        <f>'[4]18th year actual (2nd half)'!$D$27</f>
        <v>10.220000000000006</v>
      </c>
      <c r="E30" s="53">
        <f>'[4]18th year actual (2nd half)'!$D$28</f>
        <v>-46.779999999999994</v>
      </c>
      <c r="F30" s="53">
        <f>'[4]18th year actual (2nd half)'!$D$29</f>
        <v>-54.779999999999994</v>
      </c>
      <c r="G30" s="53">
        <f>'[4]18th year actual (2nd half)'!$D$30</f>
        <v>-54.779999999999994</v>
      </c>
      <c r="H30" s="53">
        <f>'[4]18th year actual (2nd half)'!$D$31</f>
        <v>-47.779999999999994</v>
      </c>
      <c r="I30" s="52"/>
      <c r="J30" s="52"/>
      <c r="M30" s="138"/>
    </row>
    <row r="31" spans="1:13" ht="12.75">
      <c r="A31" s="63" t="s">
        <v>7</v>
      </c>
      <c r="B31" s="153">
        <f>'[3]No Glass'!$F$14</f>
        <v>-67.82999999999998</v>
      </c>
      <c r="C31" s="53">
        <f>'[4]18th year actual (2nd half)'!$C$26</f>
        <v>-89.78</v>
      </c>
      <c r="D31" s="53">
        <f>'[4]18th year actual (2nd half)'!$C$27</f>
        <v>-89.78</v>
      </c>
      <c r="E31" s="53">
        <f>'[4]18th year actual (2nd half)'!$C$28</f>
        <v>-142.78</v>
      </c>
      <c r="F31" s="53">
        <f>'[4]18th year actual (2nd half)'!$C$29</f>
        <v>-147.78</v>
      </c>
      <c r="G31" s="53">
        <f>'[4]18th year actual (2nd half)'!$C$30</f>
        <v>-144.78</v>
      </c>
      <c r="H31" s="53">
        <f>'[4]18th year actual (2nd half)'!$C$31</f>
        <v>-134.78</v>
      </c>
      <c r="I31" s="52"/>
      <c r="J31" s="52"/>
      <c r="M31" s="138"/>
    </row>
    <row r="32" spans="1:13" ht="12.75">
      <c r="A32" s="63" t="s">
        <v>23</v>
      </c>
      <c r="B32" s="153">
        <f>'[3]No Glass'!F16</f>
        <v>17.17000000000001</v>
      </c>
      <c r="C32" s="53">
        <f>'[4]18th year actual (2nd half)'!$G$26</f>
        <v>15.220000000000006</v>
      </c>
      <c r="D32" s="53">
        <f>'[4]18th year actual (2nd half)'!$G$27</f>
        <v>25.220000000000006</v>
      </c>
      <c r="E32" s="53">
        <f>'[4]18th year actual (2nd half)'!$G$28</f>
        <v>35.220000000000006</v>
      </c>
      <c r="F32" s="53">
        <f>'[4]18th year actual (2nd half)'!$G$29</f>
        <v>45.220000000000006</v>
      </c>
      <c r="G32" s="53">
        <f>'[4]18th year actual (2nd half)'!$G$30</f>
        <v>55.220000000000006</v>
      </c>
      <c r="H32" s="53">
        <f>'[4]18th year actual (2nd half)'!$G$31</f>
        <v>95.22</v>
      </c>
      <c r="I32" s="52"/>
      <c r="J32" s="52"/>
      <c r="M32" s="138"/>
    </row>
    <row r="33" spans="1:13" ht="12.75">
      <c r="A33" s="63" t="s">
        <v>24</v>
      </c>
      <c r="B33" s="153">
        <f>'[3]No Glass'!F17</f>
        <v>202.17000000000002</v>
      </c>
      <c r="C33" s="53">
        <f>'[4]18th year actual (2nd half)'!$H$26</f>
        <v>190.22</v>
      </c>
      <c r="D33" s="53">
        <f>'[4]18th year actual (2nd half)'!$H$27</f>
        <v>240.22</v>
      </c>
      <c r="E33" s="53">
        <f>'[4]18th year actual (2nd half)'!$H$28</f>
        <v>215.22</v>
      </c>
      <c r="F33" s="53">
        <f>'[4]18th year actual (2nd half)'!$H$29</f>
        <v>245.22000000000003</v>
      </c>
      <c r="G33" s="53">
        <f>'[4]18th year actual (2nd half)'!$H$30</f>
        <v>175.22</v>
      </c>
      <c r="H33" s="53">
        <f>'[4]18th year actual (2nd half)'!$H$31</f>
        <v>205.22</v>
      </c>
      <c r="I33" s="52"/>
      <c r="J33" s="52"/>
      <c r="M33" s="138"/>
    </row>
    <row r="34" spans="1:13" ht="12.75">
      <c r="A34" s="63" t="s">
        <v>25</v>
      </c>
      <c r="B34" s="153">
        <f>'[3]No Glass'!F18</f>
        <v>532.17</v>
      </c>
      <c r="C34" s="53">
        <f>'[4]18th year actual (2nd half)'!$I$26</f>
        <v>560.22</v>
      </c>
      <c r="D34" s="53">
        <f>'[4]18th year actual (2nd half)'!$I$27</f>
        <v>540.22</v>
      </c>
      <c r="E34" s="53">
        <f>'[4]18th year actual (2nd half)'!$I$28</f>
        <v>535.22</v>
      </c>
      <c r="F34" s="53">
        <f>'[4]18th year actual (2nd half)'!$I$29</f>
        <v>555.22</v>
      </c>
      <c r="G34" s="53">
        <f>'[4]18th year actual (2nd half)'!$I$30</f>
        <v>545.22</v>
      </c>
      <c r="H34" s="53">
        <f>'[4]18th year actual (2nd half)'!$I$31</f>
        <v>605.22</v>
      </c>
      <c r="I34" s="52"/>
      <c r="J34" s="52"/>
      <c r="M34" s="138"/>
    </row>
    <row r="35" spans="1:13" ht="12.75">
      <c r="A35" s="63" t="s">
        <v>26</v>
      </c>
      <c r="B35" s="153">
        <f>'[3]No Glass'!F19</f>
        <v>-157.82999999999998</v>
      </c>
      <c r="C35" s="53">
        <f>'[4]18th year actual (2nd half)'!$J$26</f>
        <v>-159.78</v>
      </c>
      <c r="D35" s="53">
        <f>'[4]18th year actual (2nd half)'!$J$27</f>
        <v>-159.78</v>
      </c>
      <c r="E35" s="53">
        <f>'[4]18th year actual (2nd half)'!$J$28</f>
        <v>-204.78</v>
      </c>
      <c r="F35" s="53">
        <f>'[4]18th year actual (2nd half)'!$J$29</f>
        <v>-204.78</v>
      </c>
      <c r="G35" s="53">
        <f>'[4]18th year actual (2nd half)'!$J$30</f>
        <v>-174.78</v>
      </c>
      <c r="H35" s="53">
        <f>'[4]18th year actual (2nd half)'!$J$31</f>
        <v>-174.78</v>
      </c>
      <c r="I35" s="52"/>
      <c r="J35" s="52"/>
      <c r="L35" s="135"/>
      <c r="M35" s="138"/>
    </row>
    <row r="36" spans="1:13" ht="12.75">
      <c r="A36" s="63" t="s">
        <v>31</v>
      </c>
      <c r="B36" s="154">
        <v>0</v>
      </c>
      <c r="C36" s="53">
        <f>'[4]18th year actual (2nd half)'!$K$26</f>
        <v>-19.78</v>
      </c>
      <c r="D36" s="53">
        <f>'[4]18th year actual (2nd half)'!$K$27</f>
        <v>-19.78</v>
      </c>
      <c r="E36" s="53">
        <f>'[4]18th year actual (2nd half)'!$K$28</f>
        <v>-64.78</v>
      </c>
      <c r="F36" s="53">
        <f>'[4]18th year actual (2nd half)'!$K$29</f>
        <v>0</v>
      </c>
      <c r="G36" s="53">
        <f>'[4]18th year actual (2nd half)'!$K$30</f>
        <v>0</v>
      </c>
      <c r="H36" s="53">
        <f>'[4]18th year actual (2nd half)'!$K$31</f>
        <v>0</v>
      </c>
      <c r="I36" s="52"/>
      <c r="J36" s="52"/>
      <c r="M36" s="138"/>
    </row>
    <row r="37" spans="1:13" ht="12.75">
      <c r="A37" s="63" t="s">
        <v>32</v>
      </c>
      <c r="B37" s="154">
        <v>0</v>
      </c>
      <c r="C37" s="53">
        <f>'[4]18th year actual (2nd half)'!$L$26</f>
        <v>0</v>
      </c>
      <c r="D37" s="53">
        <f>'[4]18th year actual (2nd half)'!$L$27</f>
        <v>0</v>
      </c>
      <c r="E37" s="53">
        <f>'[4]18th year actual (2nd half)'!$L$28</f>
        <v>0</v>
      </c>
      <c r="F37" s="53">
        <f>'[4]18th year actual (2nd half)'!$L$29</f>
        <v>-44.779999999999994</v>
      </c>
      <c r="G37" s="53">
        <f>'[4]18th year actual (2nd half)'!$L$30</f>
        <v>-34.779999999999994</v>
      </c>
      <c r="H37" s="53">
        <f>'[4]18th year actual (2nd half)'!$L$31</f>
        <v>-4.779999999999994</v>
      </c>
      <c r="I37" s="52"/>
      <c r="J37" s="52"/>
      <c r="M37" s="138"/>
    </row>
    <row r="38" spans="1:13" ht="12.75">
      <c r="A38" s="63" t="s">
        <v>33</v>
      </c>
      <c r="B38" s="154">
        <v>0</v>
      </c>
      <c r="C38" s="53">
        <f>'[4]18th year actual (2nd half)'!$M$26</f>
        <v>-120.78</v>
      </c>
      <c r="D38" s="53">
        <f>'[4]18th year actual (2nd half)'!$M$27</f>
        <v>-120.78</v>
      </c>
      <c r="E38" s="53">
        <f>'[4]18th year actual (2nd half)'!$M$28</f>
        <v>-165.78</v>
      </c>
      <c r="F38" s="53">
        <f>'[4]18th year actual (2nd half)'!$M$29</f>
        <v>-169.88</v>
      </c>
      <c r="G38" s="53">
        <f>'[4]18th year actual (2nd half)'!$M$30</f>
        <v>-169.88</v>
      </c>
      <c r="H38" s="53">
        <f>'[4]18th year actual (2nd half)'!$M$31</f>
        <v>-169.88</v>
      </c>
      <c r="I38" s="52"/>
      <c r="J38" s="52"/>
      <c r="M38" s="138"/>
    </row>
    <row r="39" spans="1:13" ht="12.75">
      <c r="A39" s="63" t="s">
        <v>34</v>
      </c>
      <c r="B39" s="154">
        <v>0</v>
      </c>
      <c r="C39" s="53">
        <f>'[4]18th year actual (2nd half)'!$N$26</f>
        <v>0.22000000000000597</v>
      </c>
      <c r="D39" s="53">
        <f>'[4]18th year actual (2nd half)'!$N$27</f>
        <v>0.22000000000000597</v>
      </c>
      <c r="E39" s="53">
        <f>'[4]18th year actual (2nd half)'!$N$28</f>
        <v>-44.779999999999994</v>
      </c>
      <c r="F39" s="53">
        <f>'[4]18th year actual (2nd half)'!$N$29</f>
        <v>-44.779999999999994</v>
      </c>
      <c r="G39" s="53">
        <f>'[4]18th year actual (2nd half)'!$N$30</f>
        <v>-44.779999999999994</v>
      </c>
      <c r="H39" s="53">
        <f>'[4]18th year actual (2nd half)'!$N$31</f>
        <v>-24.779999999999994</v>
      </c>
      <c r="I39" s="52"/>
      <c r="J39" s="52"/>
      <c r="M39" s="138"/>
    </row>
    <row r="40" spans="1:13" ht="12.75">
      <c r="A40" s="63" t="s">
        <v>9</v>
      </c>
      <c r="B40" s="154">
        <f>'[3]No Glass'!F23</f>
        <v>1282.17</v>
      </c>
      <c r="C40" s="53">
        <f>'[4]18th year actual (2nd half)'!$E$26</f>
        <v>1320.22</v>
      </c>
      <c r="D40" s="53">
        <f>'[4]18th year actual (2nd half)'!$E$27</f>
        <v>1320.22</v>
      </c>
      <c r="E40" s="53">
        <f>'[4]18th year actual (2nd half)'!$E$28</f>
        <v>1305.22</v>
      </c>
      <c r="F40" s="53">
        <f>'[4]18th year actual (2nd half)'!$E$29</f>
        <v>1305.22</v>
      </c>
      <c r="G40" s="53">
        <f>'[4]18th year actual (2nd half)'!$E$30</f>
        <v>1340.22</v>
      </c>
      <c r="H40" s="53">
        <f>'[4]18th year actual (2nd half)'!$E$31</f>
        <v>1475.22</v>
      </c>
      <c r="I40" s="52"/>
      <c r="J40" s="52"/>
      <c r="M40" s="138"/>
    </row>
    <row r="41" spans="1:13" ht="12.75">
      <c r="A41" s="63" t="s">
        <v>10</v>
      </c>
      <c r="B41" s="154">
        <f>'[3]No Glass'!F24</f>
        <v>82.17000000000002</v>
      </c>
      <c r="C41" s="53">
        <f>'[4]18th year actual (2nd half)'!$F$26</f>
        <v>102.22</v>
      </c>
      <c r="D41" s="53">
        <f>'[4]18th year actual (2nd half)'!$F$27</f>
        <v>97.22</v>
      </c>
      <c r="E41" s="53">
        <f>'[4]18th year actual (2nd half)'!$F$28</f>
        <v>62.220000000000006</v>
      </c>
      <c r="F41" s="53">
        <f>'[4]18th year actual (2nd half)'!$F$29</f>
        <v>72.22</v>
      </c>
      <c r="G41" s="53">
        <f>'[4]18th year actual (2nd half)'!$F$30</f>
        <v>62.220000000000006</v>
      </c>
      <c r="H41" s="53">
        <f>'[4]18th year actual (2nd half)'!$F$31</f>
        <v>57.220000000000006</v>
      </c>
      <c r="I41" s="52"/>
      <c r="J41" s="52"/>
      <c r="M41" s="138"/>
    </row>
    <row r="42" spans="1:13" ht="12.75">
      <c r="A42" s="63" t="s">
        <v>35</v>
      </c>
      <c r="B42" s="154">
        <v>0</v>
      </c>
      <c r="C42" s="53">
        <f>'[4]18th year actual (2nd half)'!$O$26</f>
        <v>0</v>
      </c>
      <c r="D42" s="53">
        <f>'[4]18th year actual (2nd half)'!$O$27</f>
        <v>-125.4</v>
      </c>
      <c r="E42" s="53">
        <f>'[4]18th year actual (2nd half)'!$O$28</f>
        <v>-170.4</v>
      </c>
      <c r="F42" s="53">
        <f>'[4]18th year actual (2nd half)'!$O$29</f>
        <v>-170.4</v>
      </c>
      <c r="G42" s="53">
        <f>'[4]18th year actual (2nd half)'!$O$30</f>
        <v>-170.4</v>
      </c>
      <c r="H42" s="53">
        <f>'[4]18th year actual (2nd half)'!$O$31</f>
        <v>-170.4</v>
      </c>
      <c r="I42" s="52"/>
      <c r="J42" s="52"/>
      <c r="M42" s="138"/>
    </row>
    <row r="43" spans="1:13" ht="12.75">
      <c r="A43" s="63" t="s">
        <v>36</v>
      </c>
      <c r="B43" s="154">
        <v>0</v>
      </c>
      <c r="C43" s="53">
        <f>'[4]18th year actual (2nd half)'!$P$26</f>
        <v>0</v>
      </c>
      <c r="D43" s="53">
        <f>'[4]18th year actual (2nd half)'!$P$27</f>
        <v>-237.15999999999997</v>
      </c>
      <c r="E43" s="53">
        <f>'[4]18th year actual (2nd half)'!$P$28</f>
        <v>-282.15999999999997</v>
      </c>
      <c r="F43" s="53">
        <f>'[4]18th year actual (2nd half)'!$P$29</f>
        <v>-282.15999999999997</v>
      </c>
      <c r="G43" s="53">
        <f>'[4]18th year actual (2nd half)'!$P$30</f>
        <v>-282.15999999999997</v>
      </c>
      <c r="H43" s="53">
        <f>'[4]18th year actual (2nd half)'!$P$31</f>
        <v>-282.15999999999997</v>
      </c>
      <c r="I43" s="52"/>
      <c r="J43" s="52"/>
      <c r="M43" s="138"/>
    </row>
    <row r="44" spans="1:13" ht="12">
      <c r="A44" s="63" t="s">
        <v>17</v>
      </c>
      <c r="B44" s="153">
        <f>'[3]No Glass'!$F$26</f>
        <v>-222.82999999999998</v>
      </c>
      <c r="C44" s="53">
        <f>'[4]18th year actual (2nd half)'!$Q$26</f>
        <v>-237.15999999999997</v>
      </c>
      <c r="D44" s="53">
        <f>'[4]18th year actual (2nd half)'!$Q$27</f>
        <v>0</v>
      </c>
      <c r="E44" s="53">
        <f>'[4]18th year actual (2nd half)'!$Q$28</f>
        <v>0</v>
      </c>
      <c r="F44" s="53">
        <f>'[4]18th year actual (2nd half)'!$Q$29</f>
        <v>0</v>
      </c>
      <c r="G44" s="53">
        <f>'[4]18th year actual (2nd half)'!$Q$30</f>
        <v>0</v>
      </c>
      <c r="H44" s="53">
        <f>'[4]18th year actual (2nd half)'!$Q$31</f>
        <v>0</v>
      </c>
      <c r="I44" s="52"/>
      <c r="J44" s="52"/>
      <c r="M44" s="27"/>
    </row>
    <row r="45" spans="1:13" ht="12">
      <c r="A45" s="137" t="s">
        <v>48</v>
      </c>
      <c r="B45" s="155">
        <f>SUM(B29:B44)-SUM('[4]18th year actual (2nd half)'!$B$25:$Q$25)</f>
        <v>0</v>
      </c>
      <c r="C45" s="155">
        <f>SUM(C29:C44)-SUM('[4]18th year actual (2nd half)'!$B$26:$Q$26)</f>
        <v>0</v>
      </c>
      <c r="D45" s="155">
        <f>SUM(D29:D44)-SUM('[4]18th year actual (2nd half)'!$B$27:$Q$27)</f>
        <v>0</v>
      </c>
      <c r="E45" s="155">
        <f>SUM(E29:E44)-SUM('[4]18th year actual (2nd half)'!$B$28:$Q$28)</f>
        <v>0</v>
      </c>
      <c r="F45" s="155">
        <f>SUM(F29:F44)-SUM('[4]18th year actual (2nd half)'!$B$29:$Q$29)</f>
        <v>0</v>
      </c>
      <c r="G45" s="155">
        <f>SUM(G29:G44)-SUM('[4]18th year actual (2nd half)'!$B$30:$Q$30)</f>
        <v>0</v>
      </c>
      <c r="H45" s="155">
        <f>SUM(H29:H44)-SUM('[4]18th year actual (2nd half)'!$B$31:$Q$31)</f>
        <v>0</v>
      </c>
      <c r="I45" s="10"/>
      <c r="J45" s="10"/>
      <c r="M45" s="27"/>
    </row>
    <row r="46" spans="2:10" ht="12">
      <c r="B46" s="151"/>
      <c r="C46" s="27"/>
      <c r="D46" s="27"/>
      <c r="E46" s="27"/>
      <c r="F46" s="27"/>
      <c r="G46" s="27"/>
      <c r="H46" s="27"/>
      <c r="I46" s="15"/>
      <c r="J46" s="15"/>
    </row>
    <row r="47" spans="1:10" ht="12">
      <c r="A47" s="37" t="s">
        <v>3</v>
      </c>
      <c r="B47" s="156"/>
      <c r="C47" s="28"/>
      <c r="D47" s="28"/>
      <c r="E47" s="28"/>
      <c r="F47" s="28"/>
      <c r="G47" s="28"/>
      <c r="H47" s="28"/>
      <c r="I47" s="15"/>
      <c r="J47" s="15"/>
    </row>
    <row r="48" spans="1:12" ht="12">
      <c r="A48" s="63" t="s">
        <v>6</v>
      </c>
      <c r="B48" s="157">
        <f aca="true" t="shared" si="2" ref="B48:B60">B7*B29</f>
        <v>3230.0153600000017</v>
      </c>
      <c r="C48" s="157">
        <f aca="true" t="shared" si="3" ref="C48:G60">C7*C29</f>
        <v>-43542.06283160001</v>
      </c>
      <c r="D48" s="157">
        <f t="shared" si="3"/>
        <v>-33146.19566208</v>
      </c>
      <c r="E48" s="157">
        <f t="shared" si="3"/>
        <v>-63049.27099856</v>
      </c>
      <c r="F48" s="157">
        <f t="shared" si="3"/>
        <v>0</v>
      </c>
      <c r="G48" s="157">
        <f t="shared" si="3"/>
        <v>0</v>
      </c>
      <c r="H48" s="157"/>
      <c r="I48" s="42">
        <f>SUM(B48:H48)</f>
        <v>-136507.51413224</v>
      </c>
      <c r="J48" s="42"/>
      <c r="K48" s="14"/>
      <c r="L48" s="9"/>
    </row>
    <row r="49" spans="1:12" ht="12">
      <c r="A49" s="63" t="s">
        <v>8</v>
      </c>
      <c r="B49" s="157">
        <f t="shared" si="2"/>
        <v>21006.477120000007</v>
      </c>
      <c r="C49" s="157">
        <f t="shared" si="3"/>
        <v>19933.922325</v>
      </c>
      <c r="D49" s="157">
        <f t="shared" si="3"/>
        <v>2377.866960000001</v>
      </c>
      <c r="E49" s="157">
        <f t="shared" si="3"/>
        <v>-13018.336029999999</v>
      </c>
      <c r="F49" s="157">
        <f t="shared" si="3"/>
        <v>-9267.982402139998</v>
      </c>
      <c r="G49" s="157">
        <f t="shared" si="3"/>
        <v>-10368.20276646</v>
      </c>
      <c r="H49" s="157"/>
      <c r="I49" s="42">
        <f aca="true" t="shared" si="4" ref="I49:I64">SUM(B49:H49)</f>
        <v>10663.745206400006</v>
      </c>
      <c r="J49" s="42"/>
      <c r="K49" s="14"/>
      <c r="L49" s="9"/>
    </row>
    <row r="50" spans="1:12" ht="12">
      <c r="A50" s="63" t="s">
        <v>7</v>
      </c>
      <c r="B50" s="157">
        <f t="shared" si="2"/>
        <v>-15736.559999999996</v>
      </c>
      <c r="C50" s="157">
        <f t="shared" si="3"/>
        <v>-3397.8462008000006</v>
      </c>
      <c r="D50" s="157">
        <f t="shared" si="3"/>
        <v>-2586.59483904</v>
      </c>
      <c r="E50" s="157">
        <f t="shared" si="3"/>
        <v>-4920.10970528</v>
      </c>
      <c r="F50" s="157">
        <f t="shared" si="3"/>
        <v>-67109.31124740001</v>
      </c>
      <c r="G50" s="157">
        <f t="shared" si="3"/>
        <v>-73551.9130686</v>
      </c>
      <c r="H50" s="157"/>
      <c r="I50" s="42">
        <f t="shared" si="4"/>
        <v>-167302.33506112</v>
      </c>
      <c r="J50" s="42"/>
      <c r="K50" s="14"/>
      <c r="L50" s="9"/>
    </row>
    <row r="51" spans="1:12" ht="12">
      <c r="A51" s="63" t="s">
        <v>23</v>
      </c>
      <c r="B51" s="157">
        <f t="shared" si="2"/>
        <v>573.6153600000002</v>
      </c>
      <c r="C51" s="157">
        <f t="shared" si="3"/>
        <v>425.54404660000023</v>
      </c>
      <c r="D51" s="157">
        <f t="shared" si="3"/>
        <v>536.7840940800002</v>
      </c>
      <c r="E51" s="157">
        <f t="shared" si="3"/>
        <v>896.6077965600001</v>
      </c>
      <c r="F51" s="157">
        <f t="shared" si="3"/>
        <v>1032.42971286</v>
      </c>
      <c r="G51" s="157">
        <f t="shared" si="3"/>
        <v>1410.4075385400001</v>
      </c>
      <c r="H51" s="157"/>
      <c r="I51" s="42">
        <f t="shared" si="4"/>
        <v>4875.388548640001</v>
      </c>
      <c r="J51" s="42"/>
      <c r="K51" s="14"/>
      <c r="L51" s="9"/>
    </row>
    <row r="52" spans="1:12" ht="12">
      <c r="A52" s="63" t="s">
        <v>24</v>
      </c>
      <c r="B52" s="157">
        <f t="shared" si="2"/>
        <v>1688.5238399999998</v>
      </c>
      <c r="C52" s="157">
        <f t="shared" si="3"/>
        <v>2163.7848374</v>
      </c>
      <c r="D52" s="157">
        <f t="shared" si="3"/>
        <v>2080.1360851199997</v>
      </c>
      <c r="E52" s="157">
        <f t="shared" si="3"/>
        <v>2229.07055784</v>
      </c>
      <c r="F52" s="157">
        <f t="shared" si="3"/>
        <v>2194.35533874</v>
      </c>
      <c r="G52" s="157">
        <f t="shared" si="3"/>
        <v>1754.0946538599999</v>
      </c>
      <c r="H52" s="157"/>
      <c r="I52" s="42">
        <f t="shared" si="4"/>
        <v>12109.96531296</v>
      </c>
      <c r="J52" s="42"/>
      <c r="K52" s="14"/>
      <c r="L52" s="9"/>
    </row>
    <row r="53" spans="1:12" ht="12">
      <c r="A53" s="63" t="s">
        <v>25</v>
      </c>
      <c r="B53" s="157">
        <f t="shared" si="2"/>
        <v>6913.9526399999995</v>
      </c>
      <c r="C53" s="157">
        <f t="shared" si="3"/>
        <v>6372.5977374</v>
      </c>
      <c r="D53" s="157">
        <f t="shared" si="3"/>
        <v>4677.92488512</v>
      </c>
      <c r="E53" s="157">
        <f t="shared" si="3"/>
        <v>5543.36559784</v>
      </c>
      <c r="F53" s="157">
        <f t="shared" si="3"/>
        <v>4968.395608739999</v>
      </c>
      <c r="G53" s="157">
        <f t="shared" si="3"/>
        <v>5458.09546386</v>
      </c>
      <c r="H53" s="157"/>
      <c r="I53" s="42">
        <f t="shared" si="4"/>
        <v>33934.33193296</v>
      </c>
      <c r="J53" s="42"/>
      <c r="K53" s="14"/>
      <c r="L53" s="9"/>
    </row>
    <row r="54" spans="1:12" ht="12">
      <c r="A54" s="63" t="s">
        <v>26</v>
      </c>
      <c r="B54" s="157">
        <f t="shared" si="2"/>
        <v>-732.3311999999999</v>
      </c>
      <c r="C54" s="157">
        <f t="shared" si="3"/>
        <v>0</v>
      </c>
      <c r="D54" s="157">
        <f t="shared" si="3"/>
        <v>0</v>
      </c>
      <c r="E54" s="157">
        <f t="shared" si="3"/>
        <v>0</v>
      </c>
      <c r="F54" s="157">
        <f t="shared" si="3"/>
        <v>-839.1718528199998</v>
      </c>
      <c r="G54" s="157">
        <f t="shared" si="3"/>
        <v>-801.2598589799999</v>
      </c>
      <c r="H54" s="157"/>
      <c r="I54" s="42">
        <f t="shared" si="4"/>
        <v>-2372.7629117999995</v>
      </c>
      <c r="J54" s="42"/>
      <c r="K54" s="14"/>
      <c r="L54" s="9"/>
    </row>
    <row r="55" spans="1:12" ht="12">
      <c r="A55" s="63" t="s">
        <v>31</v>
      </c>
      <c r="B55" s="157">
        <f t="shared" si="2"/>
        <v>0</v>
      </c>
      <c r="C55" s="157">
        <f t="shared" si="3"/>
        <v>-52.570295000000016</v>
      </c>
      <c r="D55" s="157">
        <f t="shared" si="3"/>
        <v>-40.018896000000005</v>
      </c>
      <c r="E55" s="157">
        <f t="shared" si="3"/>
        <v>-156.761122</v>
      </c>
      <c r="F55" s="157">
        <f t="shared" si="3"/>
        <v>0</v>
      </c>
      <c r="G55" s="157">
        <f t="shared" si="3"/>
        <v>0</v>
      </c>
      <c r="H55" s="157"/>
      <c r="I55" s="42">
        <f t="shared" si="4"/>
        <v>-249.35031300000003</v>
      </c>
      <c r="J55" s="42"/>
      <c r="K55" s="14"/>
      <c r="L55" s="9"/>
    </row>
    <row r="56" spans="1:12" ht="12">
      <c r="A56" s="63" t="s">
        <v>32</v>
      </c>
      <c r="B56" s="157">
        <f t="shared" si="2"/>
        <v>0</v>
      </c>
      <c r="C56" s="157">
        <f t="shared" si="3"/>
        <v>0</v>
      </c>
      <c r="D56" s="157">
        <f t="shared" si="3"/>
        <v>0</v>
      </c>
      <c r="E56" s="157">
        <f t="shared" si="3"/>
        <v>0</v>
      </c>
      <c r="F56" s="157">
        <f t="shared" si="3"/>
        <v>0</v>
      </c>
      <c r="G56" s="157">
        <f t="shared" si="3"/>
        <v>0</v>
      </c>
      <c r="H56" s="157"/>
      <c r="I56" s="42">
        <f t="shared" si="4"/>
        <v>0</v>
      </c>
      <c r="J56" s="42"/>
      <c r="K56" s="14"/>
      <c r="L56" s="9"/>
    </row>
    <row r="57" spans="1:12" ht="12">
      <c r="A57" s="63" t="s">
        <v>33</v>
      </c>
      <c r="B57" s="157">
        <f t="shared" si="2"/>
        <v>0</v>
      </c>
      <c r="C57" s="157">
        <f t="shared" si="3"/>
        <v>-10516.059754200001</v>
      </c>
      <c r="D57" s="157">
        <f t="shared" si="3"/>
        <v>-8005.302264959999</v>
      </c>
      <c r="E57" s="157">
        <f t="shared" si="3"/>
        <v>-13142.36268072</v>
      </c>
      <c r="F57" s="157">
        <f t="shared" si="3"/>
        <v>-11635.724875319998</v>
      </c>
      <c r="G57" s="157">
        <f t="shared" si="3"/>
        <v>-13017.02459148</v>
      </c>
      <c r="H57" s="157"/>
      <c r="I57" s="42">
        <f t="shared" si="4"/>
        <v>-56316.47416668</v>
      </c>
      <c r="J57" s="42"/>
      <c r="K57" s="14"/>
      <c r="L57" s="9"/>
    </row>
    <row r="58" spans="1:12" ht="12">
      <c r="A58" s="63" t="s">
        <v>34</v>
      </c>
      <c r="B58" s="157">
        <f t="shared" si="2"/>
        <v>0</v>
      </c>
      <c r="C58" s="157">
        <f t="shared" si="3"/>
        <v>0.7016460000000192</v>
      </c>
      <c r="D58" s="157">
        <f t="shared" si="3"/>
        <v>0.5341248000000144</v>
      </c>
      <c r="E58" s="157">
        <f t="shared" si="3"/>
        <v>-130.0357464</v>
      </c>
      <c r="F58" s="157">
        <f t="shared" si="3"/>
        <v>-112.34988539999998</v>
      </c>
      <c r="G58" s="157">
        <f t="shared" si="3"/>
        <v>-125.68716059999997</v>
      </c>
      <c r="H58" s="157"/>
      <c r="I58" s="42">
        <f t="shared" si="4"/>
        <v>-366.8370215999999</v>
      </c>
      <c r="J58" s="42"/>
      <c r="K58" s="14"/>
      <c r="L58" s="9"/>
    </row>
    <row r="59" spans="1:12" ht="12">
      <c r="A59" s="63" t="s">
        <v>9</v>
      </c>
      <c r="B59" s="157">
        <f t="shared" si="2"/>
        <v>15468.098880000001</v>
      </c>
      <c r="C59" s="157">
        <f t="shared" si="3"/>
        <v>14315.963996400002</v>
      </c>
      <c r="D59" s="157">
        <f t="shared" si="3"/>
        <v>10897.96194432</v>
      </c>
      <c r="E59" s="157">
        <f t="shared" si="3"/>
        <v>12886.687662240001</v>
      </c>
      <c r="F59" s="157">
        <f t="shared" si="3"/>
        <v>11133.999089640001</v>
      </c>
      <c r="G59" s="157">
        <f t="shared" si="3"/>
        <v>12789.74358396</v>
      </c>
      <c r="H59" s="157"/>
      <c r="I59" s="42">
        <f t="shared" si="4"/>
        <v>77492.45515656</v>
      </c>
      <c r="J59" s="42"/>
      <c r="K59" s="14"/>
      <c r="L59" s="9"/>
    </row>
    <row r="60" spans="1:12" ht="12">
      <c r="A60" s="63" t="s">
        <v>10</v>
      </c>
      <c r="B60" s="157">
        <f t="shared" si="2"/>
        <v>2287.6128000000003</v>
      </c>
      <c r="C60" s="157">
        <f t="shared" si="3"/>
        <v>2412.4758204000004</v>
      </c>
      <c r="D60" s="157">
        <f t="shared" si="3"/>
        <v>1746.65607552</v>
      </c>
      <c r="E60" s="157">
        <f t="shared" si="3"/>
        <v>1337.0276606400002</v>
      </c>
      <c r="F60" s="157">
        <f t="shared" si="3"/>
        <v>1340.84244204</v>
      </c>
      <c r="G60" s="157">
        <f t="shared" si="3"/>
        <v>1292.3154975600003</v>
      </c>
      <c r="H60" s="157"/>
      <c r="I60" s="42">
        <f t="shared" si="4"/>
        <v>10416.930296160002</v>
      </c>
      <c r="J60" s="42"/>
      <c r="K60" s="14"/>
      <c r="L60" s="9"/>
    </row>
    <row r="61" spans="1:12" s="33" customFormat="1" ht="12">
      <c r="A61" s="38" t="s">
        <v>19</v>
      </c>
      <c r="B61" s="158">
        <f>SUM(B48:B60)</f>
        <v>34699.40480000001</v>
      </c>
      <c r="C61" s="158">
        <f aca="true" t="shared" si="5" ref="C61:I61">SUM(C48:C60)</f>
        <v>-11883.54867240001</v>
      </c>
      <c r="D61" s="158">
        <f t="shared" si="5"/>
        <v>-21460.24749312</v>
      </c>
      <c r="E61" s="158">
        <f t="shared" si="5"/>
        <v>-71524.11700784</v>
      </c>
      <c r="F61" s="158">
        <f t="shared" si="5"/>
        <v>-68294.51807106001</v>
      </c>
      <c r="G61" s="158">
        <f t="shared" si="5"/>
        <v>-75159.43070834</v>
      </c>
      <c r="H61" s="158"/>
      <c r="I61" s="43">
        <f t="shared" si="5"/>
        <v>-213622.45715276</v>
      </c>
      <c r="J61" s="43"/>
      <c r="K61" s="34"/>
      <c r="L61" s="34"/>
    </row>
    <row r="62" spans="1:19" s="33" customFormat="1" ht="12">
      <c r="A62" s="63" t="s">
        <v>35</v>
      </c>
      <c r="B62" s="157">
        <f>+B42*B20</f>
        <v>0</v>
      </c>
      <c r="C62" s="157">
        <f>+C42*C20</f>
        <v>0</v>
      </c>
      <c r="D62" s="157">
        <f aca="true" t="shared" si="6" ref="D62:G63">+D42*D20</f>
        <v>-5175.669311999999</v>
      </c>
      <c r="E62" s="157">
        <f t="shared" si="6"/>
        <v>-8411.959584</v>
      </c>
      <c r="F62" s="157">
        <f t="shared" si="6"/>
        <v>-11001.5576928</v>
      </c>
      <c r="G62" s="157">
        <f t="shared" si="6"/>
        <v>-12307.5741792</v>
      </c>
      <c r="H62" s="157"/>
      <c r="I62" s="42">
        <f t="shared" si="4"/>
        <v>-36896.76076799999</v>
      </c>
      <c r="J62" s="172"/>
      <c r="K62" s="173"/>
      <c r="L62" s="173"/>
      <c r="M62" s="174"/>
      <c r="N62" s="174"/>
      <c r="O62" s="174"/>
      <c r="P62" s="174"/>
      <c r="Q62" s="174"/>
      <c r="R62" s="174"/>
      <c r="S62" s="174"/>
    </row>
    <row r="63" spans="1:19" s="33" customFormat="1" ht="12">
      <c r="A63" s="63" t="s">
        <v>36</v>
      </c>
      <c r="B63" s="157">
        <f>+B43*B21</f>
        <v>0</v>
      </c>
      <c r="C63" s="157">
        <f>+C43*C21</f>
        <v>0</v>
      </c>
      <c r="D63" s="157">
        <f t="shared" si="6"/>
        <v>-499.01499647999987</v>
      </c>
      <c r="E63" s="157">
        <f t="shared" si="6"/>
        <v>-710.11094336</v>
      </c>
      <c r="F63" s="157">
        <f t="shared" si="6"/>
        <v>-613.5303969599998</v>
      </c>
      <c r="G63" s="157">
        <f t="shared" si="6"/>
        <v>-686.3637934399998</v>
      </c>
      <c r="H63" s="157"/>
      <c r="I63" s="42">
        <f t="shared" si="4"/>
        <v>-2509.0201302399996</v>
      </c>
      <c r="J63" s="172"/>
      <c r="K63" s="173"/>
      <c r="L63" s="173"/>
      <c r="M63" s="174"/>
      <c r="N63" s="174"/>
      <c r="O63" s="174"/>
      <c r="P63" s="174"/>
      <c r="Q63" s="174"/>
      <c r="R63" s="174"/>
      <c r="S63" s="174"/>
    </row>
    <row r="64" spans="1:19" ht="12">
      <c r="A64" s="63" t="s">
        <v>17</v>
      </c>
      <c r="B64" s="157">
        <f>+B44*B22</f>
        <v>-4135.724799999999</v>
      </c>
      <c r="C64" s="157">
        <f>+C44*(C21+C20)</f>
        <v>-13513.8890656</v>
      </c>
      <c r="D64" s="157">
        <f>+D44*D21</f>
        <v>0</v>
      </c>
      <c r="E64" s="157">
        <f>+E44*E21</f>
        <v>0</v>
      </c>
      <c r="F64" s="157">
        <f>+F44*F21</f>
        <v>0</v>
      </c>
      <c r="G64" s="157">
        <f>+G44*G22</f>
        <v>0</v>
      </c>
      <c r="H64" s="157"/>
      <c r="I64" s="42">
        <f t="shared" si="4"/>
        <v>-17649.6138656</v>
      </c>
      <c r="J64" s="175"/>
      <c r="K64" s="176"/>
      <c r="L64" s="177"/>
      <c r="M64" s="164"/>
      <c r="N64" s="164"/>
      <c r="O64" s="164"/>
      <c r="P64" s="164"/>
      <c r="Q64" s="164"/>
      <c r="R64" s="164"/>
      <c r="S64" s="164"/>
    </row>
    <row r="65" spans="1:19" ht="12">
      <c r="A65" s="16"/>
      <c r="B65" s="16"/>
      <c r="C65" s="14"/>
      <c r="D65" s="14"/>
      <c r="E65" s="14"/>
      <c r="F65" s="14"/>
      <c r="G65" s="14"/>
      <c r="H65" s="14"/>
      <c r="I65" s="14"/>
      <c r="J65" s="162"/>
      <c r="K65" s="178"/>
      <c r="L65" s="179"/>
      <c r="M65" s="164"/>
      <c r="N65" s="164"/>
      <c r="O65" s="164"/>
      <c r="P65" s="164"/>
      <c r="Q65" s="164"/>
      <c r="R65" s="164"/>
      <c r="S65" s="164"/>
    </row>
    <row r="66" spans="1:22" s="18" customFormat="1" ht="12">
      <c r="A66" s="54" t="s">
        <v>4</v>
      </c>
      <c r="B66" s="56">
        <f>SUM(B61:B65)</f>
        <v>30563.68000000001</v>
      </c>
      <c r="C66" s="56">
        <f aca="true" t="shared" si="7" ref="C66:I66">SUM(C61:C65)</f>
        <v>-25397.437738000008</v>
      </c>
      <c r="D66" s="56">
        <f t="shared" si="7"/>
        <v>-27134.9318016</v>
      </c>
      <c r="E66" s="56">
        <f t="shared" si="7"/>
        <v>-80646.1875352</v>
      </c>
      <c r="F66" s="56">
        <f t="shared" si="7"/>
        <v>-79909.60616082001</v>
      </c>
      <c r="G66" s="56">
        <f t="shared" si="7"/>
        <v>-88153.36868098001</v>
      </c>
      <c r="H66" s="56">
        <f t="shared" si="7"/>
        <v>0</v>
      </c>
      <c r="I66" s="56">
        <f t="shared" si="7"/>
        <v>-270677.8519166</v>
      </c>
      <c r="J66" s="180"/>
      <c r="K66" s="159"/>
      <c r="L66" s="160"/>
      <c r="M66" s="181"/>
      <c r="N66" s="161"/>
      <c r="O66" s="161"/>
      <c r="P66" s="161"/>
      <c r="Q66" s="161"/>
      <c r="R66" s="161"/>
      <c r="S66" s="161"/>
      <c r="T66" s="31"/>
      <c r="U66" s="31"/>
      <c r="V66" s="31"/>
    </row>
    <row r="67" spans="2:22" ht="12">
      <c r="B67" s="139"/>
      <c r="C67" s="139"/>
      <c r="D67" s="139"/>
      <c r="E67" s="139"/>
      <c r="F67" s="139"/>
      <c r="G67" s="139"/>
      <c r="H67" s="139"/>
      <c r="I67" s="15"/>
      <c r="J67" s="164"/>
      <c r="K67" s="162"/>
      <c r="L67" s="163"/>
      <c r="M67" s="164"/>
      <c r="N67" s="164"/>
      <c r="O67" s="164"/>
      <c r="P67" s="164"/>
      <c r="Q67" s="164"/>
      <c r="R67" s="164"/>
      <c r="S67" s="164"/>
      <c r="T67" s="27"/>
      <c r="U67" s="27"/>
      <c r="V67" s="27"/>
    </row>
    <row r="68" spans="1:19" s="28" customFormat="1" ht="12">
      <c r="A68" s="59" t="s">
        <v>29</v>
      </c>
      <c r="B68" s="59">
        <f>'Commodity Credit 3-1-2018'!B87</f>
        <v>51577.26266374873</v>
      </c>
      <c r="C68" s="62">
        <f>'[6]2180 (Reg.) - Price Out '!X87+'[6]2180 (Reg.) - Price Out '!X88</f>
        <v>51618.92259334775</v>
      </c>
      <c r="D68" s="62">
        <f>'[6]2180 (Reg.) - Price Out '!Y87+'[6]2180 (Reg.) - Price Out '!Y88</f>
        <v>49584.54243165813</v>
      </c>
      <c r="E68" s="62">
        <f>'[6]2180 (Reg.) - Price Out '!Z87+'[6]2180 (Reg.) - Price Out '!Z88</f>
        <v>54415.42942462851</v>
      </c>
      <c r="F68" s="62">
        <f>'[6]2180 (Reg.) - Price Out '!AA87+'[6]2180 (Reg.) - Price Out '!AA88</f>
        <v>52180.16788844155</v>
      </c>
      <c r="G68" s="62">
        <f>'[6]2180 (Reg.) - Price Out '!AB87+'[6]2180 (Reg.) - Price Out '!AB88</f>
        <v>52379.25425915277</v>
      </c>
      <c r="H68" s="62">
        <f>'[6]2180 (Reg.) - Price Out '!AC87+'[6]2180 (Reg.) - Price Out '!AC88</f>
        <v>52419.78626575552</v>
      </c>
      <c r="I68" s="59"/>
      <c r="J68" s="159"/>
      <c r="K68" s="162"/>
      <c r="L68" s="163"/>
      <c r="M68" s="162"/>
      <c r="N68" s="162"/>
      <c r="O68" s="162"/>
      <c r="P68" s="162"/>
      <c r="Q68" s="162"/>
      <c r="R68" s="162"/>
      <c r="S68" s="162"/>
    </row>
    <row r="69" spans="1:22" s="14" customFormat="1" ht="12">
      <c r="A69" s="19"/>
      <c r="B69" s="19"/>
      <c r="C69" s="2"/>
      <c r="D69" s="2"/>
      <c r="E69" s="2"/>
      <c r="F69" s="2"/>
      <c r="G69" s="2"/>
      <c r="H69" s="2"/>
      <c r="I69" s="2"/>
      <c r="J69" s="164"/>
      <c r="K69" s="162"/>
      <c r="L69" s="165"/>
      <c r="M69" s="162"/>
      <c r="N69" s="162"/>
      <c r="O69" s="162"/>
      <c r="P69" s="162"/>
      <c r="Q69" s="162"/>
      <c r="R69" s="162"/>
      <c r="S69" s="162"/>
      <c r="T69" s="28"/>
      <c r="U69" s="28"/>
      <c r="V69" s="28"/>
    </row>
    <row r="70" spans="1:22" s="14" customFormat="1" ht="12">
      <c r="A70" s="19" t="s">
        <v>11</v>
      </c>
      <c r="B70" s="41">
        <f aca="true" t="shared" si="8" ref="B70:G70">+_xlfn.IFERROR(B66/B68,0)</f>
        <v>0.5925804981015754</v>
      </c>
      <c r="C70" s="41">
        <f t="shared" si="8"/>
        <v>-0.49201797445638734</v>
      </c>
      <c r="D70" s="41">
        <f t="shared" si="8"/>
        <v>-0.5472457840868412</v>
      </c>
      <c r="E70" s="41">
        <f t="shared" si="8"/>
        <v>-1.482046331122022</v>
      </c>
      <c r="F70" s="41">
        <f t="shared" si="8"/>
        <v>-1.5314171915211645</v>
      </c>
      <c r="G70" s="41">
        <f t="shared" si="8"/>
        <v>-1.682982507632324</v>
      </c>
      <c r="H70" s="41"/>
      <c r="I70" s="41"/>
      <c r="J70" s="182"/>
      <c r="K70" s="162"/>
      <c r="L70" s="162"/>
      <c r="M70" s="162"/>
      <c r="N70" s="162"/>
      <c r="O70" s="162"/>
      <c r="P70" s="162"/>
      <c r="Q70" s="162"/>
      <c r="R70" s="162"/>
      <c r="S70" s="162"/>
      <c r="T70" s="28"/>
      <c r="U70" s="28"/>
      <c r="V70" s="28"/>
    </row>
    <row r="71" spans="1:22" s="14" customFormat="1" ht="12">
      <c r="A71" s="19" t="s">
        <v>12</v>
      </c>
      <c r="B71" s="47">
        <f>'Commodity Credit 3-1-2018'!$M$53</f>
        <v>0.88</v>
      </c>
      <c r="C71" s="47">
        <f>'Commodity Credit 3-1-2018'!$M$53</f>
        <v>0.88</v>
      </c>
      <c r="D71" s="47">
        <f>'Commodity Credit 3-1-2018'!$M$53</f>
        <v>0.88</v>
      </c>
      <c r="E71" s="47">
        <f>'Commodity Credit 3-1-2018'!$N$57</f>
        <v>-0.14</v>
      </c>
      <c r="F71" s="47">
        <f>'Commodity Credit 3-1-2018'!$N$57</f>
        <v>-0.14</v>
      </c>
      <c r="G71" s="47">
        <f>'Commodity Credit 3-1-2018'!$N$57</f>
        <v>-0.14</v>
      </c>
      <c r="H71" s="47"/>
      <c r="I71" s="41"/>
      <c r="J71" s="182"/>
      <c r="K71" s="162"/>
      <c r="L71" s="162"/>
      <c r="M71" s="162"/>
      <c r="N71" s="162"/>
      <c r="O71" s="162"/>
      <c r="P71" s="162"/>
      <c r="Q71" s="162"/>
      <c r="R71" s="162"/>
      <c r="S71" s="162"/>
      <c r="T71" s="28"/>
      <c r="U71" s="28"/>
      <c r="V71" s="28"/>
    </row>
    <row r="72" spans="1:22" s="14" customFormat="1" ht="12">
      <c r="A72" s="19" t="s">
        <v>13</v>
      </c>
      <c r="B72" s="42">
        <f aca="true" t="shared" si="9" ref="B72:G72">+B71*B68</f>
        <v>45387.99114409888</v>
      </c>
      <c r="C72" s="42">
        <f t="shared" si="9"/>
        <v>45424.65188214602</v>
      </c>
      <c r="D72" s="42">
        <f t="shared" si="9"/>
        <v>43634.397339859155</v>
      </c>
      <c r="E72" s="42">
        <f t="shared" si="9"/>
        <v>-7618.160119447993</v>
      </c>
      <c r="F72" s="42">
        <f t="shared" si="9"/>
        <v>-7305.223504381818</v>
      </c>
      <c r="G72" s="42">
        <f t="shared" si="9"/>
        <v>-7333.095596281388</v>
      </c>
      <c r="H72" s="42"/>
      <c r="I72" s="42">
        <f>SUM(B72:H72)</f>
        <v>112190.56114599285</v>
      </c>
      <c r="J72" s="175"/>
      <c r="K72" s="178"/>
      <c r="L72" s="179"/>
      <c r="M72" s="183"/>
      <c r="N72" s="162"/>
      <c r="O72" s="162"/>
      <c r="P72" s="162"/>
      <c r="Q72" s="162"/>
      <c r="R72" s="162"/>
      <c r="S72" s="162"/>
      <c r="T72" s="28"/>
      <c r="U72" s="28"/>
      <c r="V72" s="28"/>
    </row>
    <row r="73" spans="1:22" s="17" customFormat="1" ht="12.75" thickBot="1">
      <c r="A73" s="57" t="s">
        <v>22</v>
      </c>
      <c r="B73" s="58">
        <f aca="true" t="shared" si="10" ref="B73:H73">+ROUND(B72-B66,2)</f>
        <v>14824.31</v>
      </c>
      <c r="C73" s="58">
        <f t="shared" si="10"/>
        <v>70822.09</v>
      </c>
      <c r="D73" s="58">
        <f t="shared" si="10"/>
        <v>70769.33</v>
      </c>
      <c r="E73" s="58">
        <f t="shared" si="10"/>
        <v>73028.03</v>
      </c>
      <c r="F73" s="58">
        <f t="shared" si="10"/>
        <v>72604.38</v>
      </c>
      <c r="G73" s="58">
        <f t="shared" si="10"/>
        <v>80820.27</v>
      </c>
      <c r="H73" s="58">
        <f t="shared" si="10"/>
        <v>0</v>
      </c>
      <c r="I73" s="58">
        <f>SUM(B73:H73)</f>
        <v>382868.41000000003</v>
      </c>
      <c r="J73" s="140"/>
      <c r="K73" s="159"/>
      <c r="L73" s="159"/>
      <c r="M73" s="181"/>
      <c r="N73" s="159"/>
      <c r="O73" s="159"/>
      <c r="P73" s="159"/>
      <c r="Q73" s="159"/>
      <c r="R73" s="159"/>
      <c r="S73" s="159"/>
      <c r="T73" s="30"/>
      <c r="U73" s="30"/>
      <c r="V73" s="30"/>
    </row>
    <row r="74" spans="1:22" s="14" customFormat="1" ht="12">
      <c r="A74" s="19"/>
      <c r="B74" s="19"/>
      <c r="C74" s="20"/>
      <c r="D74" s="20"/>
      <c r="E74" s="20"/>
      <c r="F74" s="20"/>
      <c r="I74" s="21"/>
      <c r="J74" s="169"/>
      <c r="K74" s="166"/>
      <c r="L74" s="166"/>
      <c r="M74" s="162"/>
      <c r="N74" s="162"/>
      <c r="O74" s="162"/>
      <c r="P74" s="162"/>
      <c r="Q74" s="162"/>
      <c r="R74" s="162"/>
      <c r="S74" s="162"/>
      <c r="T74" s="28"/>
      <c r="U74" s="28"/>
      <c r="V74" s="28"/>
    </row>
    <row r="75" spans="1:22" s="14" customFormat="1" ht="12.75">
      <c r="A75" s="44"/>
      <c r="B75" s="44"/>
      <c r="H75" s="13" t="s">
        <v>30</v>
      </c>
      <c r="I75" s="190">
        <f>I129/SUM(D68:H68)</f>
        <v>-1.5218819616765027</v>
      </c>
      <c r="J75" s="163" t="s">
        <v>49</v>
      </c>
      <c r="K75" s="167"/>
      <c r="L75" s="167"/>
      <c r="M75" s="162"/>
      <c r="N75" s="162"/>
      <c r="O75" s="162"/>
      <c r="P75" s="162"/>
      <c r="Q75" s="162"/>
      <c r="R75" s="162"/>
      <c r="S75" s="162"/>
      <c r="T75" s="28"/>
      <c r="U75" s="28"/>
      <c r="V75" s="28"/>
    </row>
    <row r="76" spans="1:22" s="14" customFormat="1" ht="12.75">
      <c r="A76" s="44"/>
      <c r="B76" s="44"/>
      <c r="C76" s="22"/>
      <c r="D76" s="22"/>
      <c r="E76" s="22"/>
      <c r="F76" s="22"/>
      <c r="G76" s="22"/>
      <c r="H76" s="22" t="s">
        <v>14</v>
      </c>
      <c r="I76" s="191">
        <f>-I73/SUM(D68:H68)</f>
        <v>-1.4670457988427694</v>
      </c>
      <c r="J76" s="168" t="s">
        <v>49</v>
      </c>
      <c r="K76" s="192" t="s">
        <v>53</v>
      </c>
      <c r="L76" s="193">
        <v>8294.78</v>
      </c>
      <c r="M76" s="194"/>
      <c r="N76" s="162"/>
      <c r="O76" s="162"/>
      <c r="P76" s="162"/>
      <c r="Q76" s="162"/>
      <c r="R76" s="162"/>
      <c r="S76" s="162"/>
      <c r="T76" s="28"/>
      <c r="U76" s="28"/>
      <c r="V76" s="28"/>
    </row>
    <row r="77" spans="1:22" s="14" customFormat="1" ht="12.75">
      <c r="A77" s="44"/>
      <c r="B77" s="44"/>
      <c r="C77" s="22"/>
      <c r="D77" s="22"/>
      <c r="E77" s="22"/>
      <c r="F77" s="22"/>
      <c r="G77" s="22"/>
      <c r="H77" s="22" t="s">
        <v>43</v>
      </c>
      <c r="I77" s="191">
        <f>'Commodity Credit 3-1-2018'!O58</f>
        <v>0.46</v>
      </c>
      <c r="J77" s="168" t="s">
        <v>50</v>
      </c>
      <c r="K77" s="195" t="s">
        <v>54</v>
      </c>
      <c r="L77" s="194">
        <f>H68</f>
        <v>52419.78626575552</v>
      </c>
      <c r="M77" s="193">
        <f>$L$76*(L77/($L$77+$L$78))</f>
        <v>7584.606403852185</v>
      </c>
      <c r="N77" s="162"/>
      <c r="O77" s="162"/>
      <c r="P77" s="162"/>
      <c r="Q77" s="162"/>
      <c r="R77" s="162"/>
      <c r="S77" s="162"/>
      <c r="T77" s="28"/>
      <c r="U77" s="28"/>
      <c r="V77" s="28"/>
    </row>
    <row r="78" spans="1:22" s="14" customFormat="1" ht="12.75">
      <c r="A78" s="44"/>
      <c r="B78" s="44"/>
      <c r="C78" s="22"/>
      <c r="D78" s="22"/>
      <c r="E78" s="22"/>
      <c r="F78" s="22"/>
      <c r="G78" s="22"/>
      <c r="H78" s="22" t="s">
        <v>56</v>
      </c>
      <c r="I78" s="191">
        <f>-M77/SUM(D68:H68)</f>
        <v>-0.02906211290883809</v>
      </c>
      <c r="J78" s="168" t="s">
        <v>49</v>
      </c>
      <c r="K78" s="196" t="s">
        <v>55</v>
      </c>
      <c r="L78" s="194">
        <f>'[5]Commodity Credit 10-1-18'!$H$69</f>
        <v>4908.250493096647</v>
      </c>
      <c r="M78" s="193">
        <f>$L$76*(L78/($L$77+$L$78))</f>
        <v>710.1735961478156</v>
      </c>
      <c r="N78" s="162"/>
      <c r="O78" s="162"/>
      <c r="P78" s="162"/>
      <c r="Q78" s="162"/>
      <c r="R78" s="162"/>
      <c r="S78" s="162"/>
      <c r="T78" s="28"/>
      <c r="U78" s="28"/>
      <c r="V78" s="28"/>
    </row>
    <row r="79" spans="1:22" s="14" customFormat="1" ht="12">
      <c r="A79" s="19"/>
      <c r="B79" s="19"/>
      <c r="C79" s="13"/>
      <c r="D79" s="13"/>
      <c r="E79" s="13"/>
      <c r="F79" s="13"/>
      <c r="G79" s="13"/>
      <c r="H79" s="48" t="s">
        <v>51</v>
      </c>
      <c r="I79" s="40">
        <f>+I75+I76+I77+I78</f>
        <v>-2.55798987342811</v>
      </c>
      <c r="J79" s="163" t="s">
        <v>49</v>
      </c>
      <c r="K79" s="194"/>
      <c r="L79" s="194"/>
      <c r="M79" s="193">
        <f>SUM(M77:M78)</f>
        <v>8294.78</v>
      </c>
      <c r="N79" s="162"/>
      <c r="O79" s="162"/>
      <c r="P79" s="162"/>
      <c r="Q79" s="162"/>
      <c r="R79" s="162"/>
      <c r="S79" s="162"/>
      <c r="T79" s="28"/>
      <c r="U79" s="28"/>
      <c r="V79" s="28"/>
    </row>
    <row r="80" spans="1:22" s="14" customFormat="1" ht="12">
      <c r="A80" s="19"/>
      <c r="B80" s="19"/>
      <c r="H80" s="13" t="s">
        <v>0</v>
      </c>
      <c r="I80" s="29">
        <f>'Commodity Credit 3-1-2018'!N65</f>
        <v>0.24</v>
      </c>
      <c r="J80" s="163"/>
      <c r="N80" s="162"/>
      <c r="O80" s="162"/>
      <c r="P80" s="162"/>
      <c r="Q80" s="162"/>
      <c r="R80" s="162"/>
      <c r="S80" s="162"/>
      <c r="T80" s="28"/>
      <c r="U80" s="28"/>
      <c r="V80" s="28"/>
    </row>
    <row r="81" spans="1:22" s="14" customFormat="1" ht="12">
      <c r="A81" s="19"/>
      <c r="B81" s="19"/>
      <c r="H81" s="13" t="s">
        <v>1</v>
      </c>
      <c r="I81" s="9">
        <f>+I79-I80</f>
        <v>-2.7979898734281097</v>
      </c>
      <c r="J81" s="163"/>
      <c r="K81" s="162"/>
      <c r="L81" s="162"/>
      <c r="M81" s="162"/>
      <c r="N81" s="162"/>
      <c r="O81" s="162"/>
      <c r="P81" s="162"/>
      <c r="Q81" s="162"/>
      <c r="R81" s="162"/>
      <c r="S81" s="162"/>
      <c r="T81" s="28"/>
      <c r="U81" s="28"/>
      <c r="V81" s="28"/>
    </row>
    <row r="82" spans="1:22" s="14" customFormat="1" ht="12">
      <c r="A82" s="19"/>
      <c r="B82" s="19"/>
      <c r="H82" s="13" t="s">
        <v>2</v>
      </c>
      <c r="I82" s="23">
        <f>-I81*SUM(C68:H68)</f>
        <v>874646.3262634685</v>
      </c>
      <c r="J82" s="184"/>
      <c r="K82" s="162"/>
      <c r="L82" s="162"/>
      <c r="M82" s="162"/>
      <c r="N82" s="162"/>
      <c r="O82" s="162"/>
      <c r="P82" s="162"/>
      <c r="Q82" s="162"/>
      <c r="R82" s="162"/>
      <c r="S82" s="162"/>
      <c r="T82" s="28"/>
      <c r="U82" s="28"/>
      <c r="V82" s="28"/>
    </row>
    <row r="83" spans="1:22" s="14" customFormat="1" ht="12">
      <c r="A83" s="19"/>
      <c r="B83" s="19"/>
      <c r="J83" s="162"/>
      <c r="K83" s="162"/>
      <c r="L83" s="162"/>
      <c r="M83" s="162"/>
      <c r="N83" s="162"/>
      <c r="O83" s="162"/>
      <c r="P83" s="162"/>
      <c r="Q83" s="162"/>
      <c r="R83" s="162"/>
      <c r="S83" s="162"/>
      <c r="T83" s="28"/>
      <c r="U83" s="28"/>
      <c r="V83" s="28"/>
    </row>
    <row r="84" spans="1:22" s="14" customFormat="1" ht="12">
      <c r="A84" s="19"/>
      <c r="B84" s="19"/>
      <c r="H84" s="13" t="s">
        <v>16</v>
      </c>
      <c r="I84" s="24">
        <f>+I80</f>
        <v>0.24</v>
      </c>
      <c r="J84" s="170"/>
      <c r="K84" s="171"/>
      <c r="L84" s="162"/>
      <c r="M84" s="162"/>
      <c r="N84" s="162"/>
      <c r="O84" s="162"/>
      <c r="P84" s="162"/>
      <c r="Q84" s="162"/>
      <c r="R84" s="162"/>
      <c r="S84" s="162"/>
      <c r="T84" s="28"/>
      <c r="U84" s="28"/>
      <c r="V84" s="28"/>
    </row>
    <row r="85" spans="1:22" s="14" customFormat="1" ht="12">
      <c r="A85" s="19"/>
      <c r="B85" s="19"/>
      <c r="E85" s="17"/>
      <c r="F85" s="17"/>
      <c r="G85" s="17"/>
      <c r="H85" s="48" t="s">
        <v>58</v>
      </c>
      <c r="I85" s="49">
        <f>I79</f>
        <v>-2.55798987342811</v>
      </c>
      <c r="J85" s="49"/>
      <c r="K85" s="32"/>
      <c r="L85" s="28"/>
      <c r="M85" s="28"/>
      <c r="N85" s="28"/>
      <c r="O85" s="28"/>
      <c r="P85" s="28"/>
      <c r="Q85" s="28"/>
      <c r="R85" s="28"/>
      <c r="S85" s="28"/>
      <c r="T85" s="28"/>
      <c r="U85" s="28"/>
      <c r="V85" s="28"/>
    </row>
    <row r="86" spans="1:22" s="14" customFormat="1" ht="12">
      <c r="A86" s="19"/>
      <c r="B86" s="19"/>
      <c r="H86" s="25" t="s">
        <v>1</v>
      </c>
      <c r="I86" s="24">
        <f>-I84+I85</f>
        <v>-2.7979898734281097</v>
      </c>
      <c r="J86" s="24"/>
      <c r="K86" s="185"/>
      <c r="L86" s="28"/>
      <c r="M86" s="28"/>
      <c r="N86" s="28"/>
      <c r="O86" s="28"/>
      <c r="P86" s="28"/>
      <c r="Q86" s="28"/>
      <c r="R86" s="28"/>
      <c r="S86" s="28"/>
      <c r="T86" s="28"/>
      <c r="U86" s="28"/>
      <c r="V86" s="28"/>
    </row>
    <row r="87" spans="1:22" s="14" customFormat="1" ht="12">
      <c r="A87" s="19"/>
      <c r="B87" s="19"/>
      <c r="H87" s="13"/>
      <c r="K87" s="186"/>
      <c r="L87" s="28"/>
      <c r="M87" s="28"/>
      <c r="N87" s="28"/>
      <c r="O87" s="28"/>
      <c r="P87" s="28"/>
      <c r="Q87" s="28"/>
      <c r="R87" s="28"/>
      <c r="S87" s="28"/>
      <c r="T87" s="28"/>
      <c r="U87" s="28"/>
      <c r="V87" s="28"/>
    </row>
    <row r="88" spans="1:22" s="14" customFormat="1" ht="12">
      <c r="A88" s="19"/>
      <c r="B88" s="19"/>
      <c r="H88" s="13" t="s">
        <v>18</v>
      </c>
      <c r="I88" s="26">
        <f>I86/I84</f>
        <v>-11.65829113928379</v>
      </c>
      <c r="J88" s="26"/>
      <c r="K88" s="28"/>
      <c r="L88" s="28"/>
      <c r="M88" s="28"/>
      <c r="N88" s="28"/>
      <c r="O88" s="28"/>
      <c r="P88" s="28"/>
      <c r="Q88" s="28"/>
      <c r="R88" s="28"/>
      <c r="S88" s="28"/>
      <c r="T88" s="28"/>
      <c r="U88" s="28"/>
      <c r="V88" s="28"/>
    </row>
    <row r="89" ht="12">
      <c r="A89" s="37" t="s">
        <v>44</v>
      </c>
    </row>
    <row r="90" spans="3:8" ht="12">
      <c r="C90" s="136" t="s">
        <v>47</v>
      </c>
      <c r="D90" s="136" t="s">
        <v>47</v>
      </c>
      <c r="E90" s="136" t="s">
        <v>47</v>
      </c>
      <c r="F90" s="136" t="s">
        <v>47</v>
      </c>
      <c r="G90" s="136" t="s">
        <v>47</v>
      </c>
      <c r="H90" s="136" t="s">
        <v>47</v>
      </c>
    </row>
    <row r="91" spans="2:8" ht="12">
      <c r="B91" s="37"/>
      <c r="C91" s="36">
        <v>43101</v>
      </c>
      <c r="D91" s="36">
        <v>43132</v>
      </c>
      <c r="E91" s="36">
        <v>43160</v>
      </c>
      <c r="F91" s="36">
        <v>43191</v>
      </c>
      <c r="G91" s="36">
        <v>43221</v>
      </c>
      <c r="H91" s="36">
        <v>43252</v>
      </c>
    </row>
    <row r="92" spans="1:8" ht="12">
      <c r="A92" s="63" t="s">
        <v>6</v>
      </c>
      <c r="B92" s="63"/>
      <c r="C92" s="53">
        <f>'[4]18th year actual (2nd half)'!$B$49</f>
        <v>-134.78</v>
      </c>
      <c r="D92" s="53">
        <f>'[4]18th year actual (2nd half)'!$B$50</f>
        <v>-134.78</v>
      </c>
      <c r="E92" s="53">
        <f aca="true" t="shared" si="11" ref="E92:H107">E29</f>
        <v>-142.78</v>
      </c>
      <c r="F92" s="53">
        <f t="shared" si="11"/>
        <v>-147.78</v>
      </c>
      <c r="G92" s="53">
        <f t="shared" si="11"/>
        <v>-144.78</v>
      </c>
      <c r="H92" s="53">
        <f t="shared" si="11"/>
        <v>-134.78</v>
      </c>
    </row>
    <row r="93" spans="1:8" ht="12">
      <c r="A93" s="63" t="s">
        <v>8</v>
      </c>
      <c r="B93" s="63"/>
      <c r="C93" s="53">
        <f>'[4]18th year actual (2nd half)'!$D$49</f>
        <v>20.220000000000006</v>
      </c>
      <c r="D93" s="53">
        <f>'[4]18th year actual (2nd half)'!$D$50</f>
        <v>-34.779999999999994</v>
      </c>
      <c r="E93" s="53">
        <f t="shared" si="11"/>
        <v>-46.779999999999994</v>
      </c>
      <c r="F93" s="53">
        <f t="shared" si="11"/>
        <v>-54.779999999999994</v>
      </c>
      <c r="G93" s="53">
        <f t="shared" si="11"/>
        <v>-54.779999999999994</v>
      </c>
      <c r="H93" s="53">
        <f t="shared" si="11"/>
        <v>-47.779999999999994</v>
      </c>
    </row>
    <row r="94" spans="1:8" ht="12">
      <c r="A94" s="63" t="s">
        <v>7</v>
      </c>
      <c r="B94" s="63"/>
      <c r="C94" s="53">
        <f>'[4]18th year actual (2nd half)'!$C$49</f>
        <v>-134.78</v>
      </c>
      <c r="D94" s="53">
        <f>'[4]18th year actual (2nd half)'!$C$50</f>
        <v>-134.78</v>
      </c>
      <c r="E94" s="53">
        <f t="shared" si="11"/>
        <v>-142.78</v>
      </c>
      <c r="F94" s="53">
        <f t="shared" si="11"/>
        <v>-147.78</v>
      </c>
      <c r="G94" s="53">
        <f t="shared" si="11"/>
        <v>-144.78</v>
      </c>
      <c r="H94" s="53">
        <f t="shared" si="11"/>
        <v>-134.78</v>
      </c>
    </row>
    <row r="95" spans="1:8" ht="12">
      <c r="A95" s="63" t="s">
        <v>23</v>
      </c>
      <c r="B95" s="63"/>
      <c r="C95" s="53">
        <f>'[4]18th year actual (2nd half)'!$G$49</f>
        <v>-29.779999999999994</v>
      </c>
      <c r="D95" s="53">
        <f>'[4]18th year actual (2nd half)'!$G$50</f>
        <v>-19.779999999999994</v>
      </c>
      <c r="E95" s="53">
        <f t="shared" si="11"/>
        <v>35.220000000000006</v>
      </c>
      <c r="F95" s="53">
        <f t="shared" si="11"/>
        <v>45.220000000000006</v>
      </c>
      <c r="G95" s="53">
        <f t="shared" si="11"/>
        <v>55.220000000000006</v>
      </c>
      <c r="H95" s="53">
        <f t="shared" si="11"/>
        <v>95.22</v>
      </c>
    </row>
    <row r="96" spans="1:8" ht="12">
      <c r="A96" s="63" t="s">
        <v>24</v>
      </c>
      <c r="B96" s="63"/>
      <c r="C96" s="53">
        <f>'[4]18th year actual (2nd half)'!$H$49</f>
        <v>145.22</v>
      </c>
      <c r="D96" s="53">
        <f>'[4]18th year actual (2nd half)'!$H$50</f>
        <v>195.22</v>
      </c>
      <c r="E96" s="53">
        <f t="shared" si="11"/>
        <v>215.22</v>
      </c>
      <c r="F96" s="53">
        <f t="shared" si="11"/>
        <v>245.22000000000003</v>
      </c>
      <c r="G96" s="53">
        <f t="shared" si="11"/>
        <v>175.22</v>
      </c>
      <c r="H96" s="53">
        <f t="shared" si="11"/>
        <v>205.22</v>
      </c>
    </row>
    <row r="97" spans="1:8" ht="12">
      <c r="A97" s="63" t="s">
        <v>25</v>
      </c>
      <c r="B97" s="63"/>
      <c r="C97" s="53">
        <f>'[4]18th year actual (2nd half)'!$I$49</f>
        <v>515.22</v>
      </c>
      <c r="D97" s="53">
        <f>'[4]18th year actual (2nd half)'!$I$50</f>
        <v>495.22</v>
      </c>
      <c r="E97" s="53">
        <f t="shared" si="11"/>
        <v>535.22</v>
      </c>
      <c r="F97" s="53">
        <f t="shared" si="11"/>
        <v>555.22</v>
      </c>
      <c r="G97" s="53">
        <f t="shared" si="11"/>
        <v>545.22</v>
      </c>
      <c r="H97" s="53">
        <f t="shared" si="11"/>
        <v>605.22</v>
      </c>
    </row>
    <row r="98" spans="1:8" ht="12">
      <c r="A98" s="63" t="s">
        <v>26</v>
      </c>
      <c r="B98" s="63"/>
      <c r="C98" s="53">
        <f>'[4]18th year actual (2nd half)'!$J$49</f>
        <v>-204.78</v>
      </c>
      <c r="D98" s="53">
        <f>'[4]18th year actual (2nd half)'!$J$50</f>
        <v>-204.78</v>
      </c>
      <c r="E98" s="53">
        <f t="shared" si="11"/>
        <v>-204.78</v>
      </c>
      <c r="F98" s="53">
        <f t="shared" si="11"/>
        <v>-204.78</v>
      </c>
      <c r="G98" s="53">
        <f t="shared" si="11"/>
        <v>-174.78</v>
      </c>
      <c r="H98" s="53">
        <f t="shared" si="11"/>
        <v>-174.78</v>
      </c>
    </row>
    <row r="99" spans="1:8" ht="12">
      <c r="A99" s="63" t="s">
        <v>31</v>
      </c>
      <c r="B99" s="63"/>
      <c r="C99" s="53">
        <f>'[4]18th year actual (2nd half)'!$K$49</f>
        <v>-64.78</v>
      </c>
      <c r="D99" s="53">
        <f>'[4]18th year actual (2nd half)'!$K$50</f>
        <v>-64.78</v>
      </c>
      <c r="E99" s="53">
        <f t="shared" si="11"/>
        <v>-64.78</v>
      </c>
      <c r="F99" s="53">
        <f t="shared" si="11"/>
        <v>0</v>
      </c>
      <c r="G99" s="53">
        <f t="shared" si="11"/>
        <v>0</v>
      </c>
      <c r="H99" s="53">
        <f t="shared" si="11"/>
        <v>0</v>
      </c>
    </row>
    <row r="100" spans="1:8" ht="12">
      <c r="A100" s="63" t="s">
        <v>32</v>
      </c>
      <c r="B100" s="63"/>
      <c r="C100" s="53">
        <f>'[4]18th year actual (2nd half)'!$L$49</f>
        <v>0</v>
      </c>
      <c r="D100" s="53">
        <f>'[4]18th year actual (2nd half)'!$L$50</f>
        <v>0</v>
      </c>
      <c r="E100" s="53">
        <f t="shared" si="11"/>
        <v>0</v>
      </c>
      <c r="F100" s="53">
        <f t="shared" si="11"/>
        <v>-44.779999999999994</v>
      </c>
      <c r="G100" s="53">
        <f t="shared" si="11"/>
        <v>-34.779999999999994</v>
      </c>
      <c r="H100" s="53">
        <f t="shared" si="11"/>
        <v>-4.779999999999994</v>
      </c>
    </row>
    <row r="101" spans="1:8" ht="12">
      <c r="A101" s="63" t="s">
        <v>33</v>
      </c>
      <c r="B101" s="63"/>
      <c r="C101" s="53">
        <f>'[4]18th year actual (2nd half)'!$M$49</f>
        <v>-165.78</v>
      </c>
      <c r="D101" s="53">
        <f>'[4]18th year actual (2nd half)'!$M$50</f>
        <v>-165.78</v>
      </c>
      <c r="E101" s="53">
        <f t="shared" si="11"/>
        <v>-165.78</v>
      </c>
      <c r="F101" s="53">
        <f t="shared" si="11"/>
        <v>-169.88</v>
      </c>
      <c r="G101" s="53">
        <f t="shared" si="11"/>
        <v>-169.88</v>
      </c>
      <c r="H101" s="53">
        <f t="shared" si="11"/>
        <v>-169.88</v>
      </c>
    </row>
    <row r="102" spans="1:8" ht="12">
      <c r="A102" s="63" t="s">
        <v>34</v>
      </c>
      <c r="B102" s="63"/>
      <c r="C102" s="53">
        <f>'[4]18th year actual (2nd half)'!$N$49</f>
        <v>-44.779999999999994</v>
      </c>
      <c r="D102" s="53">
        <f>'[4]18th year actual (2nd half)'!$N$50</f>
        <v>-44.779999999999994</v>
      </c>
      <c r="E102" s="53">
        <f t="shared" si="11"/>
        <v>-44.779999999999994</v>
      </c>
      <c r="F102" s="53">
        <f t="shared" si="11"/>
        <v>-44.779999999999994</v>
      </c>
      <c r="G102" s="53">
        <f t="shared" si="11"/>
        <v>-44.779999999999994</v>
      </c>
      <c r="H102" s="53">
        <f t="shared" si="11"/>
        <v>-24.779999999999994</v>
      </c>
    </row>
    <row r="103" spans="1:8" ht="12">
      <c r="A103" s="63" t="s">
        <v>9</v>
      </c>
      <c r="B103" s="63"/>
      <c r="C103" s="53">
        <f>'[4]18th year actual (2nd half)'!$E$49</f>
        <v>1275.22</v>
      </c>
      <c r="D103" s="53">
        <f>'[4]18th year actual (2nd half)'!$E$50</f>
        <v>1275.22</v>
      </c>
      <c r="E103" s="53">
        <f t="shared" si="11"/>
        <v>1305.22</v>
      </c>
      <c r="F103" s="53">
        <f t="shared" si="11"/>
        <v>1305.22</v>
      </c>
      <c r="G103" s="53">
        <f t="shared" si="11"/>
        <v>1340.22</v>
      </c>
      <c r="H103" s="53">
        <f t="shared" si="11"/>
        <v>1475.22</v>
      </c>
    </row>
    <row r="104" spans="1:8" ht="12">
      <c r="A104" s="63" t="s">
        <v>10</v>
      </c>
      <c r="B104" s="63"/>
      <c r="C104" s="53">
        <f>'[4]18th year actual (2nd half)'!$F$49</f>
        <v>57.220000000000006</v>
      </c>
      <c r="D104" s="53">
        <f>'[4]18th year actual (2nd half)'!$F$50</f>
        <v>52.220000000000006</v>
      </c>
      <c r="E104" s="53">
        <f t="shared" si="11"/>
        <v>62.220000000000006</v>
      </c>
      <c r="F104" s="53">
        <f t="shared" si="11"/>
        <v>72.22</v>
      </c>
      <c r="G104" s="53">
        <f t="shared" si="11"/>
        <v>62.220000000000006</v>
      </c>
      <c r="H104" s="53">
        <f t="shared" si="11"/>
        <v>57.220000000000006</v>
      </c>
    </row>
    <row r="105" spans="1:8" ht="12">
      <c r="A105" s="63" t="s">
        <v>35</v>
      </c>
      <c r="B105" s="63"/>
      <c r="C105" s="53">
        <f>'[4]18th year actual (2nd half)'!$O$49</f>
        <v>0</v>
      </c>
      <c r="D105" s="53">
        <f>'[4]18th year actual (2nd half)'!$O$50</f>
        <v>-170.4</v>
      </c>
      <c r="E105" s="53">
        <f t="shared" si="11"/>
        <v>-170.4</v>
      </c>
      <c r="F105" s="53">
        <f t="shared" si="11"/>
        <v>-170.4</v>
      </c>
      <c r="G105" s="53">
        <f t="shared" si="11"/>
        <v>-170.4</v>
      </c>
      <c r="H105" s="53">
        <f t="shared" si="11"/>
        <v>-170.4</v>
      </c>
    </row>
    <row r="106" spans="1:8" ht="12">
      <c r="A106" s="63" t="s">
        <v>36</v>
      </c>
      <c r="B106" s="63"/>
      <c r="C106" s="53">
        <f>'[4]18th year actual (2nd half)'!$P$49</f>
        <v>0</v>
      </c>
      <c r="D106" s="53">
        <f>'[4]18th year actual (2nd half)'!$P$50</f>
        <v>-282.15999999999997</v>
      </c>
      <c r="E106" s="53">
        <f t="shared" si="11"/>
        <v>-282.15999999999997</v>
      </c>
      <c r="F106" s="53">
        <f t="shared" si="11"/>
        <v>-282.15999999999997</v>
      </c>
      <c r="G106" s="53">
        <f t="shared" si="11"/>
        <v>-282.15999999999997</v>
      </c>
      <c r="H106" s="53">
        <f t="shared" si="11"/>
        <v>-282.15999999999997</v>
      </c>
    </row>
    <row r="107" spans="1:8" ht="12">
      <c r="A107" s="63" t="s">
        <v>17</v>
      </c>
      <c r="B107" s="63"/>
      <c r="C107" s="53">
        <f>'[4]18th year actual (2nd half)'!$Q$49</f>
        <v>-282.15999999999997</v>
      </c>
      <c r="D107" s="53">
        <f>'[4]18th year actual (2nd half)'!$Q$50</f>
        <v>0</v>
      </c>
      <c r="E107" s="53">
        <f t="shared" si="11"/>
        <v>0</v>
      </c>
      <c r="F107" s="53">
        <f t="shared" si="11"/>
        <v>0</v>
      </c>
      <c r="G107" s="53">
        <f t="shared" si="11"/>
        <v>0</v>
      </c>
      <c r="H107" s="53">
        <f t="shared" si="11"/>
        <v>0</v>
      </c>
    </row>
    <row r="108" spans="1:4" ht="12">
      <c r="A108" s="137" t="s">
        <v>48</v>
      </c>
      <c r="C108" s="155">
        <f>SUM(C92:C107)-SUM('[4]18th year actual (2nd half)'!$B$49:$Q$49)</f>
        <v>0</v>
      </c>
      <c r="D108" s="155">
        <f>SUM(D92:D107)-SUM('[4]18th year actual (2nd half)'!$B$50:$Q$50)</f>
        <v>0</v>
      </c>
    </row>
    <row r="110" spans="1:9" ht="12">
      <c r="A110" s="37" t="s">
        <v>3</v>
      </c>
      <c r="B110" s="37"/>
      <c r="C110" s="14"/>
      <c r="D110" s="14"/>
      <c r="E110" s="14"/>
      <c r="F110" s="14"/>
      <c r="G110" s="14"/>
      <c r="H110" s="14"/>
      <c r="I110" s="15"/>
    </row>
    <row r="111" spans="1:9" ht="12">
      <c r="A111" s="63" t="s">
        <v>6</v>
      </c>
      <c r="B111" s="63"/>
      <c r="C111" s="42">
        <f aca="true" t="shared" si="12" ref="C111:H111">C7*C92</f>
        <v>-65366.44273160001</v>
      </c>
      <c r="D111" s="42">
        <f t="shared" si="12"/>
        <v>-49759.90478208</v>
      </c>
      <c r="E111" s="42">
        <f t="shared" si="12"/>
        <v>-63049.27099856</v>
      </c>
      <c r="F111" s="42">
        <f t="shared" si="12"/>
        <v>0</v>
      </c>
      <c r="G111" s="42">
        <f t="shared" si="12"/>
        <v>0</v>
      </c>
      <c r="H111" s="42">
        <f t="shared" si="12"/>
        <v>0</v>
      </c>
      <c r="I111" s="42">
        <f>SUM(C111:H111)</f>
        <v>-178175.61851224</v>
      </c>
    </row>
    <row r="112" spans="1:9" ht="12">
      <c r="A112" s="63" t="s">
        <v>8</v>
      </c>
      <c r="B112" s="63"/>
      <c r="C112" s="42">
        <f aca="true" t="shared" si="13" ref="C112:H112">C8*C93</f>
        <v>6180.0660750000025</v>
      </c>
      <c r="D112" s="42">
        <f t="shared" si="13"/>
        <v>-8092.193039999998</v>
      </c>
      <c r="E112" s="42">
        <f t="shared" si="13"/>
        <v>-13018.336029999999</v>
      </c>
      <c r="F112" s="42">
        <f t="shared" si="13"/>
        <v>-9267.982402139998</v>
      </c>
      <c r="G112" s="42">
        <f t="shared" si="13"/>
        <v>-10368.20276646</v>
      </c>
      <c r="H112" s="42">
        <f t="shared" si="13"/>
        <v>-9070.861565359999</v>
      </c>
      <c r="I112" s="42">
        <f aca="true" t="shared" si="14" ref="I112:I123">SUM(C112:H112)</f>
        <v>-43637.509728959994</v>
      </c>
    </row>
    <row r="113" spans="1:9" ht="12">
      <c r="A113" s="63" t="s">
        <v>7</v>
      </c>
      <c r="B113" s="63"/>
      <c r="C113" s="42">
        <f aca="true" t="shared" si="15" ref="C113:H113">C9*C94</f>
        <v>-5100.9324008</v>
      </c>
      <c r="D113" s="42">
        <f t="shared" si="15"/>
        <v>-3883.06139904</v>
      </c>
      <c r="E113" s="42">
        <f t="shared" si="15"/>
        <v>-4920.10970528</v>
      </c>
      <c r="F113" s="42">
        <f t="shared" si="15"/>
        <v>-67109.31124740001</v>
      </c>
      <c r="G113" s="42">
        <f t="shared" si="15"/>
        <v>-73551.9130686</v>
      </c>
      <c r="H113" s="42">
        <f t="shared" si="15"/>
        <v>-68680.2381576</v>
      </c>
      <c r="I113" s="42">
        <f t="shared" si="14"/>
        <v>-223245.56597872003</v>
      </c>
    </row>
    <row r="114" spans="1:9" ht="12">
      <c r="A114" s="63" t="s">
        <v>23</v>
      </c>
      <c r="B114" s="63"/>
      <c r="C114" s="42">
        <f aca="true" t="shared" si="16" ref="C114:H114">C10*C95</f>
        <v>-832.6348034</v>
      </c>
      <c r="D114" s="42">
        <f t="shared" si="16"/>
        <v>-420.9987859199999</v>
      </c>
      <c r="E114" s="42">
        <f t="shared" si="16"/>
        <v>896.6077965600001</v>
      </c>
      <c r="F114" s="42">
        <f t="shared" si="16"/>
        <v>1032.42971286</v>
      </c>
      <c r="G114" s="42">
        <f t="shared" si="16"/>
        <v>1410.4075385400001</v>
      </c>
      <c r="H114" s="42">
        <f t="shared" si="16"/>
        <v>2439.48041064</v>
      </c>
      <c r="I114" s="42">
        <f t="shared" si="14"/>
        <v>4525.291869280001</v>
      </c>
    </row>
    <row r="115" spans="1:9" ht="12">
      <c r="A115" s="63" t="s">
        <v>24</v>
      </c>
      <c r="B115" s="63"/>
      <c r="C115" s="42">
        <f aca="true" t="shared" si="17" ref="C115:H115">C11*C96</f>
        <v>1651.9021874</v>
      </c>
      <c r="D115" s="42">
        <f t="shared" si="17"/>
        <v>1690.46776512</v>
      </c>
      <c r="E115" s="42">
        <f t="shared" si="17"/>
        <v>2229.07055784</v>
      </c>
      <c r="F115" s="42">
        <f t="shared" si="17"/>
        <v>2194.35533874</v>
      </c>
      <c r="G115" s="42">
        <f t="shared" si="17"/>
        <v>1754.0946538599999</v>
      </c>
      <c r="H115" s="42">
        <f t="shared" si="17"/>
        <v>2060.6772277600003</v>
      </c>
      <c r="I115" s="42">
        <f t="shared" si="14"/>
        <v>11580.567730720002</v>
      </c>
    </row>
    <row r="116" spans="1:9" ht="12">
      <c r="A116" s="63" t="s">
        <v>25</v>
      </c>
      <c r="B116" s="63"/>
      <c r="C116" s="42">
        <f aca="true" t="shared" si="18" ref="C116:H116">C12*C97</f>
        <v>5860.715087400001</v>
      </c>
      <c r="D116" s="42">
        <f t="shared" si="18"/>
        <v>4288.25656512</v>
      </c>
      <c r="E116" s="42">
        <f t="shared" si="18"/>
        <v>5543.36559784</v>
      </c>
      <c r="F116" s="42">
        <f t="shared" si="18"/>
        <v>4968.395608739999</v>
      </c>
      <c r="G116" s="42">
        <f t="shared" si="18"/>
        <v>5458.09546386</v>
      </c>
      <c r="H116" s="42">
        <f t="shared" si="18"/>
        <v>6077.200427760001</v>
      </c>
      <c r="I116" s="42">
        <f t="shared" si="14"/>
        <v>32196.028750719997</v>
      </c>
    </row>
    <row r="117" spans="1:9" ht="12">
      <c r="A117" s="63" t="s">
        <v>26</v>
      </c>
      <c r="B117" s="63"/>
      <c r="C117" s="42">
        <f aca="true" t="shared" si="19" ref="C117:H117">C13*C98</f>
        <v>0</v>
      </c>
      <c r="D117" s="42">
        <f t="shared" si="19"/>
        <v>0</v>
      </c>
      <c r="E117" s="42">
        <f t="shared" si="19"/>
        <v>0</v>
      </c>
      <c r="F117" s="42">
        <f t="shared" si="19"/>
        <v>-839.1718528199998</v>
      </c>
      <c r="G117" s="42">
        <f t="shared" si="19"/>
        <v>-801.2598589799999</v>
      </c>
      <c r="H117" s="42">
        <f t="shared" si="19"/>
        <v>-803.7006616799999</v>
      </c>
      <c r="I117" s="42">
        <f t="shared" si="14"/>
        <v>-2444.13237348</v>
      </c>
    </row>
    <row r="118" spans="1:9" ht="12">
      <c r="A118" s="63" t="s">
        <v>31</v>
      </c>
      <c r="B118" s="63"/>
      <c r="C118" s="42">
        <f aca="true" t="shared" si="20" ref="C118:H118">C14*C99</f>
        <v>-172.16904500000004</v>
      </c>
      <c r="D118" s="42">
        <f t="shared" si="20"/>
        <v>-131.06289600000002</v>
      </c>
      <c r="E118" s="42">
        <f t="shared" si="20"/>
        <v>-156.761122</v>
      </c>
      <c r="F118" s="42">
        <f t="shared" si="20"/>
        <v>0</v>
      </c>
      <c r="G118" s="42">
        <f t="shared" si="20"/>
        <v>0</v>
      </c>
      <c r="H118" s="42">
        <f t="shared" si="20"/>
        <v>0</v>
      </c>
      <c r="I118" s="42">
        <f t="shared" si="14"/>
        <v>-459.99306300000006</v>
      </c>
    </row>
    <row r="119" spans="1:9" ht="12">
      <c r="A119" s="63" t="s">
        <v>32</v>
      </c>
      <c r="B119" s="63"/>
      <c r="C119" s="42">
        <f aca="true" t="shared" si="21" ref="C119:H119">C15*C100</f>
        <v>0</v>
      </c>
      <c r="D119" s="42">
        <f t="shared" si="21"/>
        <v>0</v>
      </c>
      <c r="E119" s="42">
        <f t="shared" si="21"/>
        <v>0</v>
      </c>
      <c r="F119" s="42">
        <f t="shared" si="21"/>
        <v>0</v>
      </c>
      <c r="G119" s="42">
        <f t="shared" si="21"/>
        <v>0</v>
      </c>
      <c r="H119" s="42">
        <f t="shared" si="21"/>
        <v>0</v>
      </c>
      <c r="I119" s="42">
        <f t="shared" si="14"/>
        <v>0</v>
      </c>
    </row>
    <row r="120" spans="1:9" ht="12">
      <c r="A120" s="63" t="s">
        <v>33</v>
      </c>
      <c r="B120" s="63"/>
      <c r="C120" s="42">
        <f aca="true" t="shared" si="22" ref="C120:H120">C16*C101</f>
        <v>-14434.1148042</v>
      </c>
      <c r="D120" s="42">
        <f t="shared" si="22"/>
        <v>-10987.90370496</v>
      </c>
      <c r="E120" s="42">
        <f t="shared" si="22"/>
        <v>-13142.36268072</v>
      </c>
      <c r="F120" s="42">
        <f t="shared" si="22"/>
        <v>-11635.724875319998</v>
      </c>
      <c r="G120" s="42">
        <f t="shared" si="22"/>
        <v>-13017.02459148</v>
      </c>
      <c r="H120" s="42">
        <f t="shared" si="22"/>
        <v>-13056.67713168</v>
      </c>
      <c r="I120" s="42">
        <f t="shared" si="14"/>
        <v>-76273.80778835999</v>
      </c>
    </row>
    <row r="121" spans="1:9" ht="12">
      <c r="A121" s="63" t="s">
        <v>34</v>
      </c>
      <c r="B121" s="63"/>
      <c r="C121" s="42">
        <f aca="true" t="shared" si="23" ref="C121:H121">C17*C102</f>
        <v>-142.816854</v>
      </c>
      <c r="D121" s="42">
        <f t="shared" si="23"/>
        <v>-108.71867519999998</v>
      </c>
      <c r="E121" s="42">
        <f t="shared" si="23"/>
        <v>-130.0357464</v>
      </c>
      <c r="F121" s="42">
        <f t="shared" si="23"/>
        <v>-112.34988539999998</v>
      </c>
      <c r="G121" s="42">
        <f t="shared" si="23"/>
        <v>-125.68716059999997</v>
      </c>
      <c r="H121" s="42">
        <f t="shared" si="23"/>
        <v>-69.76362959999999</v>
      </c>
      <c r="I121" s="42">
        <f t="shared" si="14"/>
        <v>-689.3719511999999</v>
      </c>
    </row>
    <row r="122" spans="1:9" ht="12">
      <c r="A122" s="63" t="s">
        <v>9</v>
      </c>
      <c r="B122" s="63"/>
      <c r="C122" s="42">
        <f aca="true" t="shared" si="24" ref="C122:H122">C18*C103</f>
        <v>13828.001096400001</v>
      </c>
      <c r="D122" s="42">
        <f t="shared" si="24"/>
        <v>10526.50242432</v>
      </c>
      <c r="E122" s="42">
        <f t="shared" si="24"/>
        <v>12886.687662240001</v>
      </c>
      <c r="F122" s="42">
        <f t="shared" si="24"/>
        <v>11133.999089640001</v>
      </c>
      <c r="G122" s="42">
        <f t="shared" si="24"/>
        <v>12789.74358396</v>
      </c>
      <c r="H122" s="42">
        <f t="shared" si="24"/>
        <v>14120.935659360002</v>
      </c>
      <c r="I122" s="42">
        <f t="shared" si="14"/>
        <v>75285.86951592</v>
      </c>
    </row>
    <row r="123" spans="1:9" ht="12">
      <c r="A123" s="63" t="s">
        <v>10</v>
      </c>
      <c r="B123" s="63"/>
      <c r="C123" s="42">
        <f aca="true" t="shared" si="25" ref="C123:H123">C19*C104</f>
        <v>1350.4389204000004</v>
      </c>
      <c r="D123" s="42">
        <f t="shared" si="25"/>
        <v>938.1853555200001</v>
      </c>
      <c r="E123" s="42">
        <f t="shared" si="25"/>
        <v>1337.0276606400002</v>
      </c>
      <c r="F123" s="42">
        <f t="shared" si="25"/>
        <v>1340.84244204</v>
      </c>
      <c r="G123" s="42">
        <f t="shared" si="25"/>
        <v>1292.3154975600003</v>
      </c>
      <c r="H123" s="42">
        <f t="shared" si="25"/>
        <v>1192.0853169600002</v>
      </c>
      <c r="I123" s="42">
        <f t="shared" si="14"/>
        <v>7450.895193120001</v>
      </c>
    </row>
    <row r="124" spans="1:9" ht="12">
      <c r="A124" s="38" t="s">
        <v>19</v>
      </c>
      <c r="B124" s="38"/>
      <c r="C124" s="43">
        <f aca="true" t="shared" si="26" ref="C124:I124">SUM(C111:C123)</f>
        <v>-57177.98727240001</v>
      </c>
      <c r="D124" s="43">
        <f t="shared" si="26"/>
        <v>-55940.43117311999</v>
      </c>
      <c r="E124" s="43">
        <f t="shared" si="26"/>
        <v>-71524.11700784</v>
      </c>
      <c r="F124" s="43">
        <f t="shared" si="26"/>
        <v>-68294.51807106001</v>
      </c>
      <c r="G124" s="43">
        <f t="shared" si="26"/>
        <v>-75159.43070834</v>
      </c>
      <c r="H124" s="43">
        <f t="shared" si="26"/>
        <v>-65790.86210344001</v>
      </c>
      <c r="I124" s="43">
        <f t="shared" si="26"/>
        <v>-393887.3463362</v>
      </c>
    </row>
    <row r="125" spans="1:9" ht="12">
      <c r="A125" s="63" t="s">
        <v>35</v>
      </c>
      <c r="B125" s="63"/>
      <c r="C125" s="42">
        <f aca="true" t="shared" si="27" ref="C125:H125">C21*C106</f>
        <v>0</v>
      </c>
      <c r="D125" s="42">
        <f t="shared" si="27"/>
        <v>-593.7007564799999</v>
      </c>
      <c r="E125" s="42">
        <f t="shared" si="27"/>
        <v>-710.11094336</v>
      </c>
      <c r="F125" s="42">
        <f t="shared" si="27"/>
        <v>-613.5303969599998</v>
      </c>
      <c r="G125" s="42">
        <f t="shared" si="27"/>
        <v>-686.3637934399998</v>
      </c>
      <c r="H125" s="42">
        <f t="shared" si="27"/>
        <v>-688.45459904</v>
      </c>
      <c r="I125" s="42">
        <f>SUM(C125:H125)</f>
        <v>-3292.1604892799996</v>
      </c>
    </row>
    <row r="126" spans="1:9" ht="12">
      <c r="A126" s="63" t="s">
        <v>36</v>
      </c>
      <c r="B126" s="63"/>
      <c r="C126" s="42">
        <f aca="true" t="shared" si="28" ref="C126:H126">C22*C107</f>
        <v>0</v>
      </c>
      <c r="D126" s="42">
        <f t="shared" si="28"/>
        <v>0</v>
      </c>
      <c r="E126" s="42">
        <f t="shared" si="28"/>
        <v>0</v>
      </c>
      <c r="F126" s="42">
        <f t="shared" si="28"/>
        <v>0</v>
      </c>
      <c r="G126" s="42">
        <f t="shared" si="28"/>
        <v>0</v>
      </c>
      <c r="H126" s="42">
        <f t="shared" si="28"/>
        <v>0</v>
      </c>
      <c r="I126" s="42">
        <f>SUM(C126:H126)</f>
        <v>0</v>
      </c>
    </row>
    <row r="127" spans="1:9" ht="12">
      <c r="A127" s="63" t="s">
        <v>17</v>
      </c>
      <c r="B127" s="63"/>
      <c r="C127" s="42">
        <f aca="true" t="shared" si="29" ref="C127:H127">C23*C108</f>
        <v>0</v>
      </c>
      <c r="D127" s="42">
        <f t="shared" si="29"/>
        <v>0</v>
      </c>
      <c r="E127" s="42">
        <f t="shared" si="29"/>
        <v>0</v>
      </c>
      <c r="F127" s="42">
        <f t="shared" si="29"/>
        <v>0</v>
      </c>
      <c r="G127" s="42">
        <f t="shared" si="29"/>
        <v>0</v>
      </c>
      <c r="H127" s="42">
        <f t="shared" si="29"/>
        <v>0</v>
      </c>
      <c r="I127" s="42">
        <f>SUM(C127:H127)</f>
        <v>0</v>
      </c>
    </row>
    <row r="128" spans="1:9" ht="12">
      <c r="A128" s="16"/>
      <c r="B128" s="16"/>
      <c r="C128" s="14"/>
      <c r="D128" s="14"/>
      <c r="E128" s="14"/>
      <c r="F128" s="14"/>
      <c r="G128" s="14"/>
      <c r="H128" s="14"/>
      <c r="I128" s="14"/>
    </row>
    <row r="129" spans="1:9" ht="12">
      <c r="A129" s="54" t="s">
        <v>4</v>
      </c>
      <c r="B129" s="54"/>
      <c r="C129" s="56">
        <f aca="true" t="shared" si="30" ref="C129:I129">SUM(C124:C128)</f>
        <v>-57177.98727240001</v>
      </c>
      <c r="D129" s="56">
        <f t="shared" si="30"/>
        <v>-56534.13192959999</v>
      </c>
      <c r="E129" s="56">
        <f t="shared" si="30"/>
        <v>-72234.22795120001</v>
      </c>
      <c r="F129" s="56">
        <f t="shared" si="30"/>
        <v>-68908.04846802002</v>
      </c>
      <c r="G129" s="56">
        <f t="shared" si="30"/>
        <v>-75845.79450178001</v>
      </c>
      <c r="H129" s="56">
        <f t="shared" si="30"/>
        <v>-66479.31670248</v>
      </c>
      <c r="I129" s="56">
        <f t="shared" si="30"/>
        <v>-397179.50682548</v>
      </c>
    </row>
  </sheetData>
  <sheetProtection/>
  <printOptions/>
  <pageMargins left="0.5" right="0.5" top="0.5" bottom="0.5" header="0.5" footer="0.5"/>
  <pageSetup fitToHeight="2" horizontalDpi="600" verticalDpi="600" orientation="landscape" scale="48" r:id="rId3"/>
  <rowBreaks count="1" manualBreakCount="1">
    <brk id="88" max="12" man="1"/>
  </rowBreaks>
  <legacyDrawing r:id="rId2"/>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2018-09-04T22:00:27Z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HAROLD LEMAY ENTERPRISES, INC.</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180754</vt:lpwstr>
  </property>
  <property fmtid="{D5CDD505-2E9C-101B-9397-08002B2CF9AE}" pid="10" name="Dat">
    <vt:lpwstr>2018-09-04T00:00:00Z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2018-09-04T00:00:00Z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